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esktop\Models2\"/>
    </mc:Choice>
  </mc:AlternateContent>
  <xr:revisionPtr revIDLastSave="0" documentId="13_ncr:1_{EDD0F555-03B2-451A-A52E-EDE10DC70178}" xr6:coauthVersionLast="47" xr6:coauthVersionMax="47" xr10:uidLastSave="{00000000-0000-0000-0000-000000000000}"/>
  <bookViews>
    <workbookView xWindow="7455" yWindow="1185" windowWidth="18690" windowHeight="14445" activeTab="1" xr2:uid="{B6D03F4E-F23F-4259-AC13-23185DAFFCB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N18" i="2"/>
  <c r="J11" i="1"/>
  <c r="M21" i="2"/>
  <c r="L21" i="2"/>
  <c r="K21" i="2"/>
  <c r="J21" i="2"/>
  <c r="I21" i="2"/>
  <c r="H21" i="2"/>
  <c r="G21" i="2"/>
  <c r="F21" i="2"/>
  <c r="E21" i="2"/>
  <c r="D21" i="2"/>
  <c r="C21" i="2"/>
  <c r="R11" i="2"/>
  <c r="Q11" i="2"/>
  <c r="P11" i="2"/>
  <c r="O11" i="2"/>
  <c r="N11" i="2"/>
  <c r="N8" i="2"/>
  <c r="N7" i="2"/>
  <c r="O7" i="2" s="1"/>
  <c r="N6" i="2"/>
  <c r="K18" i="2"/>
  <c r="L18" i="2"/>
  <c r="J18" i="2"/>
  <c r="I18" i="2"/>
  <c r="H18" i="2"/>
  <c r="G18" i="2"/>
  <c r="M18" i="2"/>
  <c r="J11" i="2"/>
  <c r="J9" i="2"/>
  <c r="J5" i="2"/>
  <c r="J19" i="2" s="1"/>
  <c r="M64" i="2"/>
  <c r="M62" i="2"/>
  <c r="M46" i="2"/>
  <c r="M53" i="2" s="1"/>
  <c r="D11" i="2"/>
  <c r="D9" i="2"/>
  <c r="D5" i="2"/>
  <c r="D19" i="2" s="1"/>
  <c r="F11" i="2"/>
  <c r="F9" i="2"/>
  <c r="F5" i="2"/>
  <c r="F19" i="2" s="1"/>
  <c r="E11" i="2"/>
  <c r="E9" i="2"/>
  <c r="E5" i="2"/>
  <c r="E19" i="2" s="1"/>
  <c r="C11" i="2"/>
  <c r="C9" i="2"/>
  <c r="C5" i="2"/>
  <c r="C19" i="2" s="1"/>
  <c r="G11" i="2"/>
  <c r="G9" i="2"/>
  <c r="G5" i="2"/>
  <c r="G19" i="2" s="1"/>
  <c r="K11" i="2"/>
  <c r="K9" i="2"/>
  <c r="K5" i="2"/>
  <c r="K19" i="2" s="1"/>
  <c r="H11" i="2"/>
  <c r="H9" i="2"/>
  <c r="H5" i="2"/>
  <c r="H19" i="2" s="1"/>
  <c r="L11" i="2"/>
  <c r="L9" i="2"/>
  <c r="L5" i="2"/>
  <c r="L19" i="2" s="1"/>
  <c r="I11" i="2"/>
  <c r="I9" i="2"/>
  <c r="I5" i="2"/>
  <c r="I19" i="2" s="1"/>
  <c r="M11" i="2"/>
  <c r="M9" i="2"/>
  <c r="M5" i="2"/>
  <c r="J10" i="1"/>
  <c r="J9" i="1"/>
  <c r="J8" i="1"/>
  <c r="J7" i="1"/>
  <c r="M10" i="2" l="1"/>
  <c r="O3" i="2"/>
  <c r="O5" i="2" s="1"/>
  <c r="N9" i="2"/>
  <c r="N5" i="2"/>
  <c r="O8" i="2"/>
  <c r="P8" i="2" s="1"/>
  <c r="Q8" i="2" s="1"/>
  <c r="M12" i="2"/>
  <c r="M14" i="2" s="1"/>
  <c r="M15" i="2" s="1"/>
  <c r="P7" i="2"/>
  <c r="M19" i="2"/>
  <c r="J10" i="2"/>
  <c r="J12" i="2" s="1"/>
  <c r="M65" i="2"/>
  <c r="D10" i="2"/>
  <c r="D12" i="2" s="1"/>
  <c r="F10" i="2"/>
  <c r="F12" i="2" s="1"/>
  <c r="E10" i="2"/>
  <c r="E12" i="2" s="1"/>
  <c r="E14" i="2" s="1"/>
  <c r="E15" i="2" s="1"/>
  <c r="C10" i="2"/>
  <c r="C12" i="2" s="1"/>
  <c r="G10" i="2"/>
  <c r="G12" i="2" s="1"/>
  <c r="G14" i="2" s="1"/>
  <c r="G15" i="2" s="1"/>
  <c r="K10" i="2"/>
  <c r="K12" i="2" s="1"/>
  <c r="H10" i="2"/>
  <c r="H12" i="2" s="1"/>
  <c r="H14" i="2" s="1"/>
  <c r="H15" i="2" s="1"/>
  <c r="L10" i="2"/>
  <c r="I10" i="2"/>
  <c r="N10" i="2" l="1"/>
  <c r="N12" i="2" s="1"/>
  <c r="N14" i="2" s="1"/>
  <c r="N15" i="2" s="1"/>
  <c r="P3" i="2"/>
  <c r="O6" i="2"/>
  <c r="O9" i="2" s="1"/>
  <c r="O10" i="2" s="1"/>
  <c r="O12" i="2" s="1"/>
  <c r="O14" i="2" s="1"/>
  <c r="O15" i="2" s="1"/>
  <c r="C14" i="2"/>
  <c r="C15" i="2" s="1"/>
  <c r="C20" i="2"/>
  <c r="D14" i="2"/>
  <c r="D15" i="2" s="1"/>
  <c r="D20" i="2"/>
  <c r="F14" i="2"/>
  <c r="F15" i="2" s="1"/>
  <c r="F20" i="2"/>
  <c r="M20" i="2"/>
  <c r="J14" i="2"/>
  <c r="J15" i="2" s="1"/>
  <c r="J20" i="2"/>
  <c r="K14" i="2"/>
  <c r="K15" i="2" s="1"/>
  <c r="K20" i="2"/>
  <c r="Q7" i="2"/>
  <c r="R7" i="2" s="1"/>
  <c r="R8" i="2"/>
  <c r="I12" i="2"/>
  <c r="I14" i="2" s="1"/>
  <c r="I15" i="2" s="1"/>
  <c r="L12" i="2"/>
  <c r="Q3" i="2" l="1"/>
  <c r="P6" i="2"/>
  <c r="P9" i="2" s="1"/>
  <c r="P5" i="2"/>
  <c r="L14" i="2"/>
  <c r="L15" i="2" s="1"/>
  <c r="L20" i="2"/>
  <c r="P10" i="2" l="1"/>
  <c r="P12" i="2" s="1"/>
  <c r="P14" i="2" s="1"/>
  <c r="P15" i="2" s="1"/>
  <c r="R3" i="2"/>
  <c r="Q5" i="2"/>
  <c r="Q6" i="2"/>
  <c r="Q9" i="2" s="1"/>
  <c r="Q10" i="2" l="1"/>
  <c r="Q12" i="2" s="1"/>
  <c r="Q14" i="2" s="1"/>
  <c r="Q15" i="2" s="1"/>
  <c r="R5" i="2"/>
  <c r="R6" i="2"/>
  <c r="R9" i="2" s="1"/>
  <c r="R10" i="2" l="1"/>
  <c r="R12" i="2" s="1"/>
  <c r="R14" i="2" s="1"/>
  <c r="R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N3" authorId="0" shapeId="0" xr:uid="{09ACC8ED-E9CD-4786-BB07-0E31D8E8CA4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13.3bn - 14bn
</t>
        </r>
      </text>
    </comment>
  </commentList>
</comments>
</file>

<file path=xl/sharedStrings.xml><?xml version="1.0" encoding="utf-8"?>
<sst xmlns="http://schemas.openxmlformats.org/spreadsheetml/2006/main" count="72" uniqueCount="59">
  <si>
    <t>Price</t>
  </si>
  <si>
    <t>Shares</t>
  </si>
  <si>
    <t>MC</t>
  </si>
  <si>
    <t>Cash</t>
  </si>
  <si>
    <t>Debt</t>
  </si>
  <si>
    <t>EV</t>
  </si>
  <si>
    <t>Q324</t>
  </si>
  <si>
    <t>Revenue</t>
  </si>
  <si>
    <t>Main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</si>
  <si>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</si>
  <si>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</si>
  <si>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</si>
  <si>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</si>
  <si>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</si>
  <si>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</si>
  <si>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</si>
  <si>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</si>
  <si>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</si>
  <si>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Q424</t>
  </si>
  <si>
    <t>Q125</t>
  </si>
  <si>
    <t>Q225</t>
  </si>
  <si>
    <t>Q325</t>
  </si>
  <si>
    <t>Q425</t>
  </si>
  <si>
    <t>COGS</t>
  </si>
  <si>
    <t>Gross Margin</t>
  </si>
  <si>
    <t>R&amp;D</t>
  </si>
  <si>
    <t>MG&amp;A</t>
  </si>
  <si>
    <t>Other</t>
  </si>
  <si>
    <t>OpEx</t>
  </si>
  <si>
    <t>OpInc</t>
  </si>
  <si>
    <t>Interest</t>
  </si>
  <si>
    <t>Pretax</t>
  </si>
  <si>
    <t>Taxes</t>
  </si>
  <si>
    <t>Net Income</t>
  </si>
  <si>
    <t>EPS</t>
  </si>
  <si>
    <t>Short-Term inv</t>
  </si>
  <si>
    <t>Receivables</t>
  </si>
  <si>
    <t>Inventories</t>
  </si>
  <si>
    <t>PP&amp;E</t>
  </si>
  <si>
    <t>Compensation</t>
  </si>
  <si>
    <t>Equity</t>
  </si>
  <si>
    <t>Goodwill</t>
  </si>
  <si>
    <t>Intangibles</t>
  </si>
  <si>
    <t>Total Assets</t>
  </si>
  <si>
    <t>Payables</t>
  </si>
  <si>
    <t>Short-term debt</t>
  </si>
  <si>
    <t>Total Liabilities</t>
  </si>
  <si>
    <t>S/E</t>
  </si>
  <si>
    <t>L+S/E</t>
  </si>
  <si>
    <t>Q423</t>
  </si>
  <si>
    <t>Revenue y/y</t>
  </si>
  <si>
    <t>R/D % of R</t>
  </si>
  <si>
    <t>Headcount</t>
  </si>
  <si>
    <t>CFFO</t>
  </si>
  <si>
    <t>CapEx</t>
  </si>
  <si>
    <t>CFFI</t>
  </si>
  <si>
    <t>CFFF</t>
  </si>
  <si>
    <t>FCF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</si>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</sst>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  <charset val="186"/>
    </font>
    <font>
      <u/>
      <sz val="10"/>
      <color theme="10"/>
      <name val="Arial"/>
      <family val="2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1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600808</xdr:colOff>
      <xdr:row>0</xdr:row>
      <xdr:rowOff>0</xdr:rowOff>
    </xdr:from>
    <xdr:to>
      <xdr:col>13</xdr:col>
      <xdr:colOff>21981</xdr:colOff>
      <xdr:row>70</xdr:row>
      <xdr:rowOff>51287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5719086-8838-F17E-23ED-2DC490BC5D54}"/>
            </a:ext>
          </a:extLst>
        </xdr:cNvPr>
        <xdr:cNvCxnSpPr/>
      </xdr:nvCxnSpPr>
      <xdr:spPr>
        <a:xfrm>
          <a:off x="7422173" y="0"/>
          <a:ext cx="29308" cy="891686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D38C-5960-4334-88E2-2838F09F8416}">
  <dimension ref="A1:K12"/>
  <sheetViews>
    <sheetView zoomScale="145" zoomScaleNormal="145" workbookViewId="0">
      <selection activeCell="J12" sqref="J12"/>
    </sheetView>
  </sheetViews>
  <sheetFormatPr defaultRowHeight="12.75" x14ac:dyDescent="0.2"/>
  <sheetData>
    <row r="1" spans="1:11" x14ac:dyDescent="0.2">
      <c r="A1" s="1"/>
    </row>
    <row r="5" spans="1:11" x14ac:dyDescent="0.2">
      <c r="I5" t="s">
        <v>0</v>
      </c>
      <c r="J5">
        <v>22.14</v>
      </c>
    </row>
    <row r="6" spans="1:11" x14ac:dyDescent="0.2">
      <c r="I6" t="s">
        <v>1</v>
      </c>
      <c r="J6" s="2">
        <v>4300</v>
      </c>
      <c r="K6" t="s">
        <v>6</v>
      </c>
    </row>
    <row r="7" spans="1:11" x14ac:dyDescent="0.2">
      <c r="I7" t="s">
        <v>2</v>
      </c>
      <c r="J7" s="2">
        <f>+J5*J6</f>
        <v>95202</v>
      </c>
    </row>
    <row r="8" spans="1:11" x14ac:dyDescent="0.2">
      <c r="I8" t="s">
        <v>3</v>
      </c>
      <c r="J8" s="2">
        <f>8785+15301</f>
        <v>24086</v>
      </c>
      <c r="K8" t="s">
        <v>6</v>
      </c>
    </row>
    <row r="9" spans="1:11" x14ac:dyDescent="0.2">
      <c r="I9" t="s">
        <v>4</v>
      </c>
      <c r="J9" s="2">
        <f>2440+46471</f>
        <v>48911</v>
      </c>
      <c r="K9" t="s">
        <v>6</v>
      </c>
    </row>
    <row r="10" spans="1:11" x14ac:dyDescent="0.2">
      <c r="I10" t="s">
        <v>5</v>
      </c>
      <c r="J10" s="3">
        <f>+J7-J8+J9</f>
        <v>120027</v>
      </c>
    </row>
    <row r="11" spans="1:11" x14ac:dyDescent="0.2">
      <c r="I11" t="s">
        <v>58</v>
      </c>
      <c r="J11" s="2">
        <f>+J8-J9</f>
        <v>-24825</v>
      </c>
    </row>
    <row r="12" spans="1:11" x14ac:dyDescent="0.2">
      <c r="J12" s="6">
        <f>+Main!M15/Main!J5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9D7E-ECD9-4E93-B03C-D2DBC78E6BE0}">
  <dimension ref="A1:R65"/>
  <sheetViews>
    <sheetView tabSelected="1" zoomScale="130" zoomScaleNormal="13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N19" sqref="N19"/>
    </sheetView>
  </sheetViews>
  <sheetFormatPr defaultRowHeight="12.75" x14ac:dyDescent="0.2"/>
  <cols>
    <col min="1" max="1" width="5" bestFit="1" customWidth="1"/>
    <col min="2" max="2" width="15.140625" bestFit="1" customWidth="1"/>
  </cols>
  <sheetData>
    <row r="1" spans="1:18" x14ac:dyDescent="0.2">
      <c r="A1" s="4" t="s">
        <v>8</v>
      </c>
      <c r="E1" s="5">
        <v>44571</v>
      </c>
      <c r="L1" s="5">
        <v>45474</v>
      </c>
      <c r="M1" s="5">
        <v>45563</v>
      </c>
    </row>
    <row r="2" spans="1:18" x14ac:dyDescent="0.2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49</v>
      </c>
      <c r="K2" s="7" t="s">
        <v>16</v>
      </c>
      <c r="L2" s="7" t="s">
        <v>17</v>
      </c>
      <c r="M2" s="7" t="s">
        <v>6</v>
      </c>
      <c r="N2" s="7" t="s">
        <v>18</v>
      </c>
      <c r="O2" s="7" t="s">
        <v>19</v>
      </c>
      <c r="P2" s="7" t="s">
        <v>20</v>
      </c>
      <c r="Q2" s="7" t="s">
        <v>21</v>
      </c>
      <c r="R2" s="7" t="s">
        <v>22</v>
      </c>
    </row>
    <row r="3" spans="1:18" s="1" customFormat="1" x14ac:dyDescent="0.2">
      <c r="B3" s="1" t="s">
        <v>7</v>
      </c>
      <c r="C3" s="3">
        <v>18353</v>
      </c>
      <c r="D3" s="3">
        <v>15321</v>
      </c>
      <c r="E3" s="3">
        <v>15338</v>
      </c>
      <c r="F3" s="3">
        <v>14042</v>
      </c>
      <c r="G3" s="3">
        <v>11715</v>
      </c>
      <c r="H3" s="3">
        <v>12949</v>
      </c>
      <c r="I3" s="3">
        <v>14158</v>
      </c>
      <c r="J3" s="3">
        <v>15406</v>
      </c>
      <c r="K3" s="3">
        <v>12724</v>
      </c>
      <c r="L3" s="3">
        <v>12833</v>
      </c>
      <c r="M3" s="3">
        <v>13284</v>
      </c>
      <c r="N3" s="3">
        <v>13300</v>
      </c>
      <c r="O3" s="3">
        <f t="shared" ref="O3:R3" si="0">+N3*(1+O18)</f>
        <v>13965</v>
      </c>
      <c r="P3" s="3">
        <f t="shared" si="0"/>
        <v>14663.25</v>
      </c>
      <c r="Q3" s="3">
        <f t="shared" si="0"/>
        <v>15396.4125</v>
      </c>
      <c r="R3" s="3">
        <f t="shared" si="0"/>
        <v>16166.233125000001</v>
      </c>
    </row>
    <row r="4" spans="1:18" x14ac:dyDescent="0.2">
      <c r="B4" t="s">
        <v>23</v>
      </c>
      <c r="C4" s="2">
        <v>9109</v>
      </c>
      <c r="D4" s="2">
        <v>9734</v>
      </c>
      <c r="E4" s="2">
        <v>8803</v>
      </c>
      <c r="F4" s="2">
        <v>8542</v>
      </c>
      <c r="G4" s="2">
        <v>7707</v>
      </c>
      <c r="H4" s="2">
        <v>8311</v>
      </c>
      <c r="I4" s="2">
        <v>8140</v>
      </c>
      <c r="J4" s="2">
        <v>8359</v>
      </c>
      <c r="K4" s="2">
        <v>7507</v>
      </c>
      <c r="L4" s="2">
        <v>8286</v>
      </c>
      <c r="M4" s="2">
        <v>11287</v>
      </c>
      <c r="N4" s="2">
        <v>11287</v>
      </c>
      <c r="O4" s="2">
        <v>11287</v>
      </c>
      <c r="P4" s="2">
        <v>11287</v>
      </c>
      <c r="Q4" s="2">
        <v>11287</v>
      </c>
      <c r="R4" s="2">
        <v>11287</v>
      </c>
    </row>
    <row r="5" spans="1:18" s="1" customFormat="1" x14ac:dyDescent="0.2">
      <c r="B5" s="1" t="s">
        <v>24</v>
      </c>
      <c r="C5" s="3">
        <f t="shared" ref="C5:M5" si="1">+C3-C4</f>
        <v>9244</v>
      </c>
      <c r="D5" s="3">
        <f t="shared" si="1"/>
        <v>5587</v>
      </c>
      <c r="E5" s="3">
        <f t="shared" si="1"/>
        <v>6535</v>
      </c>
      <c r="F5" s="3">
        <f t="shared" si="1"/>
        <v>5500</v>
      </c>
      <c r="G5" s="3">
        <f t="shared" si="1"/>
        <v>4008</v>
      </c>
      <c r="H5" s="3">
        <f t="shared" si="1"/>
        <v>4638</v>
      </c>
      <c r="I5" s="3">
        <f t="shared" si="1"/>
        <v>6018</v>
      </c>
      <c r="J5" s="3">
        <f t="shared" si="1"/>
        <v>7047</v>
      </c>
      <c r="K5" s="3">
        <f t="shared" si="1"/>
        <v>5217</v>
      </c>
      <c r="L5" s="3">
        <f t="shared" si="1"/>
        <v>4547</v>
      </c>
      <c r="M5" s="3">
        <f t="shared" si="1"/>
        <v>1997</v>
      </c>
      <c r="N5" s="3">
        <f>+N3*N19</f>
        <v>3990</v>
      </c>
      <c r="O5" s="3">
        <f t="shared" ref="O5:R5" si="2">+O3*O19</f>
        <v>4189.5</v>
      </c>
      <c r="P5" s="3">
        <f t="shared" si="2"/>
        <v>4398.9749999999995</v>
      </c>
      <c r="Q5" s="3">
        <f t="shared" si="2"/>
        <v>4618.9237499999999</v>
      </c>
      <c r="R5" s="3">
        <f t="shared" si="2"/>
        <v>4849.8699374999997</v>
      </c>
    </row>
    <row r="6" spans="1:18" x14ac:dyDescent="0.2">
      <c r="B6" t="s">
        <v>25</v>
      </c>
      <c r="C6" s="2">
        <v>4362</v>
      </c>
      <c r="D6" s="2">
        <v>4400</v>
      </c>
      <c r="E6" s="2">
        <v>4302</v>
      </c>
      <c r="F6" s="2">
        <v>4464</v>
      </c>
      <c r="G6" s="2">
        <v>4109</v>
      </c>
      <c r="H6" s="2">
        <v>4080</v>
      </c>
      <c r="I6" s="2">
        <v>3870</v>
      </c>
      <c r="J6" s="2">
        <v>3987</v>
      </c>
      <c r="K6" s="2">
        <v>4382</v>
      </c>
      <c r="L6" s="2">
        <v>4239</v>
      </c>
      <c r="M6" s="2">
        <v>4049</v>
      </c>
      <c r="N6" s="2">
        <f>+N3*30%</f>
        <v>3990</v>
      </c>
      <c r="O6" s="2">
        <f t="shared" ref="O6:R6" si="3">+O3*30%</f>
        <v>4189.5</v>
      </c>
      <c r="P6" s="2">
        <f t="shared" si="3"/>
        <v>4398.9749999999995</v>
      </c>
      <c r="Q6" s="2">
        <f t="shared" si="3"/>
        <v>4618.9237499999999</v>
      </c>
      <c r="R6" s="2">
        <f t="shared" si="3"/>
        <v>4849.8699374999997</v>
      </c>
    </row>
    <row r="7" spans="1:18" x14ac:dyDescent="0.2">
      <c r="B7" t="s">
        <v>26</v>
      </c>
      <c r="C7" s="2">
        <v>1752</v>
      </c>
      <c r="D7" s="2">
        <v>1800</v>
      </c>
      <c r="E7" s="2">
        <v>1744</v>
      </c>
      <c r="F7" s="2">
        <v>1706</v>
      </c>
      <c r="G7" s="2">
        <v>1303</v>
      </c>
      <c r="H7" s="2">
        <v>1374</v>
      </c>
      <c r="I7" s="2">
        <v>1340</v>
      </c>
      <c r="J7" s="2">
        <v>1617</v>
      </c>
      <c r="K7" s="2">
        <v>1556</v>
      </c>
      <c r="L7" s="2">
        <v>1329</v>
      </c>
      <c r="M7" s="2">
        <v>1383</v>
      </c>
      <c r="N7" s="2">
        <f>+AVERAGE(K7:M7)</f>
        <v>1422.6666666666667</v>
      </c>
      <c r="O7" s="2">
        <f t="shared" ref="O7:R7" si="4">+AVERAGE(L7:N7)</f>
        <v>1378.2222222222224</v>
      </c>
      <c r="P7" s="2">
        <f t="shared" si="4"/>
        <v>1394.6296296296298</v>
      </c>
      <c r="Q7" s="2">
        <f t="shared" si="4"/>
        <v>1398.5061728395065</v>
      </c>
      <c r="R7" s="2">
        <f t="shared" si="4"/>
        <v>1390.4526748971196</v>
      </c>
    </row>
    <row r="8" spans="1:18" x14ac:dyDescent="0.2">
      <c r="B8" t="s">
        <v>27</v>
      </c>
      <c r="C8" s="2">
        <v>-1211</v>
      </c>
      <c r="D8" s="2">
        <v>87</v>
      </c>
      <c r="E8" s="2">
        <v>664</v>
      </c>
      <c r="F8" s="2">
        <v>462</v>
      </c>
      <c r="G8" s="2">
        <v>64</v>
      </c>
      <c r="H8" s="2">
        <v>200</v>
      </c>
      <c r="I8" s="2">
        <v>816</v>
      </c>
      <c r="J8" s="2">
        <v>-1142</v>
      </c>
      <c r="K8" s="2">
        <v>348</v>
      </c>
      <c r="L8" s="2">
        <v>943</v>
      </c>
      <c r="M8" s="2">
        <v>5622</v>
      </c>
      <c r="N8" s="2">
        <f>+AVERAGE(K8:M8)</f>
        <v>2304.3333333333335</v>
      </c>
      <c r="O8" s="2">
        <f t="shared" ref="O8:R8" si="5">+AVERAGE(L8:N8)</f>
        <v>2956.4444444444448</v>
      </c>
      <c r="P8" s="2">
        <f t="shared" si="5"/>
        <v>3627.5925925925931</v>
      </c>
      <c r="Q8" s="2">
        <f t="shared" si="5"/>
        <v>2962.7901234567908</v>
      </c>
      <c r="R8" s="2">
        <f t="shared" si="5"/>
        <v>3182.2757201646095</v>
      </c>
    </row>
    <row r="9" spans="1:18" x14ac:dyDescent="0.2">
      <c r="B9" t="s">
        <v>28</v>
      </c>
      <c r="C9" s="2">
        <f t="shared" ref="C9:M9" si="6">+C8+C7+C6</f>
        <v>4903</v>
      </c>
      <c r="D9" s="2">
        <f t="shared" si="6"/>
        <v>6287</v>
      </c>
      <c r="E9" s="2">
        <f t="shared" si="6"/>
        <v>6710</v>
      </c>
      <c r="F9" s="2">
        <f t="shared" si="6"/>
        <v>6632</v>
      </c>
      <c r="G9" s="2">
        <f t="shared" si="6"/>
        <v>5476</v>
      </c>
      <c r="H9" s="2">
        <f t="shared" si="6"/>
        <v>5654</v>
      </c>
      <c r="I9" s="2">
        <f t="shared" si="6"/>
        <v>6026</v>
      </c>
      <c r="J9" s="2">
        <f t="shared" si="6"/>
        <v>4462</v>
      </c>
      <c r="K9" s="2">
        <f t="shared" si="6"/>
        <v>6286</v>
      </c>
      <c r="L9" s="2">
        <f t="shared" si="6"/>
        <v>6511</v>
      </c>
      <c r="M9" s="2">
        <f t="shared" si="6"/>
        <v>11054</v>
      </c>
      <c r="N9" s="2">
        <f t="shared" ref="N9:R9" si="7">+N8+N7+N6</f>
        <v>7717</v>
      </c>
      <c r="O9" s="2">
        <f t="shared" si="7"/>
        <v>8524.1666666666679</v>
      </c>
      <c r="P9" s="2">
        <f t="shared" si="7"/>
        <v>9421.1972222222212</v>
      </c>
      <c r="Q9" s="2">
        <f t="shared" si="7"/>
        <v>8980.2200462962974</v>
      </c>
      <c r="R9" s="2">
        <f t="shared" si="7"/>
        <v>9422.598332561729</v>
      </c>
    </row>
    <row r="10" spans="1:18" s="1" customFormat="1" x14ac:dyDescent="0.2">
      <c r="B10" s="1" t="s">
        <v>29</v>
      </c>
      <c r="C10" s="3">
        <f t="shared" ref="C10:M10" si="8">+C5-C9</f>
        <v>4341</v>
      </c>
      <c r="D10" s="3">
        <f t="shared" si="8"/>
        <v>-700</v>
      </c>
      <c r="E10" s="3">
        <f t="shared" si="8"/>
        <v>-175</v>
      </c>
      <c r="F10" s="3">
        <f t="shared" si="8"/>
        <v>-1132</v>
      </c>
      <c r="G10" s="3">
        <f t="shared" si="8"/>
        <v>-1468</v>
      </c>
      <c r="H10" s="3">
        <f t="shared" si="8"/>
        <v>-1016</v>
      </c>
      <c r="I10" s="3">
        <f t="shared" si="8"/>
        <v>-8</v>
      </c>
      <c r="J10" s="3">
        <f t="shared" si="8"/>
        <v>2585</v>
      </c>
      <c r="K10" s="3">
        <f t="shared" si="8"/>
        <v>-1069</v>
      </c>
      <c r="L10" s="3">
        <f t="shared" si="8"/>
        <v>-1964</v>
      </c>
      <c r="M10" s="3">
        <f t="shared" si="8"/>
        <v>-9057</v>
      </c>
      <c r="N10" s="3">
        <f t="shared" ref="N10:R10" si="9">+N5-N9</f>
        <v>-3727</v>
      </c>
      <c r="O10" s="3">
        <f t="shared" si="9"/>
        <v>-4334.6666666666679</v>
      </c>
      <c r="P10" s="3">
        <f t="shared" si="9"/>
        <v>-5022.2222222222217</v>
      </c>
      <c r="Q10" s="3">
        <f t="shared" si="9"/>
        <v>-4361.2962962962974</v>
      </c>
      <c r="R10" s="3">
        <f t="shared" si="9"/>
        <v>-4572.7283950617293</v>
      </c>
    </row>
    <row r="11" spans="1:18" x14ac:dyDescent="0.2">
      <c r="B11" t="s">
        <v>30</v>
      </c>
      <c r="C11" s="2">
        <f>997+4323</f>
        <v>5320</v>
      </c>
      <c r="D11" s="2">
        <f>-90-119</f>
        <v>-209</v>
      </c>
      <c r="E11" s="2">
        <f>138-151</f>
        <v>-13</v>
      </c>
      <c r="F11" s="2">
        <f>186+150</f>
        <v>336</v>
      </c>
      <c r="G11" s="2">
        <f>169+141</f>
        <v>310</v>
      </c>
      <c r="H11" s="2">
        <f>224-24</f>
        <v>200</v>
      </c>
      <c r="I11" s="2">
        <f>-191+147</f>
        <v>-44</v>
      </c>
      <c r="J11" s="2">
        <f>86+117</f>
        <v>203</v>
      </c>
      <c r="K11" s="2">
        <f>205+145</f>
        <v>350</v>
      </c>
      <c r="L11" s="2">
        <f>80-120</f>
        <v>-40</v>
      </c>
      <c r="M11" s="2">
        <f>130-159</f>
        <v>-29</v>
      </c>
      <c r="N11" s="2">
        <f t="shared" ref="N11:R11" si="10">130-159</f>
        <v>-29</v>
      </c>
      <c r="O11" s="2">
        <f t="shared" si="10"/>
        <v>-29</v>
      </c>
      <c r="P11" s="2">
        <f t="shared" si="10"/>
        <v>-29</v>
      </c>
      <c r="Q11" s="2">
        <f t="shared" si="10"/>
        <v>-29</v>
      </c>
      <c r="R11" s="2">
        <f t="shared" si="10"/>
        <v>-29</v>
      </c>
    </row>
    <row r="12" spans="1:18" x14ac:dyDescent="0.2">
      <c r="B12" t="s">
        <v>31</v>
      </c>
      <c r="C12" s="2">
        <f t="shared" ref="C12:M12" si="11">+C10+C11</f>
        <v>9661</v>
      </c>
      <c r="D12" s="2">
        <f t="shared" si="11"/>
        <v>-909</v>
      </c>
      <c r="E12" s="2">
        <f t="shared" si="11"/>
        <v>-188</v>
      </c>
      <c r="F12" s="2">
        <f t="shared" si="11"/>
        <v>-796</v>
      </c>
      <c r="G12" s="2">
        <f t="shared" si="11"/>
        <v>-1158</v>
      </c>
      <c r="H12" s="2">
        <f t="shared" si="11"/>
        <v>-816</v>
      </c>
      <c r="I12" s="2">
        <f t="shared" si="11"/>
        <v>-52</v>
      </c>
      <c r="J12" s="2">
        <f t="shared" si="11"/>
        <v>2788</v>
      </c>
      <c r="K12" s="2">
        <f t="shared" si="11"/>
        <v>-719</v>
      </c>
      <c r="L12" s="2">
        <f t="shared" si="11"/>
        <v>-2004</v>
      </c>
      <c r="M12" s="2">
        <f t="shared" si="11"/>
        <v>-9086</v>
      </c>
      <c r="N12" s="2">
        <f t="shared" ref="N12:R12" si="12">+N10+N11</f>
        <v>-3756</v>
      </c>
      <c r="O12" s="2">
        <f t="shared" si="12"/>
        <v>-4363.6666666666679</v>
      </c>
      <c r="P12" s="2">
        <f t="shared" si="12"/>
        <v>-5051.2222222222217</v>
      </c>
      <c r="Q12" s="2">
        <f t="shared" si="12"/>
        <v>-4390.2962962962974</v>
      </c>
      <c r="R12" s="2">
        <f t="shared" si="12"/>
        <v>-4601.7283950617293</v>
      </c>
    </row>
    <row r="13" spans="1:18" x14ac:dyDescent="0.2">
      <c r="B13" t="s">
        <v>32</v>
      </c>
      <c r="C13" s="2">
        <v>1548</v>
      </c>
      <c r="D13" s="2">
        <v>-455</v>
      </c>
      <c r="E13" s="2">
        <v>-1207</v>
      </c>
      <c r="F13" s="2">
        <v>-135</v>
      </c>
      <c r="G13" s="2">
        <v>1610</v>
      </c>
      <c r="H13" s="2">
        <v>-2289</v>
      </c>
      <c r="I13" s="2">
        <v>-362</v>
      </c>
      <c r="J13" s="2">
        <v>128</v>
      </c>
      <c r="K13" s="2">
        <v>-437</v>
      </c>
      <c r="L13" s="2">
        <v>-350</v>
      </c>
      <c r="M13" s="2">
        <v>7903</v>
      </c>
      <c r="N13" s="2">
        <v>7903</v>
      </c>
      <c r="O13" s="2">
        <v>7903</v>
      </c>
      <c r="P13" s="2">
        <v>7903</v>
      </c>
      <c r="Q13" s="2">
        <v>7903</v>
      </c>
      <c r="R13" s="2">
        <v>7903</v>
      </c>
    </row>
    <row r="14" spans="1:18" s="1" customFormat="1" x14ac:dyDescent="0.2">
      <c r="B14" s="1" t="s">
        <v>33</v>
      </c>
      <c r="C14" s="3">
        <f t="shared" ref="C14:M14" si="13">+C12-C13</f>
        <v>8113</v>
      </c>
      <c r="D14" s="3">
        <f t="shared" si="13"/>
        <v>-454</v>
      </c>
      <c r="E14" s="3">
        <f t="shared" si="13"/>
        <v>1019</v>
      </c>
      <c r="F14" s="3">
        <f t="shared" si="13"/>
        <v>-661</v>
      </c>
      <c r="G14" s="3">
        <f t="shared" si="13"/>
        <v>-2768</v>
      </c>
      <c r="H14" s="3">
        <f t="shared" si="13"/>
        <v>1473</v>
      </c>
      <c r="I14" s="3">
        <f t="shared" si="13"/>
        <v>310</v>
      </c>
      <c r="J14" s="3">
        <f t="shared" si="13"/>
        <v>2660</v>
      </c>
      <c r="K14" s="3">
        <f t="shared" si="13"/>
        <v>-282</v>
      </c>
      <c r="L14" s="3">
        <f t="shared" si="13"/>
        <v>-1654</v>
      </c>
      <c r="M14" s="3">
        <f t="shared" si="13"/>
        <v>-16989</v>
      </c>
      <c r="N14" s="3">
        <f t="shared" ref="N14:R14" si="14">+N12-N13</f>
        <v>-11659</v>
      </c>
      <c r="O14" s="3">
        <f t="shared" si="14"/>
        <v>-12266.666666666668</v>
      </c>
      <c r="P14" s="3">
        <f t="shared" si="14"/>
        <v>-12954.222222222223</v>
      </c>
      <c r="Q14" s="3">
        <f t="shared" si="14"/>
        <v>-12293.296296296297</v>
      </c>
      <c r="R14" s="3">
        <f t="shared" si="14"/>
        <v>-12504.728395061729</v>
      </c>
    </row>
    <row r="15" spans="1:18" x14ac:dyDescent="0.2">
      <c r="B15" t="s">
        <v>34</v>
      </c>
      <c r="C15" s="6">
        <f t="shared" ref="C15:M15" si="15">+C14/C16</f>
        <v>1.9754078402727051</v>
      </c>
      <c r="D15" s="6">
        <f t="shared" si="15"/>
        <v>-0.11073170731707317</v>
      </c>
      <c r="E15" s="6">
        <f t="shared" si="15"/>
        <v>0.24703030303030302</v>
      </c>
      <c r="F15" s="6">
        <f t="shared" si="15"/>
        <v>-0.15993225260101621</v>
      </c>
      <c r="G15" s="6">
        <f t="shared" si="15"/>
        <v>-0.66634569090033702</v>
      </c>
      <c r="H15" s="6">
        <f t="shared" si="15"/>
        <v>0.35104861773117252</v>
      </c>
      <c r="I15" s="6">
        <f t="shared" si="15"/>
        <v>7.2227399813606707E-2</v>
      </c>
      <c r="J15" s="6">
        <f t="shared" si="15"/>
        <v>0.62441314553990612</v>
      </c>
      <c r="K15" s="6">
        <f t="shared" si="15"/>
        <v>-6.6478076379066484E-2</v>
      </c>
      <c r="L15" s="6">
        <f t="shared" si="15"/>
        <v>-0.38762596672134991</v>
      </c>
      <c r="M15" s="6">
        <f t="shared" si="15"/>
        <v>-3.9582945013979498</v>
      </c>
      <c r="N15" s="6">
        <f t="shared" ref="N15:R15" si="16">+N14/N16</f>
        <v>-2.7164492078285183</v>
      </c>
      <c r="O15" s="6">
        <f t="shared" si="16"/>
        <v>-2.858030444237341</v>
      </c>
      <c r="P15" s="6">
        <f t="shared" si="16"/>
        <v>-3.0182251216733977</v>
      </c>
      <c r="Q15" s="6">
        <f t="shared" si="16"/>
        <v>-2.8642349245797525</v>
      </c>
      <c r="R15" s="6">
        <f t="shared" si="16"/>
        <v>-2.9134968301634969</v>
      </c>
    </row>
    <row r="16" spans="1:18" x14ac:dyDescent="0.2">
      <c r="B16" t="s">
        <v>1</v>
      </c>
      <c r="C16" s="2">
        <v>4107</v>
      </c>
      <c r="D16" s="2">
        <v>4100</v>
      </c>
      <c r="E16" s="2">
        <v>4125</v>
      </c>
      <c r="F16" s="2">
        <v>4133</v>
      </c>
      <c r="G16" s="2">
        <v>4154</v>
      </c>
      <c r="H16" s="2">
        <v>4196</v>
      </c>
      <c r="I16" s="2">
        <v>4292</v>
      </c>
      <c r="J16" s="2">
        <v>4260</v>
      </c>
      <c r="K16" s="2">
        <v>4242</v>
      </c>
      <c r="L16" s="2">
        <v>4267</v>
      </c>
      <c r="M16" s="2">
        <v>4292</v>
      </c>
      <c r="N16" s="2">
        <v>4292</v>
      </c>
      <c r="O16" s="2">
        <v>4292</v>
      </c>
      <c r="P16" s="2">
        <v>4292</v>
      </c>
      <c r="Q16" s="2">
        <v>4292</v>
      </c>
      <c r="R16" s="2">
        <v>4292</v>
      </c>
    </row>
    <row r="18" spans="2:18" x14ac:dyDescent="0.2">
      <c r="B18" t="s">
        <v>50</v>
      </c>
      <c r="E18" s="8"/>
      <c r="F18" s="8"/>
      <c r="G18" s="8">
        <f t="shared" ref="G18:J18" si="17">+G3/C3-1</f>
        <v>-0.36168473818994173</v>
      </c>
      <c r="H18" s="8">
        <f t="shared" si="17"/>
        <v>-0.15482018145029697</v>
      </c>
      <c r="I18" s="8">
        <f t="shared" si="17"/>
        <v>-7.6933107315164895E-2</v>
      </c>
      <c r="J18" s="8">
        <f t="shared" si="17"/>
        <v>9.7137159948725182E-2</v>
      </c>
      <c r="K18" s="8">
        <f>+K3/G3-1</f>
        <v>8.6128894579598825E-2</v>
      </c>
      <c r="L18" s="8">
        <f>+L3/H3-1</f>
        <v>-8.9582207120241231E-3</v>
      </c>
      <c r="M18" s="8">
        <f>+M3/I3-1</f>
        <v>-6.1731883034326862E-2</v>
      </c>
      <c r="N18" s="8">
        <f>+N3/M3-1</f>
        <v>1.2044564890092424E-3</v>
      </c>
      <c r="O18" s="8">
        <v>0.05</v>
      </c>
      <c r="P18" s="8">
        <v>0.05</v>
      </c>
      <c r="Q18" s="8">
        <v>0.05</v>
      </c>
      <c r="R18" s="8">
        <v>0.05</v>
      </c>
    </row>
    <row r="19" spans="2:18" x14ac:dyDescent="0.2">
      <c r="B19" t="s">
        <v>24</v>
      </c>
      <c r="C19" s="8">
        <f t="shared" ref="C19:L19" si="18">+C5/C3</f>
        <v>0.50367787282733067</v>
      </c>
      <c r="D19" s="8">
        <f t="shared" si="18"/>
        <v>0.36466288101298872</v>
      </c>
      <c r="E19" s="8">
        <f t="shared" si="18"/>
        <v>0.42606597991915501</v>
      </c>
      <c r="F19" s="8">
        <f t="shared" si="18"/>
        <v>0.39168209656744052</v>
      </c>
      <c r="G19" s="8">
        <f t="shared" si="18"/>
        <v>0.34212548015364919</v>
      </c>
      <c r="H19" s="8">
        <f t="shared" si="18"/>
        <v>0.35817437639972199</v>
      </c>
      <c r="I19" s="8">
        <f t="shared" si="18"/>
        <v>0.42506003672835146</v>
      </c>
      <c r="J19" s="8">
        <f t="shared" si="18"/>
        <v>0.45741918732961184</v>
      </c>
      <c r="K19" s="8">
        <f t="shared" si="18"/>
        <v>0.41001257466205598</v>
      </c>
      <c r="L19" s="8">
        <f t="shared" si="18"/>
        <v>0.35432089145172602</v>
      </c>
      <c r="M19" s="8">
        <f>+M5/M3</f>
        <v>0.15033122553447756</v>
      </c>
      <c r="N19" s="8">
        <v>0.3</v>
      </c>
      <c r="O19" s="8">
        <v>0.3</v>
      </c>
      <c r="P19" s="8">
        <v>0.3</v>
      </c>
      <c r="Q19" s="8">
        <v>0.3</v>
      </c>
      <c r="R19" s="8">
        <v>0.3</v>
      </c>
    </row>
    <row r="20" spans="2:18" x14ac:dyDescent="0.2">
      <c r="B20" t="s">
        <v>32</v>
      </c>
      <c r="C20" s="8">
        <f>+C13/C12</f>
        <v>0.16023186005589485</v>
      </c>
      <c r="D20" s="8">
        <f t="shared" ref="D20:M20" si="19">+D13/D12</f>
        <v>0.50055005500550054</v>
      </c>
      <c r="E20" s="8"/>
      <c r="F20" s="8">
        <f t="shared" si="19"/>
        <v>0.16959798994974876</v>
      </c>
      <c r="G20" s="8"/>
      <c r="H20" s="8"/>
      <c r="I20" s="8"/>
      <c r="J20" s="8">
        <f t="shared" si="19"/>
        <v>4.5911047345767578E-2</v>
      </c>
      <c r="K20" s="8">
        <f t="shared" si="19"/>
        <v>0.60778859527120999</v>
      </c>
      <c r="L20" s="8">
        <f t="shared" si="19"/>
        <v>0.17465069860279442</v>
      </c>
      <c r="M20" s="8">
        <f t="shared" si="19"/>
        <v>-0.86979969183359018</v>
      </c>
    </row>
    <row r="21" spans="2:18" x14ac:dyDescent="0.2">
      <c r="B21" t="s">
        <v>51</v>
      </c>
      <c r="C21" s="8">
        <f>+C6/C3</f>
        <v>0.23767231515283604</v>
      </c>
      <c r="D21" s="8">
        <f t="shared" ref="D21:M21" si="20">+D6/D3</f>
        <v>0.28718752039684092</v>
      </c>
      <c r="E21" s="8">
        <f t="shared" si="20"/>
        <v>0.2804798539574912</v>
      </c>
      <c r="F21" s="8">
        <f t="shared" si="20"/>
        <v>0.31790343255946446</v>
      </c>
      <c r="G21" s="8">
        <f t="shared" si="20"/>
        <v>0.35074690567648314</v>
      </c>
      <c r="H21" s="8">
        <f t="shared" si="20"/>
        <v>0.31508224573326127</v>
      </c>
      <c r="I21" s="8">
        <f t="shared" si="20"/>
        <v>0.27334369261195085</v>
      </c>
      <c r="J21" s="8">
        <f t="shared" si="20"/>
        <v>0.25879527456835</v>
      </c>
      <c r="K21" s="8">
        <f t="shared" si="20"/>
        <v>0.34438855705752908</v>
      </c>
      <c r="L21" s="8">
        <f t="shared" si="20"/>
        <v>0.33032026805891063</v>
      </c>
      <c r="M21" s="8">
        <f t="shared" si="20"/>
        <v>0.30480277024992475</v>
      </c>
    </row>
    <row r="22" spans="2:18" x14ac:dyDescent="0.2">
      <c r="B22" t="s">
        <v>52</v>
      </c>
      <c r="M22">
        <v>115</v>
      </c>
    </row>
    <row r="25" spans="2:18" x14ac:dyDescent="0.2">
      <c r="B25" t="s">
        <v>53</v>
      </c>
      <c r="M25" s="2">
        <v>5123</v>
      </c>
    </row>
    <row r="26" spans="2:18" x14ac:dyDescent="0.2">
      <c r="B26" t="s">
        <v>55</v>
      </c>
      <c r="M26" s="2">
        <v>-14492</v>
      </c>
    </row>
    <row r="27" spans="2:18" x14ac:dyDescent="0.2">
      <c r="B27" t="s">
        <v>56</v>
      </c>
      <c r="M27" s="2">
        <v>11075</v>
      </c>
    </row>
    <row r="28" spans="2:18" x14ac:dyDescent="0.2">
      <c r="B28" t="s">
        <v>54</v>
      </c>
      <c r="M28" s="2">
        <v>-18110</v>
      </c>
    </row>
    <row r="29" spans="2:18" x14ac:dyDescent="0.2">
      <c r="B29" t="s">
        <v>57</v>
      </c>
      <c r="M29" s="2"/>
    </row>
    <row r="43" spans="2:13" x14ac:dyDescent="0.2">
      <c r="B43" t="s">
        <v>3</v>
      </c>
      <c r="M43" s="2">
        <v>8785</v>
      </c>
    </row>
    <row r="44" spans="2:13" x14ac:dyDescent="0.2">
      <c r="B44" t="s">
        <v>35</v>
      </c>
      <c r="M44" s="2">
        <v>15301</v>
      </c>
    </row>
    <row r="45" spans="2:13" x14ac:dyDescent="0.2">
      <c r="B45" t="s">
        <v>36</v>
      </c>
      <c r="M45" s="2">
        <v>3121</v>
      </c>
    </row>
    <row r="46" spans="2:13" x14ac:dyDescent="0.2">
      <c r="B46" t="s">
        <v>37</v>
      </c>
      <c r="M46" s="2">
        <f>1434+6971+3657</f>
        <v>12062</v>
      </c>
    </row>
    <row r="47" spans="2:13" x14ac:dyDescent="0.2">
      <c r="B47" t="s">
        <v>27</v>
      </c>
      <c r="M47" s="2">
        <v>6868</v>
      </c>
    </row>
    <row r="48" spans="2:13" x14ac:dyDescent="0.2">
      <c r="B48" t="s">
        <v>38</v>
      </c>
      <c r="M48" s="2">
        <v>104248</v>
      </c>
    </row>
    <row r="49" spans="2:13" x14ac:dyDescent="0.2">
      <c r="B49" t="s">
        <v>40</v>
      </c>
      <c r="M49" s="2">
        <v>5496</v>
      </c>
    </row>
    <row r="50" spans="2:13" x14ac:dyDescent="0.2">
      <c r="B50" t="s">
        <v>41</v>
      </c>
      <c r="M50" s="2">
        <v>24680</v>
      </c>
    </row>
    <row r="51" spans="2:13" x14ac:dyDescent="0.2">
      <c r="B51" t="s">
        <v>42</v>
      </c>
      <c r="M51" s="2">
        <v>3975</v>
      </c>
    </row>
    <row r="52" spans="2:13" x14ac:dyDescent="0.2">
      <c r="B52" t="s">
        <v>27</v>
      </c>
      <c r="M52" s="2">
        <v>9006</v>
      </c>
    </row>
    <row r="53" spans="2:13" s="1" customFormat="1" x14ac:dyDescent="0.2">
      <c r="B53" s="1" t="s">
        <v>43</v>
      </c>
      <c r="M53" s="3">
        <f>+SUM(M43:M52)</f>
        <v>193542</v>
      </c>
    </row>
    <row r="55" spans="2:13" x14ac:dyDescent="0.2">
      <c r="B55" t="s">
        <v>44</v>
      </c>
      <c r="M55" s="2">
        <v>11074</v>
      </c>
    </row>
    <row r="56" spans="2:13" x14ac:dyDescent="0.2">
      <c r="B56" t="s">
        <v>39</v>
      </c>
      <c r="M56" s="2">
        <v>5015</v>
      </c>
    </row>
    <row r="57" spans="2:13" x14ac:dyDescent="0.2">
      <c r="B57" t="s">
        <v>45</v>
      </c>
      <c r="M57" s="2">
        <v>3765</v>
      </c>
    </row>
    <row r="58" spans="2:13" x14ac:dyDescent="0.2">
      <c r="B58" t="s">
        <v>32</v>
      </c>
      <c r="M58" s="2">
        <v>2440</v>
      </c>
    </row>
    <row r="59" spans="2:13" x14ac:dyDescent="0.2">
      <c r="B59" t="s">
        <v>27</v>
      </c>
      <c r="M59" s="2">
        <v>12865</v>
      </c>
    </row>
    <row r="60" spans="2:13" x14ac:dyDescent="0.2">
      <c r="B60" t="s">
        <v>4</v>
      </c>
      <c r="M60" s="2">
        <v>46471</v>
      </c>
    </row>
    <row r="61" spans="2:13" x14ac:dyDescent="0.2">
      <c r="B61" t="s">
        <v>27</v>
      </c>
      <c r="M61" s="2">
        <v>7048</v>
      </c>
    </row>
    <row r="62" spans="2:13" s="1" customFormat="1" x14ac:dyDescent="0.2">
      <c r="B62" s="1" t="s">
        <v>46</v>
      </c>
      <c r="M62" s="3">
        <f>+SUM(M55:M61)</f>
        <v>88678</v>
      </c>
    </row>
    <row r="64" spans="2:13" x14ac:dyDescent="0.2">
      <c r="B64" t="s">
        <v>47</v>
      </c>
      <c r="M64" s="2">
        <f>99532+5332</f>
        <v>104864</v>
      </c>
    </row>
    <row r="65" spans="2:13" x14ac:dyDescent="0.2">
      <c r="B65" t="s">
        <v>48</v>
      </c>
      <c r="M65" s="2">
        <f>+M64+M62</f>
        <v>193542</v>
      </c>
    </row>
  </sheetData>
  <hyperlinks>
    <hyperlink ref="A1" r:id="rId1" xr:uid="{9917272C-F1F5-4B60-9241-90B5601C3083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2025-01-20T14:40:24Z</dcterms:created>
  <dcterms:modified xsi:type="dcterms:W3CDTF">2025-01-20T20:09:54Z</dcterms:modified>
</cp:coreProperties>
</file>