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88538899-86CB-4399-8F61-25F526013AC7}" xr6:coauthVersionLast="47" xr6:coauthVersionMax="47" xr10:uidLastSave="{00000000-0000-0000-0000-000000000000}"/>
  <bookViews>
    <workbookView xWindow="9345" yWindow="705" windowWidth="19515" windowHeight="14340" xr2:uid="{DC7BB704-11A0-48FF-987E-49ECAA1109C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W7" i="2"/>
  <c r="L2" i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G51" i="2"/>
  <c r="G42" i="2"/>
  <c r="G35" i="2"/>
  <c r="G36" i="2" s="1"/>
  <c r="G27" i="2" s="1"/>
  <c r="K51" i="2"/>
  <c r="K42" i="2"/>
  <c r="K35" i="2"/>
  <c r="K36" i="2" s="1"/>
  <c r="K27" i="2" s="1"/>
  <c r="J51" i="2"/>
  <c r="J42" i="2"/>
  <c r="J35" i="2"/>
  <c r="J36" i="2" s="1"/>
  <c r="J27" i="2" s="1"/>
  <c r="H51" i="2"/>
  <c r="H42" i="2"/>
  <c r="H35" i="2"/>
  <c r="H36" i="2" s="1"/>
  <c r="H27" i="2" s="1"/>
  <c r="L51" i="2"/>
  <c r="L42" i="2"/>
  <c r="L35" i="2"/>
  <c r="L36" i="2" s="1"/>
  <c r="L27" i="2" s="1"/>
  <c r="I51" i="2"/>
  <c r="I42" i="2"/>
  <c r="I35" i="2"/>
  <c r="I36" i="2" s="1"/>
  <c r="I27" i="2" s="1"/>
  <c r="M44" i="2"/>
  <c r="M51" i="2" s="1"/>
  <c r="M42" i="2"/>
  <c r="M35" i="2"/>
  <c r="M36" i="2" s="1"/>
  <c r="M27" i="2" s="1"/>
  <c r="N51" i="2"/>
  <c r="N42" i="2"/>
  <c r="N35" i="2"/>
  <c r="N36" i="2" s="1"/>
  <c r="N27" i="2" s="1"/>
  <c r="M22" i="2"/>
  <c r="L22" i="2"/>
  <c r="K22" i="2"/>
  <c r="J22" i="2"/>
  <c r="I22" i="2"/>
  <c r="H22" i="2"/>
  <c r="G22" i="2"/>
  <c r="N22" i="2"/>
  <c r="F13" i="2"/>
  <c r="F9" i="2"/>
  <c r="F23" i="2" s="1"/>
  <c r="J13" i="2"/>
  <c r="J9" i="2"/>
  <c r="J23" i="2" s="1"/>
  <c r="N13" i="2"/>
  <c r="N9" i="2"/>
  <c r="N23" i="2" s="1"/>
  <c r="C13" i="2"/>
  <c r="C9" i="2"/>
  <c r="C23" i="2" s="1"/>
  <c r="D13" i="2"/>
  <c r="D9" i="2"/>
  <c r="D23" i="2" s="1"/>
  <c r="E13" i="2"/>
  <c r="E9" i="2"/>
  <c r="E23" i="2" s="1"/>
  <c r="G13" i="2"/>
  <c r="G9" i="2"/>
  <c r="G23" i="2" s="1"/>
  <c r="K13" i="2"/>
  <c r="K9" i="2"/>
  <c r="K23" i="2" s="1"/>
  <c r="H13" i="2"/>
  <c r="H9" i="2"/>
  <c r="H23" i="2" s="1"/>
  <c r="L13" i="2"/>
  <c r="L9" i="2"/>
  <c r="L23" i="2" s="1"/>
  <c r="I13" i="2"/>
  <c r="I9" i="2"/>
  <c r="I23" i="2" s="1"/>
  <c r="M13" i="2"/>
  <c r="M9" i="2"/>
  <c r="M23" i="2" s="1"/>
  <c r="J10" i="1"/>
  <c r="J8" i="1"/>
  <c r="J7" i="1"/>
  <c r="J6" i="1"/>
  <c r="J5" i="1"/>
  <c r="M14" i="2" l="1"/>
  <c r="F14" i="2"/>
  <c r="J14" i="2"/>
  <c r="N14" i="2"/>
  <c r="C14" i="2"/>
  <c r="D14" i="2"/>
  <c r="E14" i="2"/>
  <c r="G14" i="2"/>
  <c r="K14" i="2"/>
  <c r="H14" i="2"/>
  <c r="L14" i="2"/>
  <c r="I14" i="2"/>
  <c r="E16" i="2" l="1"/>
  <c r="E18" i="2" s="1"/>
  <c r="E19" i="2" s="1"/>
  <c r="E24" i="2"/>
  <c r="N16" i="2"/>
  <c r="N18" i="2" s="1"/>
  <c r="N19" i="2" s="1"/>
  <c r="N24" i="2"/>
  <c r="G16" i="2"/>
  <c r="G18" i="2" s="1"/>
  <c r="G19" i="2" s="1"/>
  <c r="G24" i="2"/>
  <c r="D16" i="2"/>
  <c r="D18" i="2" s="1"/>
  <c r="D19" i="2" s="1"/>
  <c r="D24" i="2"/>
  <c r="L16" i="2"/>
  <c r="L18" i="2" s="1"/>
  <c r="L19" i="2" s="1"/>
  <c r="L24" i="2"/>
  <c r="C16" i="2"/>
  <c r="C18" i="2" s="1"/>
  <c r="C19" i="2" s="1"/>
  <c r="C24" i="2"/>
  <c r="I16" i="2"/>
  <c r="I18" i="2" s="1"/>
  <c r="I19" i="2" s="1"/>
  <c r="I24" i="2"/>
  <c r="J16" i="2"/>
  <c r="J18" i="2" s="1"/>
  <c r="J19" i="2" s="1"/>
  <c r="J24" i="2"/>
  <c r="H16" i="2"/>
  <c r="H18" i="2" s="1"/>
  <c r="H19" i="2" s="1"/>
  <c r="H24" i="2"/>
  <c r="F16" i="2"/>
  <c r="F18" i="2" s="1"/>
  <c r="F19" i="2" s="1"/>
  <c r="F24" i="2"/>
  <c r="K16" i="2"/>
  <c r="K18" i="2" s="1"/>
  <c r="K24" i="2"/>
  <c r="M16" i="2"/>
  <c r="M18" i="2" s="1"/>
  <c r="M19" i="2" s="1"/>
  <c r="M24" i="2"/>
  <c r="K19" i="2" l="1"/>
  <c r="W18" i="2"/>
  <c r="W19" i="2" l="1"/>
  <c r="W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B4" authorId="0" shapeId="0" xr:uid="{115081CD-FEBC-4EA7-9B2E-EAF7C11D88E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Applied Global Services
</t>
        </r>
      </text>
    </comment>
    <comment ref="O7" authorId="0" shapeId="0" xr:uid="{5F7EF3F9-8924-4C0B-A360-DEDFDBB8FE2D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guidance, 7150 +-400
</t>
        </r>
      </text>
    </comment>
    <comment ref="B46" authorId="0" shapeId="0" xr:uid="{E1AAE09A-9A49-4AE1-9C9B-6C34A640E7FE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common stock issuances
</t>
        </r>
      </text>
    </comment>
  </commentList>
</comments>
</file>

<file path=xl/sharedStrings.xml><?xml version="1.0" encoding="utf-8"?>
<sst xmlns="http://schemas.openxmlformats.org/spreadsheetml/2006/main" count="97" uniqueCount="91">
  <si>
    <t>Price</t>
  </si>
  <si>
    <t>Shares</t>
  </si>
  <si>
    <t>MC</t>
  </si>
  <si>
    <t>Cash</t>
  </si>
  <si>
    <t>Debt</t>
  </si>
  <si>
    <t>EV</t>
  </si>
  <si>
    <t>Q324</t>
  </si>
  <si>
    <t>Main</t>
  </si>
  <si>
    <t>NC</t>
  </si>
  <si>
    <t>Semiconductor systems</t>
  </si>
  <si>
    <t>Applied Global Services</t>
  </si>
  <si>
    <t>Display and Adjacent Markets</t>
  </si>
  <si>
    <t>epitaxy</t>
  </si>
  <si>
    <t>ion implantation</t>
  </si>
  <si>
    <t>oxidation/nitridation</t>
  </si>
  <si>
    <t>rapid thermal processing</t>
  </si>
  <si>
    <t>physical vapor deposition</t>
  </si>
  <si>
    <t>atomic layer deposition</t>
  </si>
  <si>
    <t>etching</t>
  </si>
  <si>
    <t>selective deposition</t>
  </si>
  <si>
    <t>metrology and inspection tools</t>
  </si>
  <si>
    <t>Patents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</si>
  <si>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</si>
  <si>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</si>
  <si>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</si>
  <si>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</si>
  <si>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</si>
  <si>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</si>
  <si>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</si>
  <si>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</si>
  <si>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</si>
  <si>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</si>
  <si>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</si>
  <si>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</si>
  <si>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</si>
  <si>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</si>
  <si>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</si>
  <si>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</si>
  <si>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</si>
  <si>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</si>
  <si>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R&amp;D</t>
  </si>
  <si>
    <t>M&amp;S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</si>
  <si>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</si>
  <si>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</si>
  <si>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</si>
  <si>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</si>
  <si>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</si>
  <si>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</si>
  <si>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</si>
  <si>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</si>
  <si>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Gross Margin</t>
  </si>
  <si>
    <t>Revenue y/y</t>
  </si>
  <si>
    <t>Operating Margin</t>
  </si>
  <si>
    <t>Net Cash</t>
  </si>
  <si>
    <t>Reported NI</t>
  </si>
  <si>
    <t>Model NI</t>
  </si>
  <si>
    <t>DA</t>
  </si>
  <si>
    <t>SBC</t>
  </si>
  <si>
    <t>DT</t>
  </si>
  <si>
    <t>WC</t>
  </si>
  <si>
    <t>CFFO</t>
  </si>
  <si>
    <t>CapEX</t>
  </si>
  <si>
    <t>FCF</t>
  </si>
  <si>
    <t>Acquisitions</t>
  </si>
  <si>
    <t>Investments</t>
  </si>
  <si>
    <t>Proceeds</t>
  </si>
  <si>
    <t>CFFI</t>
  </si>
  <si>
    <t>Financing</t>
  </si>
  <si>
    <t>Repayments</t>
  </si>
  <si>
    <t>CSI</t>
  </si>
  <si>
    <t>Repurchases</t>
  </si>
  <si>
    <t>Dividends</t>
  </si>
  <si>
    <t>Leases</t>
  </si>
  <si>
    <t xml:space="preserve"> </t>
  </si>
  <si>
    <t>2024E</t>
  </si>
  <si>
    <t>EV/E</t>
  </si>
  <si>
    <t>2024, apprx. 86% of net revenue was to outside US</t>
  </si>
  <si>
    <t>Semiconductor Systems</t>
  </si>
  <si>
    <t>AGS</t>
  </si>
  <si>
    <t>Display</t>
  </si>
  <si>
    <t>Corporate, other</t>
  </si>
  <si>
    <t>Revenue by country</t>
  </si>
  <si>
    <t>China</t>
  </si>
  <si>
    <t>Korea</t>
  </si>
  <si>
    <t>Taiwan</t>
  </si>
  <si>
    <t>Japan</t>
  </si>
  <si>
    <t>Other</t>
  </si>
  <si>
    <t>US</t>
  </si>
  <si>
    <t>Europe</t>
  </si>
  <si>
    <t>Samsung</t>
  </si>
  <si>
    <t>TSMC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</si>
</sst>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0" fontId="3" fillId="0" borderId="0" xfId="0" applyFont="1"/>
    <xf numFmtId="4" fontId="0" fillId="0" borderId="0" xfId="0" applyNumberFormat="1"/>
    <xf numFmtId="0" fontId="4" fillId="0" borderId="0" xfId="0" applyFont="1"/>
    <xf numFmtId="3" fontId="4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610913</xdr:colOff>
      <xdr:row>0</xdr:row>
      <xdr:rowOff>19707</xdr:rowOff>
    </xdr:from>
    <xdr:to>
      <xdr:col>14</xdr:col>
      <xdr:colOff>13138</xdr:colOff>
      <xdr:row>51</xdr:row>
      <xdr:rowOff>144518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047BE1-2329-6DCB-EAA7-E7D34E7C0BBE}"/>
            </a:ext>
          </a:extLst>
        </xdr:cNvPr>
        <xdr:cNvCxnSpPr/>
      </xdr:nvCxnSpPr>
      <xdr:spPr>
        <a:xfrm>
          <a:off x="8684172" y="19707"/>
          <a:ext cx="13138" cy="76791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8FC8-0697-4E0F-8810-E04940C0F812}">
  <dimension ref="B2:L18"/>
  <sheetViews>
    <sheetView tabSelected="1" topLeftCell="B1" zoomScale="160" zoomScaleNormal="160" workbookViewId="0">
      <selection activeCell="E12" sqref="E12"/>
    </sheetView>
  </sheetViews>
  <sheetFormatPr defaultRowHeight="12.75" x14ac:dyDescent="0.2"/>
  <sheetData>
    <row r="2" spans="2:12" x14ac:dyDescent="0.2">
      <c r="E2" s="4" t="s">
        <v>81</v>
      </c>
      <c r="L2">
        <f>+J3/L3</f>
        <v>22.008749999999999</v>
      </c>
    </row>
    <row r="3" spans="2:12" x14ac:dyDescent="0.2">
      <c r="B3" t="s">
        <v>10</v>
      </c>
      <c r="E3" s="6" t="s">
        <v>82</v>
      </c>
      <c r="F3" s="8">
        <v>0.37</v>
      </c>
      <c r="I3" t="s">
        <v>0</v>
      </c>
      <c r="J3">
        <v>176.07</v>
      </c>
      <c r="L3">
        <v>8</v>
      </c>
    </row>
    <row r="4" spans="2:12" x14ac:dyDescent="0.2">
      <c r="B4" t="s">
        <v>11</v>
      </c>
      <c r="E4" t="s">
        <v>83</v>
      </c>
      <c r="F4" s="8">
        <v>0.17</v>
      </c>
      <c r="I4" t="s">
        <v>1</v>
      </c>
      <c r="J4" s="1">
        <v>824</v>
      </c>
      <c r="K4" t="s">
        <v>6</v>
      </c>
    </row>
    <row r="5" spans="2:12" x14ac:dyDescent="0.2">
      <c r="E5" t="s">
        <v>84</v>
      </c>
      <c r="F5" s="8">
        <v>0.15</v>
      </c>
      <c r="I5" t="s">
        <v>2</v>
      </c>
      <c r="J5" s="1">
        <f>+J3*J4</f>
        <v>145081.68</v>
      </c>
    </row>
    <row r="6" spans="2:12" x14ac:dyDescent="0.2">
      <c r="E6" t="s">
        <v>85</v>
      </c>
      <c r="F6" s="8">
        <v>0.08</v>
      </c>
      <c r="I6" t="s">
        <v>3</v>
      </c>
      <c r="J6" s="1">
        <f>8288+815</f>
        <v>9103</v>
      </c>
      <c r="K6" t="s">
        <v>6</v>
      </c>
    </row>
    <row r="7" spans="2:12" x14ac:dyDescent="0.2">
      <c r="B7" s="4" t="s">
        <v>9</v>
      </c>
      <c r="E7" t="s">
        <v>86</v>
      </c>
      <c r="F7" s="8">
        <v>0.04</v>
      </c>
      <c r="I7" t="s">
        <v>4</v>
      </c>
      <c r="J7" s="1">
        <f>99+6158</f>
        <v>6257</v>
      </c>
      <c r="K7" t="s">
        <v>6</v>
      </c>
    </row>
    <row r="8" spans="2:12" x14ac:dyDescent="0.2">
      <c r="B8" t="s">
        <v>12</v>
      </c>
      <c r="E8" t="s">
        <v>87</v>
      </c>
      <c r="F8" s="8">
        <v>0.14000000000000001</v>
      </c>
      <c r="I8" t="s">
        <v>5</v>
      </c>
      <c r="J8" s="2">
        <f>+J5-J6+J7</f>
        <v>142235.68</v>
      </c>
    </row>
    <row r="9" spans="2:12" x14ac:dyDescent="0.2">
      <c r="B9" t="s">
        <v>13</v>
      </c>
      <c r="E9" t="s">
        <v>88</v>
      </c>
      <c r="F9" s="8">
        <v>0.05</v>
      </c>
    </row>
    <row r="10" spans="2:12" x14ac:dyDescent="0.2">
      <c r="B10" t="s">
        <v>14</v>
      </c>
      <c r="I10" t="s">
        <v>8</v>
      </c>
      <c r="J10" s="1">
        <f>+J6-J7</f>
        <v>2846</v>
      </c>
    </row>
    <row r="11" spans="2:12" x14ac:dyDescent="0.2">
      <c r="B11" t="s">
        <v>15</v>
      </c>
      <c r="E11" t="s">
        <v>89</v>
      </c>
    </row>
    <row r="12" spans="2:12" x14ac:dyDescent="0.2">
      <c r="B12" t="s">
        <v>16</v>
      </c>
      <c r="E12" t="s">
        <v>90</v>
      </c>
      <c r="I12" t="s">
        <v>74</v>
      </c>
      <c r="J12">
        <v>6645</v>
      </c>
    </row>
    <row r="13" spans="2:12" x14ac:dyDescent="0.2">
      <c r="B13" t="s">
        <v>17</v>
      </c>
    </row>
    <row r="14" spans="2:12" x14ac:dyDescent="0.2">
      <c r="B14" t="s">
        <v>18</v>
      </c>
    </row>
    <row r="15" spans="2:12" x14ac:dyDescent="0.2">
      <c r="B15" t="s">
        <v>19</v>
      </c>
    </row>
    <row r="16" spans="2:12" x14ac:dyDescent="0.2">
      <c r="B16" t="s">
        <v>20</v>
      </c>
    </row>
    <row r="18" spans="2:2" x14ac:dyDescent="0.2">
      <c r="B1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D26F-B6C5-4B77-B8EF-3FD9737441B1}">
  <dimension ref="A1:AL51"/>
  <sheetViews>
    <sheetView zoomScale="130" zoomScaleNormal="13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9" sqref="O9"/>
    </sheetView>
  </sheetViews>
  <sheetFormatPr defaultRowHeight="12.75" x14ac:dyDescent="0.2"/>
  <cols>
    <col min="1" max="1" width="5" bestFit="1" customWidth="1"/>
    <col min="2" max="2" width="15.28515625" bestFit="1" customWidth="1"/>
  </cols>
  <sheetData>
    <row r="1" spans="1:38" x14ac:dyDescent="0.2">
      <c r="A1" s="3" t="s">
        <v>7</v>
      </c>
    </row>
    <row r="2" spans="1:38" x14ac:dyDescent="0.2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6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U2">
        <v>2022</v>
      </c>
      <c r="V2">
        <f>+U2+1</f>
        <v>2023</v>
      </c>
      <c r="W2">
        <f t="shared" ref="W2:AL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si="0"/>
        <v>2036</v>
      </c>
      <c r="AJ2">
        <f t="shared" si="0"/>
        <v>2037</v>
      </c>
      <c r="AK2">
        <f t="shared" si="0"/>
        <v>2038</v>
      </c>
      <c r="AL2">
        <f t="shared" si="0"/>
        <v>2039</v>
      </c>
    </row>
    <row r="3" spans="1:38" x14ac:dyDescent="0.2">
      <c r="B3" t="s">
        <v>77</v>
      </c>
      <c r="V3" s="1">
        <v>19968</v>
      </c>
      <c r="W3" s="1">
        <v>19911</v>
      </c>
    </row>
    <row r="4" spans="1:38" x14ac:dyDescent="0.2">
      <c r="B4" t="s">
        <v>78</v>
      </c>
      <c r="V4" s="1">
        <v>5732</v>
      </c>
      <c r="W4" s="1">
        <v>6225</v>
      </c>
    </row>
    <row r="5" spans="1:38" x14ac:dyDescent="0.2">
      <c r="B5" t="s">
        <v>79</v>
      </c>
      <c r="V5" s="1">
        <v>868</v>
      </c>
      <c r="W5" s="1">
        <v>885</v>
      </c>
    </row>
    <row r="6" spans="1:38" x14ac:dyDescent="0.2">
      <c r="B6" t="s">
        <v>80</v>
      </c>
      <c r="V6" s="1">
        <v>219</v>
      </c>
      <c r="W6" s="1">
        <v>155</v>
      </c>
    </row>
    <row r="7" spans="1:38" s="6" customFormat="1" x14ac:dyDescent="0.2">
      <c r="B7" s="6" t="s">
        <v>37</v>
      </c>
      <c r="C7" s="7">
        <v>6271</v>
      </c>
      <c r="D7" s="7">
        <v>6425</v>
      </c>
      <c r="E7" s="7">
        <v>6520</v>
      </c>
      <c r="F7" s="7">
        <v>6749</v>
      </c>
      <c r="G7" s="7">
        <v>6739</v>
      </c>
      <c r="H7" s="7">
        <v>6630</v>
      </c>
      <c r="I7" s="7">
        <v>6425</v>
      </c>
      <c r="J7" s="7">
        <v>6723</v>
      </c>
      <c r="K7" s="7">
        <v>6707</v>
      </c>
      <c r="L7" s="7">
        <v>6646</v>
      </c>
      <c r="M7" s="7">
        <v>6778</v>
      </c>
      <c r="N7" s="7">
        <v>7045</v>
      </c>
      <c r="O7" s="7">
        <v>7000</v>
      </c>
      <c r="V7" s="7">
        <f>+SUM(V3:V6)</f>
        <v>26787</v>
      </c>
      <c r="W7" s="7">
        <f>+SUM(W3:W6)</f>
        <v>27176</v>
      </c>
    </row>
    <row r="8" spans="1:38" x14ac:dyDescent="0.2">
      <c r="B8" t="s">
        <v>38</v>
      </c>
      <c r="C8" s="1">
        <v>3312</v>
      </c>
      <c r="D8" s="1">
        <v>3318</v>
      </c>
      <c r="E8" s="1">
        <v>3514</v>
      </c>
      <c r="F8" s="1">
        <v>3648</v>
      </c>
      <c r="G8" s="1">
        <v>3594</v>
      </c>
      <c r="H8" s="1">
        <v>3536</v>
      </c>
      <c r="I8" s="1">
        <v>3449</v>
      </c>
      <c r="J8" s="1">
        <v>3554</v>
      </c>
      <c r="K8" s="1">
        <v>3503</v>
      </c>
      <c r="L8" s="1">
        <v>3493</v>
      </c>
      <c r="M8" s="1">
        <v>3573</v>
      </c>
      <c r="N8" s="1">
        <v>3710</v>
      </c>
    </row>
    <row r="9" spans="1:38" s="6" customFormat="1" x14ac:dyDescent="0.2">
      <c r="B9" s="6" t="s">
        <v>39</v>
      </c>
      <c r="C9" s="7">
        <f t="shared" ref="C9:N9" si="1">+C7-C8</f>
        <v>2959</v>
      </c>
      <c r="D9" s="7">
        <f t="shared" si="1"/>
        <v>3107</v>
      </c>
      <c r="E9" s="7">
        <f t="shared" si="1"/>
        <v>3006</v>
      </c>
      <c r="F9" s="7">
        <f t="shared" si="1"/>
        <v>3101</v>
      </c>
      <c r="G9" s="7">
        <f t="shared" si="1"/>
        <v>3145</v>
      </c>
      <c r="H9" s="7">
        <f t="shared" si="1"/>
        <v>3094</v>
      </c>
      <c r="I9" s="7">
        <f t="shared" si="1"/>
        <v>2976</v>
      </c>
      <c r="J9" s="7">
        <f t="shared" si="1"/>
        <v>3169</v>
      </c>
      <c r="K9" s="7">
        <f t="shared" si="1"/>
        <v>3204</v>
      </c>
      <c r="L9" s="7">
        <f t="shared" si="1"/>
        <v>3153</v>
      </c>
      <c r="M9" s="7">
        <f t="shared" si="1"/>
        <v>3205</v>
      </c>
      <c r="N9" s="7">
        <f t="shared" si="1"/>
        <v>3335</v>
      </c>
    </row>
    <row r="10" spans="1:38" x14ac:dyDescent="0.2">
      <c r="B10" t="s">
        <v>40</v>
      </c>
      <c r="C10" s="1">
        <v>654</v>
      </c>
      <c r="D10" s="1">
        <v>686</v>
      </c>
      <c r="E10" s="1">
        <v>705</v>
      </c>
      <c r="F10" s="1">
        <v>726</v>
      </c>
      <c r="G10" s="1">
        <v>771</v>
      </c>
      <c r="H10" s="1">
        <v>775</v>
      </c>
      <c r="I10" s="1">
        <v>767</v>
      </c>
      <c r="J10" s="1">
        <v>789</v>
      </c>
      <c r="K10" s="1">
        <v>754</v>
      </c>
      <c r="L10" s="1">
        <v>785</v>
      </c>
      <c r="M10" s="1">
        <v>836</v>
      </c>
      <c r="N10" s="1">
        <v>858</v>
      </c>
    </row>
    <row r="11" spans="1:38" x14ac:dyDescent="0.2">
      <c r="B11" t="s">
        <v>41</v>
      </c>
      <c r="C11" s="1">
        <v>167</v>
      </c>
      <c r="D11" s="1">
        <v>173</v>
      </c>
      <c r="E11" s="1">
        <v>180</v>
      </c>
      <c r="F11" s="1">
        <v>183</v>
      </c>
      <c r="G11" s="1">
        <v>197</v>
      </c>
      <c r="H11" s="1">
        <v>194</v>
      </c>
      <c r="I11" s="1">
        <v>193</v>
      </c>
      <c r="J11" s="1">
        <v>192</v>
      </c>
      <c r="K11" s="1">
        <v>207</v>
      </c>
      <c r="L11" s="1">
        <v>209</v>
      </c>
      <c r="M11" s="1">
        <v>205</v>
      </c>
      <c r="N11" s="1">
        <v>215</v>
      </c>
    </row>
    <row r="12" spans="1:38" x14ac:dyDescent="0.2">
      <c r="B12" t="s">
        <v>42</v>
      </c>
      <c r="C12" s="1">
        <v>166</v>
      </c>
      <c r="D12" s="1">
        <v>174</v>
      </c>
      <c r="E12" s="1">
        <v>197</v>
      </c>
      <c r="F12" s="1">
        <v>198</v>
      </c>
      <c r="G12" s="1">
        <v>207</v>
      </c>
      <c r="H12" s="1">
        <v>214</v>
      </c>
      <c r="I12" s="1">
        <v>214</v>
      </c>
      <c r="J12" s="1">
        <v>217</v>
      </c>
      <c r="K12" s="1">
        <v>276</v>
      </c>
      <c r="L12" s="1">
        <v>247</v>
      </c>
      <c r="M12" s="1">
        <v>222</v>
      </c>
      <c r="N12" s="1">
        <v>216</v>
      </c>
    </row>
    <row r="13" spans="1:38" x14ac:dyDescent="0.2">
      <c r="B13" t="s">
        <v>43</v>
      </c>
      <c r="C13" s="1">
        <f t="shared" ref="C13:N13" si="2">+C12+C11+C10</f>
        <v>987</v>
      </c>
      <c r="D13" s="1">
        <f t="shared" si="2"/>
        <v>1033</v>
      </c>
      <c r="E13" s="1">
        <f t="shared" si="2"/>
        <v>1082</v>
      </c>
      <c r="F13" s="1">
        <f t="shared" si="2"/>
        <v>1107</v>
      </c>
      <c r="G13" s="1">
        <f t="shared" si="2"/>
        <v>1175</v>
      </c>
      <c r="H13" s="1">
        <f t="shared" si="2"/>
        <v>1183</v>
      </c>
      <c r="I13" s="1">
        <f t="shared" si="2"/>
        <v>1174</v>
      </c>
      <c r="J13" s="1">
        <f t="shared" si="2"/>
        <v>1198</v>
      </c>
      <c r="K13" s="1">
        <f t="shared" si="2"/>
        <v>1237</v>
      </c>
      <c r="L13" s="1">
        <f t="shared" si="2"/>
        <v>1241</v>
      </c>
      <c r="M13" s="1">
        <f t="shared" si="2"/>
        <v>1263</v>
      </c>
      <c r="N13" s="1">
        <f t="shared" si="2"/>
        <v>1289</v>
      </c>
    </row>
    <row r="14" spans="1:38" x14ac:dyDescent="0.2">
      <c r="B14" t="s">
        <v>44</v>
      </c>
      <c r="C14" s="1">
        <f t="shared" ref="C14:N14" si="3">+C9-C13</f>
        <v>1972</v>
      </c>
      <c r="D14" s="1">
        <f t="shared" si="3"/>
        <v>2074</v>
      </c>
      <c r="E14" s="1">
        <f t="shared" si="3"/>
        <v>1924</v>
      </c>
      <c r="F14" s="1">
        <f t="shared" si="3"/>
        <v>1994</v>
      </c>
      <c r="G14" s="1">
        <f t="shared" si="3"/>
        <v>1970</v>
      </c>
      <c r="H14" s="1">
        <f t="shared" si="3"/>
        <v>1911</v>
      </c>
      <c r="I14" s="1">
        <f t="shared" si="3"/>
        <v>1802</v>
      </c>
      <c r="J14" s="1">
        <f t="shared" si="3"/>
        <v>1971</v>
      </c>
      <c r="K14" s="1">
        <f t="shared" si="3"/>
        <v>1967</v>
      </c>
      <c r="L14" s="1">
        <f t="shared" si="3"/>
        <v>1912</v>
      </c>
      <c r="M14" s="1">
        <f t="shared" si="3"/>
        <v>1942</v>
      </c>
      <c r="N14" s="1">
        <f t="shared" si="3"/>
        <v>2046</v>
      </c>
    </row>
    <row r="15" spans="1:38" x14ac:dyDescent="0.2">
      <c r="B15" t="s">
        <v>45</v>
      </c>
      <c r="C15" s="1">
        <v>57</v>
      </c>
      <c r="D15" s="1">
        <v>58</v>
      </c>
      <c r="E15" s="1">
        <v>56</v>
      </c>
      <c r="F15" s="1">
        <v>57</v>
      </c>
      <c r="G15" s="1">
        <v>59</v>
      </c>
      <c r="H15" s="1">
        <v>61</v>
      </c>
      <c r="I15" s="1">
        <v>60</v>
      </c>
      <c r="J15" s="1">
        <v>58</v>
      </c>
      <c r="K15" s="1">
        <v>59</v>
      </c>
      <c r="L15" s="1">
        <v>59</v>
      </c>
      <c r="M15" s="1">
        <v>63</v>
      </c>
      <c r="N15" s="1">
        <v>66</v>
      </c>
    </row>
    <row r="16" spans="1:38" x14ac:dyDescent="0.2">
      <c r="B16" t="s">
        <v>46</v>
      </c>
      <c r="C16" s="1">
        <f t="shared" ref="C16:N16" si="4">+C14-C15</f>
        <v>1915</v>
      </c>
      <c r="D16" s="1">
        <f t="shared" si="4"/>
        <v>2016</v>
      </c>
      <c r="E16" s="1">
        <f t="shared" si="4"/>
        <v>1868</v>
      </c>
      <c r="F16" s="1">
        <f t="shared" si="4"/>
        <v>1937</v>
      </c>
      <c r="G16" s="1">
        <f t="shared" si="4"/>
        <v>1911</v>
      </c>
      <c r="H16" s="1">
        <f t="shared" si="4"/>
        <v>1850</v>
      </c>
      <c r="I16" s="1">
        <f t="shared" si="4"/>
        <v>1742</v>
      </c>
      <c r="J16" s="1">
        <f t="shared" si="4"/>
        <v>1913</v>
      </c>
      <c r="K16" s="1">
        <f t="shared" si="4"/>
        <v>1908</v>
      </c>
      <c r="L16" s="1">
        <f t="shared" si="4"/>
        <v>1853</v>
      </c>
      <c r="M16" s="1">
        <f t="shared" si="4"/>
        <v>1879</v>
      </c>
      <c r="N16" s="1">
        <f t="shared" si="4"/>
        <v>1980</v>
      </c>
    </row>
    <row r="17" spans="2:23" x14ac:dyDescent="0.2">
      <c r="B17" t="s">
        <v>47</v>
      </c>
      <c r="C17" s="1">
        <v>133</v>
      </c>
      <c r="D17" s="1">
        <v>328</v>
      </c>
      <c r="E17" s="1">
        <v>255</v>
      </c>
      <c r="F17" s="1">
        <v>358</v>
      </c>
      <c r="G17" s="1">
        <v>244</v>
      </c>
      <c r="H17" s="1">
        <v>202</v>
      </c>
      <c r="I17" s="1">
        <v>246</v>
      </c>
      <c r="J17" s="1">
        <v>168</v>
      </c>
      <c r="K17" s="1">
        <v>284</v>
      </c>
      <c r="L17" s="1">
        <v>272</v>
      </c>
      <c r="M17" s="1">
        <v>255</v>
      </c>
      <c r="N17" s="1">
        <v>164</v>
      </c>
    </row>
    <row r="18" spans="2:23" s="6" customFormat="1" x14ac:dyDescent="0.2">
      <c r="B18" s="6" t="s">
        <v>48</v>
      </c>
      <c r="C18" s="7">
        <f t="shared" ref="C18:N18" si="5">+C16-C17</f>
        <v>1782</v>
      </c>
      <c r="D18" s="7">
        <f t="shared" si="5"/>
        <v>1688</v>
      </c>
      <c r="E18" s="7">
        <f t="shared" si="5"/>
        <v>1613</v>
      </c>
      <c r="F18" s="7">
        <f t="shared" si="5"/>
        <v>1579</v>
      </c>
      <c r="G18" s="7">
        <f t="shared" si="5"/>
        <v>1667</v>
      </c>
      <c r="H18" s="7">
        <f t="shared" si="5"/>
        <v>1648</v>
      </c>
      <c r="I18" s="7">
        <f t="shared" si="5"/>
        <v>1496</v>
      </c>
      <c r="J18" s="7">
        <f t="shared" si="5"/>
        <v>1745</v>
      </c>
      <c r="K18" s="7">
        <f t="shared" si="5"/>
        <v>1624</v>
      </c>
      <c r="L18" s="7">
        <f t="shared" si="5"/>
        <v>1581</v>
      </c>
      <c r="M18" s="7">
        <f t="shared" si="5"/>
        <v>1624</v>
      </c>
      <c r="N18" s="7">
        <f t="shared" si="5"/>
        <v>1816</v>
      </c>
      <c r="W18" s="7">
        <f>+SUM(K18:N18)</f>
        <v>6645</v>
      </c>
    </row>
    <row r="19" spans="2:23" x14ac:dyDescent="0.2">
      <c r="B19" t="s">
        <v>49</v>
      </c>
      <c r="C19" s="5">
        <f t="shared" ref="C19:N19" si="6">+C18/C20</f>
        <v>1.9866220735785953</v>
      </c>
      <c r="D19" s="5">
        <f t="shared" si="6"/>
        <v>1.9116647791619479</v>
      </c>
      <c r="E19" s="5">
        <f t="shared" si="6"/>
        <v>1.8561565017261219</v>
      </c>
      <c r="F19" s="5">
        <f t="shared" si="6"/>
        <v>1.8381839348079161</v>
      </c>
      <c r="G19" s="5">
        <f t="shared" si="6"/>
        <v>1.9634864546525324</v>
      </c>
      <c r="H19" s="5">
        <f t="shared" si="6"/>
        <v>1.9456906729634003</v>
      </c>
      <c r="I19" s="5">
        <f t="shared" si="6"/>
        <v>1.774614472123369</v>
      </c>
      <c r="J19" s="5">
        <f t="shared" si="6"/>
        <v>2.0724465558194773</v>
      </c>
      <c r="K19" s="5">
        <f t="shared" si="6"/>
        <v>1.94026284348865</v>
      </c>
      <c r="L19" s="5">
        <f t="shared" si="6"/>
        <v>1.8911483253588517</v>
      </c>
      <c r="M19" s="5">
        <f t="shared" si="6"/>
        <v>1.9495798319327731</v>
      </c>
      <c r="N19" s="5">
        <f t="shared" si="6"/>
        <v>2.1932367149758454</v>
      </c>
      <c r="W19">
        <f>+W18/W20</f>
        <v>8.02536231884058</v>
      </c>
    </row>
    <row r="20" spans="2:23" x14ac:dyDescent="0.2">
      <c r="B20" t="s">
        <v>1</v>
      </c>
      <c r="C20" s="1">
        <v>897</v>
      </c>
      <c r="D20" s="1">
        <v>883</v>
      </c>
      <c r="E20" s="1">
        <v>869</v>
      </c>
      <c r="F20" s="1">
        <v>859</v>
      </c>
      <c r="G20" s="1">
        <v>849</v>
      </c>
      <c r="H20" s="1">
        <v>847</v>
      </c>
      <c r="I20" s="1">
        <v>843</v>
      </c>
      <c r="J20" s="1">
        <v>842</v>
      </c>
      <c r="K20" s="1">
        <v>837</v>
      </c>
      <c r="L20" s="1">
        <v>836</v>
      </c>
      <c r="M20" s="1">
        <v>833</v>
      </c>
      <c r="N20" s="1">
        <v>828</v>
      </c>
      <c r="W20">
        <v>828</v>
      </c>
    </row>
    <row r="22" spans="2:23" x14ac:dyDescent="0.2">
      <c r="B22" t="s">
        <v>51</v>
      </c>
      <c r="G22" s="8">
        <f t="shared" ref="G22:M22" si="7">+G7/C7-1</f>
        <v>7.4629245734332716E-2</v>
      </c>
      <c r="H22" s="8">
        <f t="shared" si="7"/>
        <v>3.1906614785992327E-2</v>
      </c>
      <c r="I22" s="8">
        <f t="shared" si="7"/>
        <v>-1.4570552147239235E-2</v>
      </c>
      <c r="J22" s="8">
        <f t="shared" si="7"/>
        <v>-3.8524225811231716E-3</v>
      </c>
      <c r="K22" s="8">
        <f t="shared" si="7"/>
        <v>-4.7484790028193835E-3</v>
      </c>
      <c r="L22" s="8">
        <f t="shared" si="7"/>
        <v>2.4132730015082871E-3</v>
      </c>
      <c r="M22" s="8">
        <f t="shared" si="7"/>
        <v>5.4941634241245207E-2</v>
      </c>
      <c r="N22" s="8">
        <f>+N7/J7-1</f>
        <v>4.7895284843076036E-2</v>
      </c>
    </row>
    <row r="23" spans="2:23" x14ac:dyDescent="0.2">
      <c r="B23" t="s">
        <v>50</v>
      </c>
      <c r="C23" s="8">
        <f t="shared" ref="C23:M23" si="8">+C9/C7</f>
        <v>0.47185456864933822</v>
      </c>
      <c r="D23" s="8">
        <f t="shared" si="8"/>
        <v>0.48357976653696499</v>
      </c>
      <c r="E23" s="8">
        <f t="shared" si="8"/>
        <v>0.46104294478527608</v>
      </c>
      <c r="F23" s="8">
        <f t="shared" si="8"/>
        <v>0.45947547784857018</v>
      </c>
      <c r="G23" s="8">
        <f t="shared" si="8"/>
        <v>0.46668645199584508</v>
      </c>
      <c r="H23" s="8">
        <f t="shared" si="8"/>
        <v>0.46666666666666667</v>
      </c>
      <c r="I23" s="8">
        <f t="shared" si="8"/>
        <v>0.46319066147859922</v>
      </c>
      <c r="J23" s="8">
        <f t="shared" si="8"/>
        <v>0.47136694927859585</v>
      </c>
      <c r="K23" s="8">
        <f t="shared" si="8"/>
        <v>0.47770985537498134</v>
      </c>
      <c r="L23" s="8">
        <f t="shared" si="8"/>
        <v>0.47442070418296722</v>
      </c>
      <c r="M23" s="8">
        <f t="shared" si="8"/>
        <v>0.47285334907052229</v>
      </c>
      <c r="N23" s="8">
        <f>+N9/N7</f>
        <v>0.47338537970191624</v>
      </c>
    </row>
    <row r="24" spans="2:23" x14ac:dyDescent="0.2">
      <c r="B24" t="s">
        <v>52</v>
      </c>
      <c r="C24" s="8">
        <f>+C14/C7</f>
        <v>0.31446340296603414</v>
      </c>
      <c r="D24" s="8">
        <f t="shared" ref="D24:N24" si="9">+D14/D7</f>
        <v>0.32280155642023345</v>
      </c>
      <c r="E24" s="8">
        <f t="shared" si="9"/>
        <v>0.29509202453987732</v>
      </c>
      <c r="F24" s="8">
        <f t="shared" si="9"/>
        <v>0.2954511779522892</v>
      </c>
      <c r="G24" s="8">
        <f t="shared" si="9"/>
        <v>0.29232823861106988</v>
      </c>
      <c r="H24" s="8">
        <f t="shared" si="9"/>
        <v>0.28823529411764703</v>
      </c>
      <c r="I24" s="8">
        <f t="shared" si="9"/>
        <v>0.28046692607003892</v>
      </c>
      <c r="J24" s="8">
        <f t="shared" si="9"/>
        <v>0.29317269076305219</v>
      </c>
      <c r="K24" s="8">
        <f t="shared" si="9"/>
        <v>0.29327568212315491</v>
      </c>
      <c r="L24" s="8">
        <f t="shared" si="9"/>
        <v>0.28769184471862774</v>
      </c>
      <c r="M24" s="8">
        <f t="shared" si="9"/>
        <v>0.28651519622307464</v>
      </c>
      <c r="N24" s="8">
        <f t="shared" si="9"/>
        <v>0.29041873669268986</v>
      </c>
    </row>
    <row r="25" spans="2:23" x14ac:dyDescent="0.2">
      <c r="B25" t="s">
        <v>75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W25">
        <f>142236/Model!W18</f>
        <v>21.404966139954855</v>
      </c>
    </row>
    <row r="26" spans="2:23" x14ac:dyDescent="0.2">
      <c r="K26" t="s">
        <v>73</v>
      </c>
    </row>
    <row r="27" spans="2:23" x14ac:dyDescent="0.2">
      <c r="B27" t="s">
        <v>62</v>
      </c>
      <c r="G27" s="1">
        <f t="shared" ref="G27:M27" si="10">+G36+G38</f>
        <v>1983</v>
      </c>
      <c r="H27" s="1">
        <f t="shared" si="10"/>
        <v>2037</v>
      </c>
      <c r="I27" s="1">
        <f t="shared" si="10"/>
        <v>2328</v>
      </c>
      <c r="J27" s="1">
        <f t="shared" si="10"/>
        <v>1246</v>
      </c>
      <c r="K27" s="1">
        <f t="shared" si="10"/>
        <v>2096</v>
      </c>
      <c r="L27" s="1">
        <f t="shared" si="10"/>
        <v>1135</v>
      </c>
      <c r="M27" s="1">
        <f t="shared" si="10"/>
        <v>2088</v>
      </c>
      <c r="N27" s="1">
        <f>+N36+N38</f>
        <v>2168</v>
      </c>
    </row>
    <row r="28" spans="2:23" x14ac:dyDescent="0.2">
      <c r="B28" t="s">
        <v>53</v>
      </c>
    </row>
    <row r="30" spans="2:23" x14ac:dyDescent="0.2">
      <c r="B30" t="s">
        <v>55</v>
      </c>
      <c r="G30" s="1">
        <v>1667</v>
      </c>
      <c r="H30" s="1">
        <v>1648</v>
      </c>
      <c r="I30" s="1">
        <v>1496</v>
      </c>
      <c r="J30" s="1">
        <v>1745</v>
      </c>
      <c r="K30" s="1">
        <v>1624</v>
      </c>
      <c r="L30" s="1">
        <v>1581</v>
      </c>
      <c r="M30" s="1">
        <v>1624</v>
      </c>
      <c r="N30" s="1">
        <v>1816</v>
      </c>
    </row>
    <row r="31" spans="2:23" x14ac:dyDescent="0.2">
      <c r="B31" t="s">
        <v>54</v>
      </c>
      <c r="G31" s="1">
        <v>1717</v>
      </c>
      <c r="H31" s="1">
        <v>1575</v>
      </c>
      <c r="I31" s="1">
        <v>1560</v>
      </c>
      <c r="J31" s="1">
        <v>2004</v>
      </c>
      <c r="K31" s="1">
        <v>2019</v>
      </c>
      <c r="L31" s="1">
        <v>1722</v>
      </c>
      <c r="M31" s="1">
        <v>1705</v>
      </c>
      <c r="N31" s="1">
        <v>1731</v>
      </c>
    </row>
    <row r="32" spans="2:23" x14ac:dyDescent="0.2">
      <c r="B32" t="s">
        <v>56</v>
      </c>
      <c r="G32" s="1">
        <v>120</v>
      </c>
      <c r="H32" s="1">
        <v>129</v>
      </c>
      <c r="I32" s="1">
        <v>136</v>
      </c>
      <c r="J32" s="1">
        <v>130</v>
      </c>
      <c r="K32" s="1">
        <v>91</v>
      </c>
      <c r="L32" s="1">
        <v>96</v>
      </c>
      <c r="M32" s="1">
        <v>95</v>
      </c>
      <c r="N32" s="1">
        <v>110</v>
      </c>
    </row>
    <row r="33" spans="2:14" x14ac:dyDescent="0.2">
      <c r="B33" t="s">
        <v>57</v>
      </c>
      <c r="G33" s="1">
        <v>148</v>
      </c>
      <c r="H33" s="1">
        <v>113</v>
      </c>
      <c r="I33" s="1">
        <v>114</v>
      </c>
      <c r="J33" s="1">
        <v>115</v>
      </c>
      <c r="K33" s="1">
        <v>170</v>
      </c>
      <c r="L33" s="1">
        <v>134</v>
      </c>
      <c r="M33" s="1">
        <v>132</v>
      </c>
      <c r="N33" s="1">
        <v>141</v>
      </c>
    </row>
    <row r="34" spans="2:14" x14ac:dyDescent="0.2">
      <c r="B34" t="s">
        <v>58</v>
      </c>
      <c r="G34" s="1">
        <v>-21</v>
      </c>
      <c r="H34" s="1">
        <v>-115</v>
      </c>
      <c r="I34" s="1">
        <v>-38</v>
      </c>
      <c r="J34" s="1">
        <v>198</v>
      </c>
      <c r="K34" s="1">
        <v>-72</v>
      </c>
      <c r="L34" s="1">
        <v>-134</v>
      </c>
      <c r="M34" s="1">
        <v>-179</v>
      </c>
      <c r="N34" s="1">
        <v>-248</v>
      </c>
    </row>
    <row r="35" spans="2:14" x14ac:dyDescent="0.2">
      <c r="B35" t="s">
        <v>59</v>
      </c>
      <c r="G35" s="1">
        <f>7+299</f>
        <v>306</v>
      </c>
      <c r="H35" s="1">
        <f>167+423</f>
        <v>590</v>
      </c>
      <c r="I35" s="1">
        <f>15+796</f>
        <v>811</v>
      </c>
      <c r="J35" s="1">
        <f>+-149+-743</f>
        <v>-892</v>
      </c>
      <c r="K35" s="1">
        <f>+-235+352</f>
        <v>117</v>
      </c>
      <c r="L35" s="1">
        <f>+-12+-414</f>
        <v>-426</v>
      </c>
      <c r="M35" s="1">
        <f>48+584</f>
        <v>632</v>
      </c>
      <c r="N35" s="1">
        <f>246+595</f>
        <v>841</v>
      </c>
    </row>
    <row r="36" spans="2:14" x14ac:dyDescent="0.2">
      <c r="B36" t="s">
        <v>60</v>
      </c>
      <c r="G36" s="1">
        <f t="shared" ref="G36:N36" si="11">+SUM(G31:G35)</f>
        <v>2270</v>
      </c>
      <c r="H36" s="1">
        <f t="shared" si="11"/>
        <v>2292</v>
      </c>
      <c r="I36" s="1">
        <f t="shared" si="11"/>
        <v>2583</v>
      </c>
      <c r="J36" s="1">
        <f t="shared" si="11"/>
        <v>1555</v>
      </c>
      <c r="K36" s="1">
        <f t="shared" si="11"/>
        <v>2325</v>
      </c>
      <c r="L36" s="1">
        <f t="shared" si="11"/>
        <v>1392</v>
      </c>
      <c r="M36" s="1">
        <f t="shared" si="11"/>
        <v>2385</v>
      </c>
      <c r="N36" s="1">
        <f t="shared" si="11"/>
        <v>2575</v>
      </c>
    </row>
    <row r="38" spans="2:14" x14ac:dyDescent="0.2">
      <c r="B38" t="s">
        <v>61</v>
      </c>
      <c r="G38" s="1">
        <v>-287</v>
      </c>
      <c r="H38" s="1">
        <v>-255</v>
      </c>
      <c r="I38" s="1">
        <v>-255</v>
      </c>
      <c r="J38" s="1">
        <v>-309</v>
      </c>
      <c r="K38" s="1">
        <v>-229</v>
      </c>
      <c r="L38" s="1">
        <v>-257</v>
      </c>
      <c r="M38" s="1">
        <v>-297</v>
      </c>
      <c r="N38" s="1">
        <v>-407</v>
      </c>
    </row>
    <row r="39" spans="2:14" x14ac:dyDescent="0.2">
      <c r="B39" t="s">
        <v>63</v>
      </c>
      <c r="G39" s="1">
        <v>-20</v>
      </c>
      <c r="H39" s="1">
        <v>2</v>
      </c>
      <c r="I39" s="1">
        <v>-7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2:14" x14ac:dyDescent="0.2">
      <c r="B40" t="s">
        <v>65</v>
      </c>
      <c r="G40" s="1">
        <v>414</v>
      </c>
      <c r="H40" s="1">
        <v>255</v>
      </c>
      <c r="I40" s="1">
        <v>302</v>
      </c>
      <c r="J40" s="1">
        <v>297</v>
      </c>
      <c r="K40" s="1">
        <v>531</v>
      </c>
      <c r="L40" s="1">
        <v>582</v>
      </c>
      <c r="M40" s="1">
        <v>382</v>
      </c>
      <c r="N40" s="1">
        <v>956</v>
      </c>
    </row>
    <row r="41" spans="2:14" x14ac:dyDescent="0.2">
      <c r="B41" t="s">
        <v>64</v>
      </c>
      <c r="G41" s="1">
        <v>-406</v>
      </c>
      <c r="H41" s="1">
        <v>-324</v>
      </c>
      <c r="I41" s="1">
        <v>-465</v>
      </c>
      <c r="J41" s="1">
        <v>-477</v>
      </c>
      <c r="K41" s="1">
        <v>-749</v>
      </c>
      <c r="L41" s="1">
        <v>-474</v>
      </c>
      <c r="M41" s="1">
        <v>-745</v>
      </c>
      <c r="N41" s="1">
        <v>-1620</v>
      </c>
    </row>
    <row r="42" spans="2:14" x14ac:dyDescent="0.2">
      <c r="B42" t="s">
        <v>66</v>
      </c>
      <c r="G42" s="1">
        <f t="shared" ref="G42:N42" si="12">+SUM(G38:G41)</f>
        <v>-299</v>
      </c>
      <c r="H42" s="1">
        <f t="shared" si="12"/>
        <v>-322</v>
      </c>
      <c r="I42" s="1">
        <f t="shared" si="12"/>
        <v>-425</v>
      </c>
      <c r="J42" s="1">
        <f t="shared" si="12"/>
        <v>-489</v>
      </c>
      <c r="K42" s="1">
        <f t="shared" si="12"/>
        <v>-447</v>
      </c>
      <c r="L42" s="1">
        <f t="shared" si="12"/>
        <v>-149</v>
      </c>
      <c r="M42" s="1">
        <f t="shared" si="12"/>
        <v>-660</v>
      </c>
      <c r="N42" s="1">
        <f t="shared" si="12"/>
        <v>-1071</v>
      </c>
    </row>
    <row r="44" spans="2:14" x14ac:dyDescent="0.2">
      <c r="B44" t="s">
        <v>67</v>
      </c>
      <c r="G44" s="1">
        <v>298</v>
      </c>
      <c r="H44" s="1">
        <v>297</v>
      </c>
      <c r="I44" s="1">
        <v>297</v>
      </c>
      <c r="J44" s="1">
        <v>99</v>
      </c>
      <c r="K44" s="1">
        <v>100</v>
      </c>
      <c r="L44" s="1">
        <v>100</v>
      </c>
      <c r="M44" s="1">
        <f>694+100</f>
        <v>794</v>
      </c>
      <c r="N44" s="1">
        <v>101</v>
      </c>
    </row>
    <row r="45" spans="2:14" x14ac:dyDescent="0.2">
      <c r="B45" t="s">
        <v>68</v>
      </c>
      <c r="G45" s="1">
        <v>-100</v>
      </c>
      <c r="H45" s="1">
        <v>-300</v>
      </c>
      <c r="I45" s="1">
        <v>-300</v>
      </c>
      <c r="J45" s="1">
        <v>-200</v>
      </c>
      <c r="K45" s="1">
        <v>-100</v>
      </c>
      <c r="L45" s="1">
        <v>-100</v>
      </c>
      <c r="M45" s="1">
        <v>-100</v>
      </c>
      <c r="N45" s="1">
        <v>-100</v>
      </c>
    </row>
    <row r="46" spans="2:14" x14ac:dyDescent="0.2">
      <c r="B46" t="s">
        <v>69</v>
      </c>
      <c r="G46" s="1">
        <v>0</v>
      </c>
      <c r="H46" s="1">
        <v>111</v>
      </c>
      <c r="I46" s="1">
        <v>0</v>
      </c>
      <c r="J46" s="1">
        <v>116</v>
      </c>
      <c r="K46" s="1">
        <v>0</v>
      </c>
      <c r="L46" s="1">
        <v>119</v>
      </c>
      <c r="M46" s="1">
        <v>0</v>
      </c>
      <c r="N46" s="1">
        <v>124</v>
      </c>
    </row>
    <row r="47" spans="2:14" x14ac:dyDescent="0.2">
      <c r="B47" t="s">
        <v>70</v>
      </c>
      <c r="G47" s="1">
        <v>-250</v>
      </c>
      <c r="H47" s="1">
        <v>-800</v>
      </c>
      <c r="I47" s="1">
        <v>-439</v>
      </c>
      <c r="J47" s="1">
        <v>-700</v>
      </c>
      <c r="K47" s="1">
        <v>-700</v>
      </c>
      <c r="L47" s="1">
        <v>-820</v>
      </c>
      <c r="M47" s="1">
        <v>-861</v>
      </c>
      <c r="N47" s="1">
        <v>-1442</v>
      </c>
    </row>
    <row r="48" spans="2:14" x14ac:dyDescent="0.2">
      <c r="B48" t="s">
        <v>47</v>
      </c>
      <c r="G48" s="1">
        <v>-136</v>
      </c>
      <c r="H48" s="1">
        <v>-18</v>
      </c>
      <c r="I48" s="1">
        <v>-11</v>
      </c>
      <c r="J48" s="1">
        <v>-14</v>
      </c>
      <c r="K48" s="1">
        <v>-192</v>
      </c>
      <c r="L48" s="1">
        <v>-41</v>
      </c>
      <c r="M48" s="1">
        <v>-25</v>
      </c>
      <c r="N48" s="1">
        <v>-33</v>
      </c>
    </row>
    <row r="49" spans="2:14" x14ac:dyDescent="0.2">
      <c r="B49" t="s">
        <v>71</v>
      </c>
      <c r="G49" s="1">
        <v>-220</v>
      </c>
      <c r="H49" s="1">
        <v>-219</v>
      </c>
      <c r="I49" s="1">
        <v>-268</v>
      </c>
      <c r="J49" s="1">
        <v>-268</v>
      </c>
      <c r="K49" s="1">
        <v>-266</v>
      </c>
      <c r="L49" s="1">
        <v>-266</v>
      </c>
      <c r="M49" s="1">
        <v>-331</v>
      </c>
      <c r="N49" s="1">
        <v>-329</v>
      </c>
    </row>
    <row r="50" spans="2:14" x14ac:dyDescent="0.2">
      <c r="B50" t="s">
        <v>72</v>
      </c>
      <c r="G50" s="1">
        <v>-10</v>
      </c>
      <c r="H50" s="1">
        <v>1</v>
      </c>
      <c r="I50" s="1">
        <v>1</v>
      </c>
      <c r="J50" s="1">
        <v>1</v>
      </c>
      <c r="K50" s="1">
        <v>1</v>
      </c>
      <c r="L50" s="1">
        <v>-14</v>
      </c>
      <c r="M50" s="1">
        <v>1</v>
      </c>
      <c r="N50" s="1">
        <v>-90</v>
      </c>
    </row>
    <row r="51" spans="2:14" x14ac:dyDescent="0.2">
      <c r="B51" t="s">
        <v>66</v>
      </c>
      <c r="G51" s="1">
        <f t="shared" ref="G51:N51" si="13">+SUM(G44:G50)</f>
        <v>-418</v>
      </c>
      <c r="H51" s="1">
        <f t="shared" si="13"/>
        <v>-928</v>
      </c>
      <c r="I51" s="1">
        <f t="shared" si="13"/>
        <v>-720</v>
      </c>
      <c r="J51" s="1">
        <f t="shared" si="13"/>
        <v>-966</v>
      </c>
      <c r="K51" s="1">
        <f t="shared" si="13"/>
        <v>-1157</v>
      </c>
      <c r="L51" s="1">
        <f t="shared" si="13"/>
        <v>-1022</v>
      </c>
      <c r="M51" s="1">
        <f t="shared" si="13"/>
        <v>-522</v>
      </c>
      <c r="N51" s="1">
        <f t="shared" si="13"/>
        <v>-1769</v>
      </c>
    </row>
  </sheetData>
  <hyperlinks>
    <hyperlink ref="A1" r:id="rId1" xr:uid="{64F93514-466B-4B79-AE6F-EA5B3A9B1457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E2D0-78A4-4020-9D63-F61F9020C9E0}">
  <dimension ref="B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3.140625" customWidth="1"/>
  </cols>
  <sheetData>
    <row r="2" spans="2:2" x14ac:dyDescent="0.2">
      <c r="B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2025-02-03T11:41:50Z</dcterms:created>
  <dcterms:modified xsi:type="dcterms:W3CDTF">2025-02-03T17:17:04Z</dcterms:modified>
</cp:coreProperties>
</file>