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EA98643A-8C94-4A6B-A974-400B544846DC}" xr6:coauthVersionLast="47" xr6:coauthVersionMax="47" xr10:uidLastSave="{00000000-0000-0000-0000-000000000000}"/>
  <bookViews>
    <workbookView xWindow="8490" yWindow="1275" windowWidth="19515" windowHeight="14445" activeTab="1" xr2:uid="{CD9BD821-AB0F-D54C-A355-45DF6A10BD0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2" l="1"/>
  <c r="T17" i="2"/>
  <c r="N7" i="2"/>
  <c r="N12" i="2"/>
  <c r="I6" i="1"/>
  <c r="J25" i="2"/>
  <c r="J24" i="2"/>
  <c r="F25" i="2"/>
  <c r="F24" i="2"/>
  <c r="F19" i="2"/>
  <c r="F12" i="2"/>
  <c r="F7" i="2"/>
  <c r="J19" i="2"/>
  <c r="G17" i="2"/>
  <c r="H17" i="2"/>
  <c r="I17" i="2"/>
  <c r="M17" i="2"/>
  <c r="L17" i="2"/>
  <c r="K17" i="2"/>
  <c r="J17" i="2"/>
  <c r="E17" i="2"/>
  <c r="J12" i="2"/>
  <c r="J7" i="2"/>
  <c r="J13" i="2" s="1"/>
  <c r="J18" i="2" s="1"/>
  <c r="G25" i="2"/>
  <c r="G24" i="2"/>
  <c r="N13" i="2" l="1"/>
  <c r="N17" i="2" s="1"/>
  <c r="N18" i="2" s="1"/>
  <c r="F13" i="2"/>
  <c r="F17" i="2" s="1"/>
  <c r="F18" i="2" s="1"/>
  <c r="K50" i="2"/>
  <c r="K53" i="2"/>
  <c r="K45" i="2"/>
  <c r="K35" i="2"/>
  <c r="K36" i="2"/>
  <c r="K22" i="2" s="1"/>
  <c r="I50" i="2"/>
  <c r="I53" i="2"/>
  <c r="I45" i="2"/>
  <c r="I35" i="2"/>
  <c r="I36" i="2"/>
  <c r="I22" i="2" s="1"/>
  <c r="L53" i="2"/>
  <c r="L45" i="2"/>
  <c r="L35" i="2"/>
  <c r="L36" i="2" s="1"/>
  <c r="L22" i="2" s="1"/>
  <c r="M53" i="2"/>
  <c r="M45" i="2"/>
  <c r="M34" i="2"/>
  <c r="M35" i="2"/>
  <c r="E19" i="2"/>
  <c r="H19" i="2"/>
  <c r="G19" i="2"/>
  <c r="E12" i="2"/>
  <c r="E5" i="2"/>
  <c r="E7" i="2" s="1"/>
  <c r="E24" i="2" s="1"/>
  <c r="G12" i="2"/>
  <c r="G5" i="2"/>
  <c r="G7" i="2" s="1"/>
  <c r="K12" i="2"/>
  <c r="K5" i="2"/>
  <c r="H12" i="2"/>
  <c r="H5" i="2"/>
  <c r="H7" i="2" s="1"/>
  <c r="H24" i="2" s="1"/>
  <c r="L12" i="2"/>
  <c r="L5" i="2"/>
  <c r="I12" i="2"/>
  <c r="I5" i="2"/>
  <c r="M12" i="2"/>
  <c r="M5" i="2"/>
  <c r="L4" i="1"/>
  <c r="I8" i="1"/>
  <c r="I7" i="1"/>
  <c r="I5" i="1"/>
  <c r="K7" i="2" l="1"/>
  <c r="K24" i="2" s="1"/>
  <c r="K23" i="2"/>
  <c r="I7" i="2"/>
  <c r="I23" i="2"/>
  <c r="K54" i="2"/>
  <c r="I54" i="2"/>
  <c r="M7" i="2"/>
  <c r="M23" i="2"/>
  <c r="L54" i="2"/>
  <c r="L7" i="2"/>
  <c r="L23" i="2"/>
  <c r="M36" i="2"/>
  <c r="E13" i="2"/>
  <c r="G13" i="2"/>
  <c r="G18" i="2" s="1"/>
  <c r="H13" i="2"/>
  <c r="E18" i="2" l="1"/>
  <c r="E25" i="2"/>
  <c r="I13" i="2"/>
  <c r="I24" i="2"/>
  <c r="M13" i="2"/>
  <c r="M24" i="2"/>
  <c r="H18" i="2"/>
  <c r="H25" i="2"/>
  <c r="L13" i="2"/>
  <c r="L24" i="2"/>
  <c r="K13" i="2"/>
  <c r="M22" i="2"/>
  <c r="M54" i="2"/>
  <c r="I18" i="2" l="1"/>
  <c r="I25" i="2"/>
  <c r="M18" i="2"/>
  <c r="M25" i="2"/>
  <c r="L18" i="2"/>
  <c r="L25" i="2"/>
  <c r="K18" i="2"/>
  <c r="K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Rasmus</author>
  </authors>
  <commentList>
    <comment ref="K39" authorId="0" shapeId="0" xr:uid="{3B52A485-F599-CB4E-B8FA-62357F455C12}">
      <text>
        <r>
          <rPr>
            <b/>
            <sz val="10"/>
            <color rgb="FF000000"/>
            <rFont val="Tahoma"/>
            <family val="2"/>
          </rPr>
          <t>Rasmus: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vmware deal</t>
        </r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<sst xmlns="http://schemas.openxmlformats.org/spreadsheetml/2006/main" count="104" uniqueCount="93">
  <si>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</si>
  <si>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</si>
  <si>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</si>
  <si>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</si>
  <si>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</si>
  <si>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</si>
  <si>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Q424</t>
  </si>
  <si>
    <t>USA</t>
  </si>
  <si>
    <t>Asia</t>
  </si>
  <si>
    <t>Europe</t>
  </si>
  <si>
    <t>Israel</t>
  </si>
  <si>
    <t>digital and mixed signal metal oxide semiconductors</t>
  </si>
  <si>
    <t>analog III-V</t>
  </si>
  <si>
    <t>enterprise</t>
  </si>
  <si>
    <t>data center</t>
  </si>
  <si>
    <t>AI</t>
  </si>
  <si>
    <t>home connectivity</t>
  </si>
  <si>
    <t>set-top boxes</t>
  </si>
  <si>
    <t>broadband access</t>
  </si>
  <si>
    <t>telecom equipment</t>
  </si>
  <si>
    <t>smartphones and base stations</t>
  </si>
  <si>
    <t>storage systems</t>
  </si>
  <si>
    <t>factory automation</t>
  </si>
  <si>
    <t>power generation</t>
  </si>
  <si>
    <t>alternative energy systems</t>
  </si>
  <si>
    <t>electronic displays</t>
  </si>
  <si>
    <t>Acquired Vmware November 22,2023</t>
  </si>
  <si>
    <t>31B in cash and 544 million shares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</si>
  <si>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</si>
  <si>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</si>
  <si>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</si>
  <si>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</si>
  <si>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</si>
  <si>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</si>
  <si>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</si>
  <si>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</si>
  <si>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</si>
  <si>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</si>
  <si>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</si>
  <si>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</si>
  <si>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</si>
  <si>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</si>
  <si>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</si>
  <si>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</si>
  <si>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Products</t>
  </si>
  <si>
    <t>Services</t>
  </si>
  <si>
    <t>Revenue</t>
  </si>
  <si>
    <t>COGS</t>
  </si>
  <si>
    <t>R&amp;D</t>
  </si>
  <si>
    <t>SG&amp;A</t>
  </si>
  <si>
    <t>Operating expenses</t>
  </si>
  <si>
    <t>Operating Income</t>
  </si>
  <si>
    <t>Other</t>
  </si>
  <si>
    <t>Taxes</t>
  </si>
  <si>
    <t>Net income</t>
  </si>
  <si>
    <t>EPS</t>
  </si>
  <si>
    <t>Amortization</t>
  </si>
  <si>
    <t>Interest exp</t>
  </si>
  <si>
    <t>stocksplit during Q224</t>
  </si>
  <si>
    <t>Gross Profit</t>
  </si>
  <si>
    <t>Vmware owns</t>
  </si>
  <si>
    <t>10/1 split 15/07/24</t>
  </si>
  <si>
    <t>Dividends</t>
  </si>
  <si>
    <t>Dividends per share</t>
  </si>
  <si>
    <t>Segment mix</t>
  </si>
  <si>
    <t>Semiconductor solutions</t>
  </si>
  <si>
    <t>Infrastructure software</t>
  </si>
  <si>
    <t>Model NI</t>
  </si>
  <si>
    <t>Reported Ni</t>
  </si>
  <si>
    <t>SBC</t>
  </si>
  <si>
    <t>Loss on debt</t>
  </si>
  <si>
    <t>D/T</t>
  </si>
  <si>
    <t>Depreciation</t>
  </si>
  <si>
    <t>Non cash interest</t>
  </si>
  <si>
    <t>WC</t>
  </si>
  <si>
    <t>CFFO</t>
  </si>
  <si>
    <t>FCF</t>
  </si>
  <si>
    <t>CapEx</t>
  </si>
  <si>
    <t>Acquisitions</t>
  </si>
  <si>
    <t>Proceeds</t>
  </si>
  <si>
    <t>Investments</t>
  </si>
  <si>
    <t>Sales of investments</t>
  </si>
  <si>
    <t>CFFI</t>
  </si>
  <si>
    <t>DMOS</t>
  </si>
  <si>
    <t>Huge product line</t>
  </si>
  <si>
    <t>Financing</t>
  </si>
  <si>
    <t>Buyback</t>
  </si>
  <si>
    <t>Issuance</t>
  </si>
  <si>
    <t>CIC</t>
  </si>
  <si>
    <t>CFFF</t>
  </si>
  <si>
    <t>Revenue Y/Y</t>
  </si>
  <si>
    <t>Gross Margin %</t>
  </si>
  <si>
    <t>Operating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</si>
</sst>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3" fontId="1" fillId="0" borderId="0" xfId="0" applyNumberFormat="1" applyFon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6" fillId="0" borderId="0" xfId="1" applyFont="1"/>
    <xf numFmtId="0" fontId="7" fillId="0" borderId="0" xfId="0" applyFont="1"/>
    <xf numFmtId="14" fontId="7" fillId="0" borderId="0" xfId="0" applyNumberFormat="1" applyFont="1"/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4" fontId="7" fillId="0" borderId="0" xfId="0" applyNumberFormat="1" applyFont="1"/>
    <xf numFmtId="9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12682</xdr:colOff>
      <xdr:row>0</xdr:row>
      <xdr:rowOff>0</xdr:rowOff>
    </xdr:from>
    <xdr:to>
      <xdr:col>14</xdr:col>
      <xdr:colOff>12683</xdr:colOff>
      <xdr:row>55</xdr:row>
      <xdr:rowOff>64098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1B3D69-E75E-869D-CCA5-C89298108228}"/>
            </a:ext>
          </a:extLst>
        </xdr:cNvPr>
        <xdr:cNvCxnSpPr/>
      </xdr:nvCxnSpPr>
      <xdr:spPr>
        <a:xfrm>
          <a:off x="11811776" y="0"/>
          <a:ext cx="1" cy="890448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4186-76D5-0B4C-8BB5-B5D76C77ED61}">
  <dimension ref="B2:L24"/>
  <sheetViews>
    <sheetView zoomScale="138" zoomScaleNormal="138" workbookViewId="0">
      <selection activeCell="F18" sqref="F18"/>
    </sheetView>
  </sheetViews>
  <sheetFormatPr defaultColWidth="11" defaultRowHeight="15.75" x14ac:dyDescent="0.25"/>
  <sheetData>
    <row r="2" spans="2:12" x14ac:dyDescent="0.25">
      <c r="B2" t="s">
        <v>7</v>
      </c>
    </row>
    <row r="3" spans="2:12" x14ac:dyDescent="0.25">
      <c r="B3" t="s">
        <v>8</v>
      </c>
      <c r="H3" t="s">
        <v>0</v>
      </c>
      <c r="I3" s="4">
        <v>214</v>
      </c>
      <c r="L3" t="s">
        <v>60</v>
      </c>
    </row>
    <row r="4" spans="2:12" x14ac:dyDescent="0.25">
      <c r="B4" t="s">
        <v>9</v>
      </c>
      <c r="F4" t="s">
        <v>61</v>
      </c>
      <c r="H4" t="s">
        <v>1</v>
      </c>
      <c r="I4" s="1">
        <v>4687</v>
      </c>
      <c r="J4" t="s">
        <v>39</v>
      </c>
      <c r="K4">
        <v>544</v>
      </c>
      <c r="L4" s="3">
        <f>K4/I4</f>
        <v>0.11606571367612545</v>
      </c>
    </row>
    <row r="5" spans="2:12" x14ac:dyDescent="0.25">
      <c r="B5" s="2" t="s">
        <v>10</v>
      </c>
      <c r="H5" t="s">
        <v>2</v>
      </c>
      <c r="I5" s="1">
        <f>I4*I3</f>
        <v>1003018</v>
      </c>
    </row>
    <row r="6" spans="2:12" x14ac:dyDescent="0.25">
      <c r="H6" t="s">
        <v>3</v>
      </c>
      <c r="I6" s="1">
        <f>9348+4416</f>
        <v>13764</v>
      </c>
      <c r="J6" t="s">
        <v>39</v>
      </c>
    </row>
    <row r="7" spans="2:12" x14ac:dyDescent="0.25">
      <c r="B7" t="s">
        <v>11</v>
      </c>
      <c r="F7" t="s">
        <v>83</v>
      </c>
      <c r="H7" t="s">
        <v>4</v>
      </c>
      <c r="I7" s="1">
        <f>1271+66295</f>
        <v>67566</v>
      </c>
      <c r="J7" t="s">
        <v>39</v>
      </c>
    </row>
    <row r="8" spans="2:12" x14ac:dyDescent="0.25">
      <c r="B8" t="s">
        <v>12</v>
      </c>
      <c r="H8" t="s">
        <v>5</v>
      </c>
      <c r="I8" s="1">
        <f>I5-I6+I7</f>
        <v>1056820</v>
      </c>
    </row>
    <row r="9" spans="2:12" x14ac:dyDescent="0.25">
      <c r="J9" s="1"/>
    </row>
    <row r="11" spans="2:12" x14ac:dyDescent="0.25">
      <c r="B11" s="8" t="s">
        <v>13</v>
      </c>
      <c r="C11" s="9"/>
      <c r="D11" s="10"/>
      <c r="E11" t="s">
        <v>26</v>
      </c>
    </row>
    <row r="12" spans="2:12" x14ac:dyDescent="0.25">
      <c r="B12" s="11" t="s">
        <v>14</v>
      </c>
      <c r="C12" s="6"/>
      <c r="D12" s="12"/>
      <c r="E12" t="s">
        <v>27</v>
      </c>
    </row>
    <row r="13" spans="2:12" x14ac:dyDescent="0.25">
      <c r="B13" s="11" t="s">
        <v>15</v>
      </c>
      <c r="C13" s="6"/>
      <c r="D13" s="12"/>
    </row>
    <row r="14" spans="2:12" x14ac:dyDescent="0.25">
      <c r="B14" s="11" t="s">
        <v>16</v>
      </c>
      <c r="C14" s="6"/>
      <c r="D14" s="12"/>
      <c r="E14" t="s">
        <v>58</v>
      </c>
    </row>
    <row r="15" spans="2:12" x14ac:dyDescent="0.25">
      <c r="B15" s="13" t="s">
        <v>17</v>
      </c>
      <c r="C15" s="6"/>
      <c r="D15" s="12"/>
    </row>
    <row r="16" spans="2:12" x14ac:dyDescent="0.25">
      <c r="B16" s="11" t="s">
        <v>18</v>
      </c>
      <c r="C16" s="6"/>
      <c r="D16" s="12"/>
    </row>
    <row r="17" spans="2:8" x14ac:dyDescent="0.25">
      <c r="B17" s="11" t="s">
        <v>19</v>
      </c>
      <c r="C17" s="6"/>
      <c r="D17" s="12"/>
      <c r="E17" s="5" t="s">
        <v>64</v>
      </c>
      <c r="G17" t="s">
        <v>38</v>
      </c>
      <c r="H17" t="s">
        <v>34</v>
      </c>
    </row>
    <row r="18" spans="2:8" x14ac:dyDescent="0.25">
      <c r="B18" s="11" t="s">
        <v>20</v>
      </c>
      <c r="C18" s="6"/>
      <c r="D18" s="12"/>
      <c r="E18" t="s">
        <v>65</v>
      </c>
      <c r="G18" s="3">
        <v>0.57999999999999996</v>
      </c>
      <c r="H18" s="3">
        <v>0.78</v>
      </c>
    </row>
    <row r="19" spans="2:8" x14ac:dyDescent="0.25">
      <c r="B19" s="11" t="s">
        <v>21</v>
      </c>
      <c r="C19" s="6"/>
      <c r="D19" s="12"/>
      <c r="E19" t="s">
        <v>66</v>
      </c>
      <c r="G19" s="3">
        <v>0.42</v>
      </c>
      <c r="H19" s="3">
        <v>0.22</v>
      </c>
    </row>
    <row r="20" spans="2:8" x14ac:dyDescent="0.25">
      <c r="B20" s="11" t="s">
        <v>22</v>
      </c>
      <c r="C20" s="6"/>
      <c r="D20" s="12"/>
    </row>
    <row r="21" spans="2:8" x14ac:dyDescent="0.25">
      <c r="B21" s="11" t="s">
        <v>23</v>
      </c>
      <c r="C21" s="6"/>
      <c r="D21" s="12"/>
    </row>
    <row r="22" spans="2:8" x14ac:dyDescent="0.25">
      <c r="B22" s="11" t="s">
        <v>24</v>
      </c>
      <c r="C22" s="6"/>
      <c r="D22" s="12"/>
    </row>
    <row r="23" spans="2:8" x14ac:dyDescent="0.25">
      <c r="B23" s="14" t="s">
        <v>25</v>
      </c>
      <c r="C23" s="7"/>
      <c r="D23" s="15"/>
    </row>
    <row r="24" spans="2:8" x14ac:dyDescent="0.25">
      <c r="B24" s="1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8C6-7A7E-8F45-B4A3-D864AB4D46A5}">
  <dimension ref="A1:T55"/>
  <sheetViews>
    <sheetView tabSelected="1" zoomScale="145" zoomScaleNormal="145" workbookViewId="0">
      <pane xSplit="2" ySplit="2" topLeftCell="I12" activePane="bottomRight" state="frozen"/>
      <selection pane="topRight" activeCell="C1" sqref="C1"/>
      <selection pane="bottomLeft" activeCell="A3" sqref="A3"/>
      <selection pane="bottomRight"/>
    </sheetView>
  </sheetViews>
  <sheetFormatPr defaultColWidth="11" defaultRowHeight="12.75" x14ac:dyDescent="0.2"/>
  <cols>
    <col min="1" max="1" width="5.125" style="18" bestFit="1" customWidth="1"/>
    <col min="2" max="2" width="17.5" style="18" bestFit="1" customWidth="1"/>
    <col min="3" max="16384" width="11" style="18"/>
  </cols>
  <sheetData>
    <row r="1" spans="1:20" x14ac:dyDescent="0.2">
      <c r="A1" s="17" t="s">
        <v>28</v>
      </c>
      <c r="E1" s="19">
        <v>44773</v>
      </c>
      <c r="F1" s="19">
        <v>44864</v>
      </c>
      <c r="G1" s="19">
        <v>44955</v>
      </c>
      <c r="H1" s="19">
        <v>45046</v>
      </c>
      <c r="I1" s="19">
        <v>45137</v>
      </c>
      <c r="J1" s="19">
        <v>45228</v>
      </c>
      <c r="K1" s="19">
        <v>45326</v>
      </c>
      <c r="L1" s="19">
        <v>45417</v>
      </c>
      <c r="M1" s="19">
        <v>45508</v>
      </c>
    </row>
    <row r="2" spans="1:20" x14ac:dyDescent="0.2"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8" t="s">
        <v>38</v>
      </c>
      <c r="M2" s="18" t="s">
        <v>39</v>
      </c>
      <c r="N2" s="18" t="s">
        <v>6</v>
      </c>
      <c r="O2" s="18" t="s">
        <v>40</v>
      </c>
      <c r="P2" s="18" t="s">
        <v>41</v>
      </c>
      <c r="Q2" s="18" t="s">
        <v>42</v>
      </c>
      <c r="R2" s="18" t="s">
        <v>43</v>
      </c>
      <c r="T2" s="18">
        <v>2024</v>
      </c>
    </row>
    <row r="3" spans="1:20" x14ac:dyDescent="0.2">
      <c r="B3" s="18" t="s">
        <v>44</v>
      </c>
      <c r="E3" s="20">
        <v>6627</v>
      </c>
      <c r="F3" s="20"/>
      <c r="G3" s="20">
        <v>7082</v>
      </c>
      <c r="H3" s="20">
        <v>6741</v>
      </c>
      <c r="I3" s="20">
        <v>6917</v>
      </c>
      <c r="J3" s="20"/>
      <c r="K3" s="20">
        <v>7412</v>
      </c>
      <c r="L3" s="20">
        <v>7192</v>
      </c>
      <c r="M3" s="20">
        <v>7439</v>
      </c>
      <c r="N3" s="20"/>
    </row>
    <row r="4" spans="1:20" x14ac:dyDescent="0.2">
      <c r="B4" s="18" t="s">
        <v>45</v>
      </c>
      <c r="E4" s="20">
        <v>1837</v>
      </c>
      <c r="F4" s="20"/>
      <c r="G4" s="20">
        <v>1833</v>
      </c>
      <c r="H4" s="20">
        <v>1992</v>
      </c>
      <c r="I4" s="20">
        <v>1959</v>
      </c>
      <c r="J4" s="20"/>
      <c r="K4" s="20">
        <v>4549</v>
      </c>
      <c r="L4" s="20">
        <v>5295</v>
      </c>
      <c r="M4" s="20">
        <v>5633</v>
      </c>
      <c r="N4" s="20"/>
    </row>
    <row r="5" spans="1:20" s="21" customFormat="1" x14ac:dyDescent="0.2">
      <c r="B5" s="21" t="s">
        <v>46</v>
      </c>
      <c r="E5" s="22">
        <f>E4+E3</f>
        <v>8464</v>
      </c>
      <c r="F5" s="22">
        <v>8930</v>
      </c>
      <c r="G5" s="22">
        <f>G4+G3</f>
        <v>8915</v>
      </c>
      <c r="H5" s="22">
        <f>H4+H3</f>
        <v>8733</v>
      </c>
      <c r="I5" s="22">
        <f>I4+I3</f>
        <v>8876</v>
      </c>
      <c r="J5" s="22">
        <v>9295</v>
      </c>
      <c r="K5" s="22">
        <f>K4+K3</f>
        <v>11961</v>
      </c>
      <c r="L5" s="22">
        <f>L4+L3</f>
        <v>12487</v>
      </c>
      <c r="M5" s="22">
        <f>M4+M3</f>
        <v>13072</v>
      </c>
      <c r="N5" s="22">
        <v>14054</v>
      </c>
    </row>
    <row r="6" spans="1:20" x14ac:dyDescent="0.2">
      <c r="B6" s="18" t="s">
        <v>47</v>
      </c>
      <c r="E6" s="20">
        <v>2077</v>
      </c>
      <c r="F6" s="20">
        <v>2077</v>
      </c>
      <c r="G6" s="20">
        <v>2911</v>
      </c>
      <c r="H6" s="20">
        <v>2177</v>
      </c>
      <c r="I6" s="20">
        <v>2272</v>
      </c>
      <c r="J6" s="20">
        <v>2449</v>
      </c>
      <c r="K6" s="20">
        <v>3114</v>
      </c>
      <c r="L6" s="20">
        <v>3142</v>
      </c>
      <c r="M6" s="20">
        <v>3133</v>
      </c>
      <c r="N6" s="20">
        <v>3399</v>
      </c>
    </row>
    <row r="7" spans="1:20" s="21" customFormat="1" x14ac:dyDescent="0.2">
      <c r="B7" s="21" t="s">
        <v>59</v>
      </c>
      <c r="E7" s="22">
        <f t="shared" ref="E7:M7" si="0">E5-E6</f>
        <v>6387</v>
      </c>
      <c r="F7" s="22">
        <f t="shared" si="0"/>
        <v>6853</v>
      </c>
      <c r="G7" s="22">
        <f t="shared" si="0"/>
        <v>6004</v>
      </c>
      <c r="H7" s="22">
        <f t="shared" si="0"/>
        <v>6556</v>
      </c>
      <c r="I7" s="22">
        <f t="shared" si="0"/>
        <v>6604</v>
      </c>
      <c r="J7" s="22">
        <f t="shared" si="0"/>
        <v>6846</v>
      </c>
      <c r="K7" s="22">
        <f t="shared" si="0"/>
        <v>8847</v>
      </c>
      <c r="L7" s="22">
        <f t="shared" si="0"/>
        <v>9345</v>
      </c>
      <c r="M7" s="22">
        <f t="shared" si="0"/>
        <v>9939</v>
      </c>
      <c r="N7" s="22">
        <f t="shared" ref="N7" si="1">N5-N6</f>
        <v>10655</v>
      </c>
    </row>
    <row r="8" spans="1:20" x14ac:dyDescent="0.2">
      <c r="B8" s="18" t="s">
        <v>48</v>
      </c>
      <c r="E8" s="20">
        <v>1255</v>
      </c>
      <c r="F8" s="20">
        <v>1255</v>
      </c>
      <c r="G8" s="20">
        <v>1195</v>
      </c>
      <c r="H8" s="20">
        <v>1312</v>
      </c>
      <c r="I8" s="20">
        <v>1358</v>
      </c>
      <c r="J8" s="20">
        <v>1388</v>
      </c>
      <c r="K8" s="20">
        <v>2308</v>
      </c>
      <c r="L8" s="20">
        <v>2415</v>
      </c>
      <c r="M8" s="20">
        <v>2353</v>
      </c>
      <c r="N8" s="20">
        <v>2234</v>
      </c>
    </row>
    <row r="9" spans="1:20" x14ac:dyDescent="0.2">
      <c r="B9" s="18" t="s">
        <v>49</v>
      </c>
      <c r="E9" s="20">
        <v>323</v>
      </c>
      <c r="F9" s="20">
        <v>323</v>
      </c>
      <c r="G9" s="20">
        <v>348</v>
      </c>
      <c r="H9" s="20">
        <v>438</v>
      </c>
      <c r="I9" s="20">
        <v>388</v>
      </c>
      <c r="J9" s="20">
        <v>418</v>
      </c>
      <c r="K9" s="20">
        <v>1572</v>
      </c>
      <c r="L9" s="20">
        <v>1277</v>
      </c>
      <c r="M9" s="20">
        <v>1100</v>
      </c>
      <c r="N9" s="20">
        <v>1010</v>
      </c>
    </row>
    <row r="10" spans="1:20" x14ac:dyDescent="0.2">
      <c r="B10" s="18" t="s">
        <v>56</v>
      </c>
      <c r="E10" s="20">
        <v>359</v>
      </c>
      <c r="F10" s="20">
        <v>359</v>
      </c>
      <c r="G10" s="20">
        <v>348</v>
      </c>
      <c r="H10" s="20">
        <v>348</v>
      </c>
      <c r="I10" s="20">
        <v>350</v>
      </c>
      <c r="J10" s="20">
        <v>348</v>
      </c>
      <c r="K10" s="20">
        <v>792</v>
      </c>
      <c r="L10" s="20">
        <v>827</v>
      </c>
      <c r="M10" s="20">
        <v>812</v>
      </c>
      <c r="N10" s="20">
        <v>813</v>
      </c>
    </row>
    <row r="11" spans="1:20" x14ac:dyDescent="0.2">
      <c r="B11" s="18" t="s">
        <v>52</v>
      </c>
      <c r="E11" s="20">
        <v>7</v>
      </c>
      <c r="F11" s="20">
        <v>7</v>
      </c>
      <c r="G11" s="20">
        <v>10</v>
      </c>
      <c r="H11" s="20">
        <v>9</v>
      </c>
      <c r="I11" s="20">
        <v>212</v>
      </c>
      <c r="J11" s="20">
        <v>13</v>
      </c>
      <c r="K11" s="20">
        <v>620</v>
      </c>
      <c r="L11" s="20">
        <v>292</v>
      </c>
      <c r="M11" s="20">
        <v>303</v>
      </c>
      <c r="N11" s="20">
        <v>318</v>
      </c>
    </row>
    <row r="12" spans="1:20" x14ac:dyDescent="0.2">
      <c r="B12" s="18" t="s">
        <v>50</v>
      </c>
      <c r="E12" s="20">
        <f t="shared" ref="E12:M12" si="2">SUM(E8:E11)</f>
        <v>1944</v>
      </c>
      <c r="F12" s="20">
        <f t="shared" si="2"/>
        <v>1944</v>
      </c>
      <c r="G12" s="20">
        <f t="shared" si="2"/>
        <v>1901</v>
      </c>
      <c r="H12" s="20">
        <f t="shared" si="2"/>
        <v>2107</v>
      </c>
      <c r="I12" s="20">
        <f t="shared" si="2"/>
        <v>2308</v>
      </c>
      <c r="J12" s="20">
        <f t="shared" si="2"/>
        <v>2167</v>
      </c>
      <c r="K12" s="20">
        <f t="shared" si="2"/>
        <v>5292</v>
      </c>
      <c r="L12" s="20">
        <f t="shared" si="2"/>
        <v>4811</v>
      </c>
      <c r="M12" s="20">
        <f t="shared" si="2"/>
        <v>4568</v>
      </c>
      <c r="N12" s="20">
        <f t="shared" ref="N12" si="3">SUM(N8:N11)</f>
        <v>4375</v>
      </c>
    </row>
    <row r="13" spans="1:20" s="21" customFormat="1" x14ac:dyDescent="0.2">
      <c r="B13" s="21" t="s">
        <v>51</v>
      </c>
      <c r="E13" s="22">
        <f t="shared" ref="E13:M13" si="4">E7-E12</f>
        <v>4443</v>
      </c>
      <c r="F13" s="22">
        <f t="shared" si="4"/>
        <v>4909</v>
      </c>
      <c r="G13" s="22">
        <f t="shared" si="4"/>
        <v>4103</v>
      </c>
      <c r="H13" s="22">
        <f t="shared" si="4"/>
        <v>4449</v>
      </c>
      <c r="I13" s="22">
        <f t="shared" si="4"/>
        <v>4296</v>
      </c>
      <c r="J13" s="22">
        <f t="shared" si="4"/>
        <v>4679</v>
      </c>
      <c r="K13" s="22">
        <f t="shared" si="4"/>
        <v>3555</v>
      </c>
      <c r="L13" s="22">
        <f t="shared" si="4"/>
        <v>4534</v>
      </c>
      <c r="M13" s="22">
        <f t="shared" si="4"/>
        <v>5371</v>
      </c>
      <c r="N13" s="22">
        <f t="shared" ref="N13" si="5">N7-N12</f>
        <v>6280</v>
      </c>
    </row>
    <row r="14" spans="1:20" x14ac:dyDescent="0.2">
      <c r="B14" s="18" t="s">
        <v>57</v>
      </c>
      <c r="E14" s="20">
        <v>406</v>
      </c>
      <c r="F14" s="20">
        <v>406</v>
      </c>
      <c r="G14" s="20">
        <v>406</v>
      </c>
      <c r="H14" s="20">
        <v>405</v>
      </c>
      <c r="I14" s="20">
        <v>406</v>
      </c>
      <c r="J14" s="20">
        <v>405</v>
      </c>
      <c r="K14" s="20">
        <v>926</v>
      </c>
      <c r="L14" s="20">
        <v>1047</v>
      </c>
      <c r="M14" s="20">
        <v>1064</v>
      </c>
      <c r="N14" s="20">
        <v>916</v>
      </c>
    </row>
    <row r="15" spans="1:20" x14ac:dyDescent="0.2">
      <c r="B15" s="18" t="s">
        <v>52</v>
      </c>
      <c r="E15" s="20">
        <v>6</v>
      </c>
      <c r="F15" s="20">
        <v>6</v>
      </c>
      <c r="G15" s="20">
        <v>143</v>
      </c>
      <c r="H15" s="20">
        <v>113</v>
      </c>
      <c r="I15" s="20">
        <v>124</v>
      </c>
      <c r="J15" s="20">
        <v>132</v>
      </c>
      <c r="K15" s="20">
        <v>185</v>
      </c>
      <c r="L15" s="20">
        <v>87</v>
      </c>
      <c r="M15" s="20">
        <v>82</v>
      </c>
      <c r="N15" s="20">
        <v>52</v>
      </c>
    </row>
    <row r="16" spans="1:20" x14ac:dyDescent="0.2">
      <c r="B16" s="18" t="s">
        <v>53</v>
      </c>
      <c r="E16" s="20">
        <v>263</v>
      </c>
      <c r="F16" s="20">
        <v>263</v>
      </c>
      <c r="G16" s="20">
        <v>66</v>
      </c>
      <c r="H16" s="20">
        <v>235</v>
      </c>
      <c r="I16" s="20">
        <v>271</v>
      </c>
      <c r="J16" s="20">
        <v>443</v>
      </c>
      <c r="K16" s="20">
        <v>68</v>
      </c>
      <c r="L16" s="20">
        <v>-116</v>
      </c>
      <c r="M16" s="20">
        <v>4238</v>
      </c>
      <c r="N16" s="20">
        <v>-442</v>
      </c>
    </row>
    <row r="17" spans="2:20" s="21" customFormat="1" x14ac:dyDescent="0.2">
      <c r="B17" s="21" t="s">
        <v>54</v>
      </c>
      <c r="E17" s="22">
        <f>E13-E14+E15+E16</f>
        <v>4306</v>
      </c>
      <c r="F17" s="22">
        <f t="shared" ref="F17:M17" si="6">F13-F14+F15-F16</f>
        <v>4246</v>
      </c>
      <c r="G17" s="22">
        <f t="shared" si="6"/>
        <v>3774</v>
      </c>
      <c r="H17" s="22">
        <f t="shared" si="6"/>
        <v>3922</v>
      </c>
      <c r="I17" s="22">
        <f t="shared" si="6"/>
        <v>3743</v>
      </c>
      <c r="J17" s="22">
        <f t="shared" si="6"/>
        <v>3963</v>
      </c>
      <c r="K17" s="22">
        <f t="shared" si="6"/>
        <v>2746</v>
      </c>
      <c r="L17" s="22">
        <f t="shared" si="6"/>
        <v>3690</v>
      </c>
      <c r="M17" s="22">
        <f t="shared" si="6"/>
        <v>151</v>
      </c>
      <c r="N17" s="22">
        <f t="shared" ref="N17" si="7">N13-N14+N15-N16</f>
        <v>5858</v>
      </c>
      <c r="T17" s="22">
        <f>+SUM(K17:N17)</f>
        <v>12445</v>
      </c>
    </row>
    <row r="18" spans="2:20" x14ac:dyDescent="0.2">
      <c r="B18" s="18" t="s">
        <v>55</v>
      </c>
      <c r="E18" s="23">
        <f t="shared" ref="E18:M18" si="8">E17/E19</f>
        <v>1.0013953488372094</v>
      </c>
      <c r="F18" s="23">
        <f t="shared" si="8"/>
        <v>0.98974358974358978</v>
      </c>
      <c r="G18" s="23">
        <f t="shared" si="8"/>
        <v>0.87972027972027977</v>
      </c>
      <c r="H18" s="23">
        <f t="shared" si="8"/>
        <v>0.91850117096018735</v>
      </c>
      <c r="I18" s="23">
        <f t="shared" si="8"/>
        <v>0.90629539951573845</v>
      </c>
      <c r="J18" s="23">
        <f t="shared" si="8"/>
        <v>0.92810304449648717</v>
      </c>
      <c r="K18" s="23">
        <f t="shared" si="8"/>
        <v>0.58889127171348921</v>
      </c>
      <c r="L18" s="23">
        <f t="shared" si="8"/>
        <v>0.76891018962283808</v>
      </c>
      <c r="M18" s="23">
        <f t="shared" si="8"/>
        <v>3.2382586317821142E-2</v>
      </c>
      <c r="N18" s="23">
        <f t="shared" ref="N18" si="9">N17/N19</f>
        <v>1.2133388566694283</v>
      </c>
      <c r="T18" s="23">
        <f>+T17/T19</f>
        <v>2.5776719138359567</v>
      </c>
    </row>
    <row r="19" spans="2:20" x14ac:dyDescent="0.2">
      <c r="B19" s="18" t="s">
        <v>1</v>
      </c>
      <c r="E19" s="20">
        <f>430*10</f>
        <v>4300</v>
      </c>
      <c r="F19" s="20">
        <f>429*10</f>
        <v>4290</v>
      </c>
      <c r="G19" s="20">
        <f>429*10</f>
        <v>4290</v>
      </c>
      <c r="H19" s="20">
        <f>427*10</f>
        <v>4270</v>
      </c>
      <c r="I19" s="20">
        <v>4130</v>
      </c>
      <c r="J19" s="20">
        <f>427*10</f>
        <v>4270</v>
      </c>
      <c r="K19" s="20">
        <v>4663</v>
      </c>
      <c r="L19" s="20">
        <v>4799</v>
      </c>
      <c r="M19" s="20">
        <v>4663</v>
      </c>
      <c r="N19" s="20">
        <v>4828</v>
      </c>
      <c r="T19" s="18">
        <v>4828</v>
      </c>
    </row>
    <row r="20" spans="2:20" x14ac:dyDescent="0.2">
      <c r="B20" s="18" t="s">
        <v>63</v>
      </c>
      <c r="E20" s="20">
        <v>75</v>
      </c>
      <c r="J20" s="23">
        <v>5.25</v>
      </c>
      <c r="K20" s="23">
        <v>5.25</v>
      </c>
    </row>
    <row r="22" spans="2:20" x14ac:dyDescent="0.2">
      <c r="B22" s="18" t="s">
        <v>76</v>
      </c>
      <c r="I22" s="20">
        <f>I36+I41</f>
        <v>4597</v>
      </c>
      <c r="K22" s="20">
        <f>K36+K41</f>
        <v>4693</v>
      </c>
      <c r="L22" s="20">
        <f>L36+L41</f>
        <v>4448</v>
      </c>
      <c r="M22" s="20">
        <f>M36+M41</f>
        <v>4791</v>
      </c>
    </row>
    <row r="23" spans="2:20" x14ac:dyDescent="0.2">
      <c r="B23" s="18" t="s">
        <v>90</v>
      </c>
      <c r="I23" s="24">
        <f>I5/E5-1</f>
        <v>4.8676748582230589E-2</v>
      </c>
      <c r="J23" s="24"/>
      <c r="K23" s="24">
        <f>K5/G5-1</f>
        <v>0.34167134043746494</v>
      </c>
      <c r="L23" s="24">
        <f>L5/H5-1</f>
        <v>0.42986373525707089</v>
      </c>
      <c r="M23" s="24">
        <f>M5/I5-1</f>
        <v>0.47273546642631814</v>
      </c>
    </row>
    <row r="24" spans="2:20" x14ac:dyDescent="0.2">
      <c r="B24" s="24" t="s">
        <v>91</v>
      </c>
      <c r="E24" s="24">
        <f t="shared" ref="E24:M24" si="10">E7/E5</f>
        <v>0.75460775047258977</v>
      </c>
      <c r="F24" s="24">
        <f t="shared" si="10"/>
        <v>0.76741321388577832</v>
      </c>
      <c r="G24" s="24">
        <f t="shared" si="10"/>
        <v>0.67347167694896237</v>
      </c>
      <c r="H24" s="24">
        <f t="shared" si="10"/>
        <v>0.75071567617084622</v>
      </c>
      <c r="I24" s="24">
        <f t="shared" si="10"/>
        <v>0.74402884182063989</v>
      </c>
      <c r="J24" s="24">
        <f t="shared" si="10"/>
        <v>0.7365250134480904</v>
      </c>
      <c r="K24" s="24">
        <f t="shared" si="10"/>
        <v>0.73965387509405567</v>
      </c>
      <c r="L24" s="24">
        <f t="shared" si="10"/>
        <v>0.74837831344598382</v>
      </c>
      <c r="M24" s="24">
        <f t="shared" si="10"/>
        <v>0.76032741738066101</v>
      </c>
    </row>
    <row r="25" spans="2:20" x14ac:dyDescent="0.2">
      <c r="B25" s="18" t="s">
        <v>92</v>
      </c>
      <c r="E25" s="24">
        <f t="shared" ref="E25:M25" si="11">E13/E5</f>
        <v>0.52492911153119093</v>
      </c>
      <c r="F25" s="24">
        <f t="shared" si="11"/>
        <v>0.5497200447928331</v>
      </c>
      <c r="G25" s="24">
        <f t="shared" si="11"/>
        <v>0.4602355580482333</v>
      </c>
      <c r="H25" s="24">
        <f t="shared" si="11"/>
        <v>0.50944692545517001</v>
      </c>
      <c r="I25" s="24">
        <f t="shared" si="11"/>
        <v>0.48400180261379</v>
      </c>
      <c r="J25" s="24">
        <f t="shared" si="11"/>
        <v>0.5033889187735342</v>
      </c>
      <c r="K25" s="24">
        <f t="shared" si="11"/>
        <v>0.29721595184349137</v>
      </c>
      <c r="L25" s="24">
        <f t="shared" si="11"/>
        <v>0.36309762152638747</v>
      </c>
      <c r="M25" s="24">
        <f t="shared" si="11"/>
        <v>0.41087821297429622</v>
      </c>
    </row>
    <row r="27" spans="2:20" x14ac:dyDescent="0.2">
      <c r="B27" s="18" t="s">
        <v>67</v>
      </c>
      <c r="I27" s="20">
        <v>3303</v>
      </c>
      <c r="K27" s="20">
        <v>1274</v>
      </c>
      <c r="L27" s="20">
        <v>2121</v>
      </c>
      <c r="M27" s="20">
        <v>-2349</v>
      </c>
    </row>
    <row r="28" spans="2:20" x14ac:dyDescent="0.2">
      <c r="B28" s="18" t="s">
        <v>68</v>
      </c>
      <c r="I28" s="20">
        <v>3303</v>
      </c>
      <c r="K28" s="20">
        <v>1325</v>
      </c>
      <c r="L28" s="20">
        <v>2121</v>
      </c>
      <c r="M28" s="20">
        <v>-1875</v>
      </c>
    </row>
    <row r="29" spans="2:20" x14ac:dyDescent="0.2">
      <c r="B29" s="18" t="s">
        <v>56</v>
      </c>
      <c r="I29" s="20">
        <v>810</v>
      </c>
      <c r="K29" s="20">
        <v>2206</v>
      </c>
      <c r="L29" s="20">
        <v>2381</v>
      </c>
      <c r="M29" s="20">
        <v>2375</v>
      </c>
    </row>
    <row r="30" spans="2:20" x14ac:dyDescent="0.2">
      <c r="B30" s="18" t="s">
        <v>72</v>
      </c>
      <c r="I30" s="20">
        <v>122</v>
      </c>
      <c r="K30" s="20">
        <v>139</v>
      </c>
      <c r="L30" s="20">
        <v>149</v>
      </c>
      <c r="M30" s="20">
        <v>149</v>
      </c>
    </row>
    <row r="31" spans="2:20" x14ac:dyDescent="0.2">
      <c r="B31" s="18" t="s">
        <v>69</v>
      </c>
      <c r="I31" s="20">
        <v>629</v>
      </c>
      <c r="K31" s="20">
        <v>1582</v>
      </c>
      <c r="L31" s="20">
        <v>1457</v>
      </c>
      <c r="M31" s="20">
        <v>1388</v>
      </c>
    </row>
    <row r="32" spans="2:20" x14ac:dyDescent="0.2">
      <c r="B32" s="18" t="s">
        <v>71</v>
      </c>
      <c r="I32" s="20">
        <v>-251</v>
      </c>
      <c r="K32" s="20">
        <v>-294</v>
      </c>
      <c r="L32" s="20">
        <v>-511</v>
      </c>
      <c r="M32" s="20">
        <v>3638</v>
      </c>
    </row>
    <row r="33" spans="2:13" x14ac:dyDescent="0.2">
      <c r="B33" s="18" t="s">
        <v>70</v>
      </c>
      <c r="I33" s="20">
        <v>0</v>
      </c>
      <c r="K33" s="20">
        <v>0</v>
      </c>
      <c r="L33" s="20">
        <v>22</v>
      </c>
      <c r="M33" s="20">
        <v>83</v>
      </c>
    </row>
    <row r="34" spans="2:13" x14ac:dyDescent="0.2">
      <c r="B34" s="18" t="s">
        <v>73</v>
      </c>
      <c r="I34" s="20">
        <v>33</v>
      </c>
      <c r="K34" s="20">
        <v>102</v>
      </c>
      <c r="L34" s="20">
        <v>119</v>
      </c>
      <c r="M34" s="20">
        <f>115+158</f>
        <v>273</v>
      </c>
    </row>
    <row r="35" spans="2:13" x14ac:dyDescent="0.2">
      <c r="B35" s="18" t="s">
        <v>74</v>
      </c>
      <c r="I35" s="20">
        <f>135+44+188+184-339-139</f>
        <v>73</v>
      </c>
      <c r="K35" s="20">
        <f>38+1756-14-74-660-2182+891</f>
        <v>-245</v>
      </c>
      <c r="L35" s="20">
        <f>70-513+82-93+251-386-569</f>
        <v>-1158</v>
      </c>
      <c r="M35" s="20">
        <f>835-52+373+291-1345-1170</f>
        <v>-1068</v>
      </c>
    </row>
    <row r="36" spans="2:13" x14ac:dyDescent="0.2">
      <c r="B36" s="18" t="s">
        <v>75</v>
      </c>
      <c r="I36" s="20">
        <f>SUM(I28:I35)</f>
        <v>4719</v>
      </c>
      <c r="K36" s="20">
        <f>SUM(K28:K35)</f>
        <v>4815</v>
      </c>
      <c r="L36" s="20">
        <f>SUM(L28:L35)</f>
        <v>4580</v>
      </c>
      <c r="M36" s="20">
        <f>SUM(M28:M35)</f>
        <v>4963</v>
      </c>
    </row>
    <row r="39" spans="2:13" x14ac:dyDescent="0.2">
      <c r="B39" s="18" t="s">
        <v>78</v>
      </c>
      <c r="I39" s="20">
        <v>-17</v>
      </c>
      <c r="K39" s="22">
        <v>-25416</v>
      </c>
      <c r="L39" s="20">
        <v>-560</v>
      </c>
      <c r="M39" s="20">
        <v>-2</v>
      </c>
    </row>
    <row r="40" spans="2:13" x14ac:dyDescent="0.2">
      <c r="B40" s="18" t="s">
        <v>79</v>
      </c>
      <c r="I40" s="20">
        <v>0</v>
      </c>
      <c r="K40" s="20">
        <v>0</v>
      </c>
      <c r="L40" s="20">
        <v>0</v>
      </c>
      <c r="M40" s="20">
        <v>3485</v>
      </c>
    </row>
    <row r="41" spans="2:13" x14ac:dyDescent="0.2">
      <c r="B41" s="18" t="s">
        <v>77</v>
      </c>
      <c r="I41" s="20">
        <v>-122</v>
      </c>
      <c r="K41" s="20">
        <v>-122</v>
      </c>
      <c r="L41" s="20">
        <v>-132</v>
      </c>
      <c r="M41" s="20">
        <v>-172</v>
      </c>
    </row>
    <row r="42" spans="2:13" x14ac:dyDescent="0.2">
      <c r="B42" s="18" t="s">
        <v>80</v>
      </c>
      <c r="I42" s="20">
        <v>-91</v>
      </c>
      <c r="K42" s="20">
        <v>-13</v>
      </c>
      <c r="L42" s="20">
        <v>-59</v>
      </c>
      <c r="M42" s="20">
        <v>-73</v>
      </c>
    </row>
    <row r="43" spans="2:13" x14ac:dyDescent="0.2">
      <c r="B43" s="18" t="s">
        <v>81</v>
      </c>
      <c r="I43" s="20">
        <v>74</v>
      </c>
      <c r="K43" s="20">
        <v>89</v>
      </c>
      <c r="L43" s="20">
        <v>42</v>
      </c>
      <c r="M43" s="20">
        <v>5</v>
      </c>
    </row>
    <row r="44" spans="2:13" x14ac:dyDescent="0.2">
      <c r="B44" s="18" t="s">
        <v>52</v>
      </c>
      <c r="I44" s="20">
        <v>12</v>
      </c>
      <c r="K44" s="20">
        <v>-15</v>
      </c>
      <c r="L44" s="20">
        <v>3</v>
      </c>
      <c r="M44" s="20">
        <v>2</v>
      </c>
    </row>
    <row r="45" spans="2:13" x14ac:dyDescent="0.2">
      <c r="B45" s="18" t="s">
        <v>82</v>
      </c>
      <c r="I45" s="20">
        <f>SUM(I39:I44)</f>
        <v>-144</v>
      </c>
      <c r="K45" s="20">
        <f>SUM(K39:K44)</f>
        <v>-25477</v>
      </c>
      <c r="L45" s="20">
        <f>SUM(L39:L44)</f>
        <v>-706</v>
      </c>
      <c r="M45" s="20">
        <f>SUM(M39:M44)</f>
        <v>3245</v>
      </c>
    </row>
    <row r="46" spans="2:13" x14ac:dyDescent="0.2">
      <c r="M46" s="20"/>
    </row>
    <row r="47" spans="2:13" x14ac:dyDescent="0.2">
      <c r="B47" s="18" t="s">
        <v>85</v>
      </c>
      <c r="I47" s="20">
        <v>0</v>
      </c>
      <c r="K47" s="20">
        <v>30010</v>
      </c>
      <c r="L47" s="20">
        <v>0</v>
      </c>
      <c r="M47" s="20">
        <v>4975</v>
      </c>
    </row>
    <row r="48" spans="2:13" x14ac:dyDescent="0.2">
      <c r="B48" s="18" t="s">
        <v>4</v>
      </c>
      <c r="I48" s="20">
        <v>0</v>
      </c>
      <c r="K48" s="20">
        <v>-934</v>
      </c>
      <c r="L48" s="20">
        <v>-2000</v>
      </c>
      <c r="M48" s="20">
        <v>-9202</v>
      </c>
    </row>
    <row r="49" spans="2:13" x14ac:dyDescent="0.2">
      <c r="B49" s="18" t="s">
        <v>62</v>
      </c>
      <c r="I49" s="20">
        <v>-1901</v>
      </c>
      <c r="K49" s="20">
        <v>-2435</v>
      </c>
      <c r="L49" s="20">
        <v>-2443</v>
      </c>
      <c r="M49" s="20">
        <v>-2452</v>
      </c>
    </row>
    <row r="50" spans="2:13" x14ac:dyDescent="0.2">
      <c r="B50" s="18" t="s">
        <v>86</v>
      </c>
      <c r="I50" s="20">
        <f>-1707-460</f>
        <v>-2167</v>
      </c>
      <c r="K50" s="20">
        <f>-7176-1114</f>
        <v>-8290</v>
      </c>
      <c r="L50" s="20">
        <v>-1548</v>
      </c>
      <c r="M50" s="20">
        <v>-1350</v>
      </c>
    </row>
    <row r="51" spans="2:13" x14ac:dyDescent="0.2">
      <c r="B51" s="18" t="s">
        <v>87</v>
      </c>
      <c r="I51" s="20">
        <v>0</v>
      </c>
      <c r="K51" s="20">
        <v>0</v>
      </c>
      <c r="L51" s="20">
        <v>64</v>
      </c>
      <c r="M51" s="20">
        <v>0</v>
      </c>
    </row>
    <row r="52" spans="2:13" x14ac:dyDescent="0.2">
      <c r="B52" s="18" t="s">
        <v>52</v>
      </c>
      <c r="I52" s="20">
        <v>-5</v>
      </c>
      <c r="K52" s="20">
        <v>-14</v>
      </c>
      <c r="L52" s="20">
        <v>-2</v>
      </c>
      <c r="M52" s="20">
        <v>-36</v>
      </c>
    </row>
    <row r="53" spans="2:13" x14ac:dyDescent="0.2">
      <c r="B53" s="18" t="s">
        <v>89</v>
      </c>
      <c r="I53" s="20">
        <f>SUM(I47:I52)</f>
        <v>-4073</v>
      </c>
      <c r="K53" s="20">
        <f>SUM(K47:K52)</f>
        <v>18337</v>
      </c>
      <c r="L53" s="20">
        <f>SUM(L47:L52)</f>
        <v>-5929</v>
      </c>
      <c r="M53" s="20">
        <f>SUM(M47:M52)</f>
        <v>-8065</v>
      </c>
    </row>
    <row r="54" spans="2:13" x14ac:dyDescent="0.2">
      <c r="B54" s="18" t="s">
        <v>88</v>
      </c>
      <c r="I54" s="20">
        <f>I53+I45+I36</f>
        <v>502</v>
      </c>
      <c r="K54" s="20">
        <f>K53+K45+K36</f>
        <v>-2325</v>
      </c>
      <c r="L54" s="20">
        <f>L53+L45+L36</f>
        <v>-2055</v>
      </c>
      <c r="M54" s="20">
        <f>M53+M45+M36</f>
        <v>143</v>
      </c>
    </row>
    <row r="55" spans="2:13" x14ac:dyDescent="0.2">
      <c r="M55" s="20"/>
    </row>
  </sheetData>
  <hyperlinks>
    <hyperlink ref="A1" r:id="rId1" xr:uid="{5E0D78F4-E449-D04A-8AB2-5EF2E4FF0413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2024-12-28T15:09:41Z</dcterms:created>
  <dcterms:modified xsi:type="dcterms:W3CDTF">2025-01-30T16:07:58Z</dcterms:modified>
</cp:coreProperties>
</file>