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ocuments\GitHub\Financial-Models\"/>
    </mc:Choice>
  </mc:AlternateContent>
  <xr:revisionPtr revIDLastSave="0" documentId="13_ncr:1_{C73287A5-FD58-473A-B0AE-CA9317363330}" xr6:coauthVersionLast="47" xr6:coauthVersionMax="47" xr10:uidLastSave="{00000000-0000-0000-0000-000000000000}"/>
  <bookViews>
    <workbookView xWindow="1140" yWindow="780" windowWidth="25950" windowHeight="14445" activeTab="1" xr2:uid="{F8745C95-78DE-E443-8F9A-05CED30D5E0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AA33" i="2"/>
  <c r="AB33" i="2" s="1"/>
  <c r="Y41" i="2"/>
  <c r="Z41" i="2"/>
  <c r="Z32" i="2"/>
  <c r="Z30" i="2"/>
  <c r="Z31" i="2" s="1"/>
  <c r="Z33" i="2" s="1"/>
  <c r="Z34" i="2" s="1"/>
  <c r="Z28" i="2"/>
  <c r="Z29" i="2" s="1"/>
  <c r="Z27" i="2"/>
  <c r="Z26" i="2"/>
  <c r="Z24" i="2"/>
  <c r="Z25" i="2"/>
  <c r="R42" i="2"/>
  <c r="Q42" i="2"/>
  <c r="R23" i="2"/>
  <c r="R41" i="2" s="1"/>
  <c r="Q23" i="2"/>
  <c r="Q41" i="2" s="1"/>
  <c r="X34" i="2"/>
  <c r="X33" i="2"/>
  <c r="X32" i="2"/>
  <c r="X31" i="2"/>
  <c r="X30" i="2"/>
  <c r="X29" i="2"/>
  <c r="X28" i="2"/>
  <c r="X27" i="2"/>
  <c r="X26" i="2"/>
  <c r="X24" i="2"/>
  <c r="X25" i="2"/>
  <c r="X23" i="2"/>
  <c r="R30" i="2"/>
  <c r="R27" i="2"/>
  <c r="R28" i="2" s="1"/>
  <c r="R26" i="2"/>
  <c r="Q30" i="2"/>
  <c r="Q27" i="2"/>
  <c r="Q28" i="2" s="1"/>
  <c r="Q26" i="2"/>
  <c r="Q25" i="2"/>
  <c r="Q24" i="2" s="1"/>
  <c r="P42" i="2"/>
  <c r="P41" i="2"/>
  <c r="P34" i="2"/>
  <c r="P33" i="2"/>
  <c r="P31" i="2"/>
  <c r="P28" i="2"/>
  <c r="P29" i="2" s="1"/>
  <c r="P24" i="2"/>
  <c r="P25" i="2"/>
  <c r="P23" i="2"/>
  <c r="Y32" i="2"/>
  <c r="Y27" i="2"/>
  <c r="Y26" i="2"/>
  <c r="Y24" i="2"/>
  <c r="Y23" i="2"/>
  <c r="Z2" i="2"/>
  <c r="AA2" i="2" s="1"/>
  <c r="AB2" i="2" s="1"/>
  <c r="AC2" i="2" s="1"/>
  <c r="AD2" i="2" s="1"/>
  <c r="AE2" i="2" s="1"/>
  <c r="AF2" i="2" s="1"/>
  <c r="AG2" i="2" s="1"/>
  <c r="AH2" i="2" s="1"/>
  <c r="AI2" i="2" s="1"/>
  <c r="O32" i="2"/>
  <c r="O28" i="2"/>
  <c r="O41" i="2"/>
  <c r="M41" i="2"/>
  <c r="L41" i="2"/>
  <c r="K41" i="2"/>
  <c r="J41" i="2"/>
  <c r="I41" i="2"/>
  <c r="H41" i="2"/>
  <c r="G41" i="2"/>
  <c r="N41" i="2"/>
  <c r="O25" i="2"/>
  <c r="O24" i="2" s="1"/>
  <c r="C30" i="2"/>
  <c r="C28" i="2"/>
  <c r="C25" i="2"/>
  <c r="C42" i="2" s="1"/>
  <c r="E30" i="2"/>
  <c r="E28" i="2"/>
  <c r="E25" i="2"/>
  <c r="E42" i="2" s="1"/>
  <c r="D30" i="2"/>
  <c r="D28" i="2"/>
  <c r="D25" i="2"/>
  <c r="D42" i="2" s="1"/>
  <c r="F30" i="2"/>
  <c r="F28" i="2"/>
  <c r="F25" i="2"/>
  <c r="F42" i="2" s="1"/>
  <c r="G30" i="2"/>
  <c r="G28" i="2"/>
  <c r="G25" i="2"/>
  <c r="G42" i="2" s="1"/>
  <c r="I30" i="2"/>
  <c r="I28" i="2"/>
  <c r="I25" i="2"/>
  <c r="I42" i="2" s="1"/>
  <c r="H30" i="2"/>
  <c r="H28" i="2"/>
  <c r="H25" i="2"/>
  <c r="H42" i="2" s="1"/>
  <c r="J30" i="2"/>
  <c r="J28" i="2"/>
  <c r="J25" i="2"/>
  <c r="J42" i="2" s="1"/>
  <c r="N30" i="2"/>
  <c r="N28" i="2"/>
  <c r="N25" i="2"/>
  <c r="N42" i="2" s="1"/>
  <c r="M30" i="2"/>
  <c r="M28" i="2"/>
  <c r="M25" i="2"/>
  <c r="M42" i="2" s="1"/>
  <c r="L30" i="2"/>
  <c r="L28" i="2"/>
  <c r="L25" i="2"/>
  <c r="L42" i="2" s="1"/>
  <c r="K30" i="2"/>
  <c r="K25" i="2"/>
  <c r="K42" i="2" s="1"/>
  <c r="K28" i="2"/>
  <c r="J7" i="1"/>
  <c r="J6" i="1"/>
  <c r="J5" i="1"/>
  <c r="J8" i="1" s="1"/>
  <c r="N2" i="1"/>
  <c r="AC33" i="2" l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Z23" i="2"/>
  <c r="R25" i="2"/>
  <c r="R24" i="2"/>
  <c r="Q29" i="2"/>
  <c r="Q31" i="2" s="1"/>
  <c r="Q33" i="2" s="1"/>
  <c r="Q34" i="2" s="1"/>
  <c r="R29" i="2"/>
  <c r="R31" i="2" s="1"/>
  <c r="R33" i="2" s="1"/>
  <c r="R34" i="2" s="1"/>
  <c r="Y28" i="2"/>
  <c r="O30" i="2"/>
  <c r="Y30" i="2"/>
  <c r="Y25" i="2"/>
  <c r="Y29" i="2" s="1"/>
  <c r="O42" i="2"/>
  <c r="O29" i="2"/>
  <c r="O31" i="2" s="1"/>
  <c r="O33" i="2" s="1"/>
  <c r="O34" i="2" s="1"/>
  <c r="K29" i="2"/>
  <c r="K31" i="2" s="1"/>
  <c r="K33" i="2" s="1"/>
  <c r="K34" i="2" s="1"/>
  <c r="C29" i="2"/>
  <c r="C31" i="2" s="1"/>
  <c r="C33" i="2" s="1"/>
  <c r="C34" i="2" s="1"/>
  <c r="E29" i="2"/>
  <c r="E31" i="2" s="1"/>
  <c r="E33" i="2" s="1"/>
  <c r="E34" i="2" s="1"/>
  <c r="D29" i="2"/>
  <c r="D31" i="2" s="1"/>
  <c r="D33" i="2" s="1"/>
  <c r="D34" i="2" s="1"/>
  <c r="F29" i="2"/>
  <c r="F31" i="2" s="1"/>
  <c r="F33" i="2" s="1"/>
  <c r="F34" i="2" s="1"/>
  <c r="G29" i="2"/>
  <c r="G31" i="2" s="1"/>
  <c r="G33" i="2" s="1"/>
  <c r="G34" i="2" s="1"/>
  <c r="I29" i="2"/>
  <c r="I31" i="2" s="1"/>
  <c r="I33" i="2" s="1"/>
  <c r="I34" i="2" s="1"/>
  <c r="H29" i="2"/>
  <c r="H31" i="2" s="1"/>
  <c r="H33" i="2" s="1"/>
  <c r="H34" i="2" s="1"/>
  <c r="J29" i="2"/>
  <c r="J31" i="2" s="1"/>
  <c r="J33" i="2" s="1"/>
  <c r="J34" i="2" s="1"/>
  <c r="N29" i="2"/>
  <c r="N31" i="2" s="1"/>
  <c r="N33" i="2" s="1"/>
  <c r="N34" i="2" s="1"/>
  <c r="M29" i="2"/>
  <c r="M31" i="2" s="1"/>
  <c r="M33" i="2" s="1"/>
  <c r="M34" i="2" s="1"/>
  <c r="L29" i="2"/>
  <c r="L31" i="2" s="1"/>
  <c r="L33" i="2" s="1"/>
  <c r="L34" i="2" s="1"/>
  <c r="AC41" i="2" l="1"/>
  <c r="AC42" i="2" s="1"/>
  <c r="AC44" i="2" s="1"/>
  <c r="Y31" i="2"/>
  <c r="Y33" i="2" s="1"/>
  <c r="Y3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Kipp</author>
  </authors>
  <commentList>
    <comment ref="Z10" authorId="0" shapeId="0" xr:uid="{6E972523-FA12-44AB-8E9D-B2477CED2A56}">
      <text>
        <r>
          <rPr>
            <b/>
            <sz val="9"/>
            <color indexed="81"/>
            <rFont val="Tahoma"/>
            <family val="2"/>
            <charset val="186"/>
          </rPr>
          <t>Kipp:</t>
        </r>
        <r>
          <rPr>
            <sz val="9"/>
            <color indexed="81"/>
            <rFont val="Tahoma"/>
            <family val="2"/>
            <charset val="186"/>
          </rPr>
          <t xml:space="preserve">
first half of 2025, new 4nm tech in Arizona fab
</t>
        </r>
      </text>
    </comment>
    <comment ref="O23" authorId="0" shapeId="0" xr:uid="{4F551DF6-6B5E-4588-9406-275ABB744914}">
      <text>
        <r>
          <rPr>
            <b/>
            <sz val="9"/>
            <color indexed="81"/>
            <rFont val="Tahoma"/>
            <family val="2"/>
            <charset val="186"/>
          </rPr>
          <t>Kipp:</t>
        </r>
        <r>
          <rPr>
            <sz val="9"/>
            <color indexed="81"/>
            <rFont val="Tahoma"/>
            <family val="2"/>
            <charset val="186"/>
          </rPr>
          <t xml:space="preserve">
guidance 25-25.8bn
</t>
        </r>
      </text>
    </comment>
  </commentList>
</comments>
</file>

<file path=xl/sharedStrings.xml><?xml version="1.0" encoding="utf-8"?>
<sst xmlns="http://schemas.openxmlformats.org/spreadsheetml/2006/main" count="68" uniqueCount="65">
  <si>
    <t>Price</t>
  </si>
  <si>
    <t>Shares</t>
  </si>
  <si>
    <t>MC</t>
  </si>
  <si>
    <t>Cash</t>
  </si>
  <si>
    <t>Debt</t>
  </si>
  <si>
    <t>EV</t>
  </si>
  <si>
    <t>Q324</t>
  </si>
  <si>
    <t>Total shares</t>
  </si>
  <si>
    <t>1 ADR equals</t>
  </si>
  <si>
    <t>S/O</t>
  </si>
  <si>
    <t>Revenue</t>
  </si>
  <si>
    <t>Main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</si>
  <si>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</si>
  <si>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</si>
  <si>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</si>
  <si>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</si>
  <si>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</si>
  <si>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</si>
  <si>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</si>
  <si>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</si>
  <si>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</si>
  <si>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</si>
  <si>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</si>
  <si>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Q125</t>
  </si>
  <si>
    <t>Q225</t>
  </si>
  <si>
    <t>Q325</t>
  </si>
  <si>
    <t>Q425</t>
  </si>
  <si>
    <t>3nm</t>
  </si>
  <si>
    <t>5nm</t>
  </si>
  <si>
    <t>7nm</t>
  </si>
  <si>
    <t>16nm</t>
  </si>
  <si>
    <t>20nm</t>
  </si>
  <si>
    <t>28nm</t>
  </si>
  <si>
    <t>40/45nm</t>
  </si>
  <si>
    <t>65nm</t>
  </si>
  <si>
    <t>90nm</t>
  </si>
  <si>
    <t>0.11/0.13um</t>
  </si>
  <si>
    <t>0.15/0.18um</t>
  </si>
  <si>
    <t>0.25um+</t>
  </si>
  <si>
    <t>HPC</t>
  </si>
  <si>
    <t>Smartphone</t>
  </si>
  <si>
    <t>Internet of Things</t>
  </si>
  <si>
    <t>Automotive</t>
  </si>
  <si>
    <t>Digital Consumer</t>
  </si>
  <si>
    <t>Others</t>
  </si>
  <si>
    <t>COGS</t>
  </si>
  <si>
    <t>Gross Profit</t>
  </si>
  <si>
    <t>R&amp;D</t>
  </si>
  <si>
    <t>SG&amp;A</t>
  </si>
  <si>
    <t>OpEx</t>
  </si>
  <si>
    <t>OpInc</t>
  </si>
  <si>
    <t>Interest</t>
  </si>
  <si>
    <t>Pretax</t>
  </si>
  <si>
    <t>Taxes</t>
  </si>
  <si>
    <t>Net Income</t>
  </si>
  <si>
    <t>FCF</t>
  </si>
  <si>
    <t>Gross Margin</t>
  </si>
  <si>
    <t>Revenue y/y</t>
  </si>
  <si>
    <t>Terminal</t>
  </si>
  <si>
    <t>Discount</t>
  </si>
  <si>
    <t>NPV</t>
  </si>
  <si>
    <t>Share</t>
  </si>
  <si>
    <t>Current</t>
  </si>
  <si>
    <t>Diff</t>
  </si>
  <si>
    <t>4nm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</si>
</sst>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  <charset val="186"/>
    </font>
    <font>
      <b/>
      <sz val="10"/>
      <color theme="1"/>
      <name val="Arial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3" fontId="1" fillId="0" borderId="0" xfId="0" applyNumberFormat="1" applyFont="1"/>
    <xf numFmtId="4" fontId="2" fillId="0" borderId="0" xfId="0" applyNumberFormat="1" applyFont="1"/>
    <xf numFmtId="4" fontId="1" fillId="0" borderId="0" xfId="0" applyNumberFormat="1" applyFont="1"/>
    <xf numFmtId="3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839390</xdr:colOff>
      <xdr:row>0</xdr:row>
      <xdr:rowOff>29766</xdr:rowOff>
    </xdr:from>
    <xdr:to>
      <xdr:col>14</xdr:col>
      <xdr:colOff>5953</xdr:colOff>
      <xdr:row>51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32B71D2-FDEA-C2C6-F763-0E48A5641A6B}"/>
            </a:ext>
          </a:extLst>
        </xdr:cNvPr>
        <xdr:cNvCxnSpPr/>
      </xdr:nvCxnSpPr>
      <xdr:spPr>
        <a:xfrm>
          <a:off x="11495484" y="29766"/>
          <a:ext cx="5953" cy="644723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6569</xdr:colOff>
      <xdr:row>0</xdr:row>
      <xdr:rowOff>32845</xdr:rowOff>
    </xdr:from>
    <xdr:to>
      <xdr:col>25</xdr:col>
      <xdr:colOff>13138</xdr:colOff>
      <xdr:row>37</xdr:row>
      <xdr:rowOff>91966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2F603C4-F3E8-BF05-69A3-909F99B32E98}"/>
            </a:ext>
          </a:extLst>
        </xdr:cNvPr>
        <xdr:cNvCxnSpPr/>
      </xdr:nvCxnSpPr>
      <xdr:spPr>
        <a:xfrm>
          <a:off x="20764500" y="32845"/>
          <a:ext cx="6569" cy="61354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BEB18-EC38-BD4F-94A3-2D5879B26163}">
  <dimension ref="I1:N10"/>
  <sheetViews>
    <sheetView topLeftCell="G1" zoomScale="155" zoomScaleNormal="155" workbookViewId="0">
      <selection activeCell="J9" sqref="J9"/>
    </sheetView>
  </sheetViews>
  <sheetFormatPr defaultColWidth="11" defaultRowHeight="15.75" x14ac:dyDescent="0.25"/>
  <sheetData>
    <row r="1" spans="9:14" x14ac:dyDescent="0.25">
      <c r="L1" t="s">
        <v>7</v>
      </c>
      <c r="M1" t="s">
        <v>8</v>
      </c>
      <c r="N1" t="s">
        <v>9</v>
      </c>
    </row>
    <row r="2" spans="9:14" x14ac:dyDescent="0.25">
      <c r="L2" s="1">
        <v>25932</v>
      </c>
      <c r="M2">
        <v>5</v>
      </c>
      <c r="N2">
        <f>L2/M2</f>
        <v>5186.3999999999996</v>
      </c>
    </row>
    <row r="3" spans="9:14" x14ac:dyDescent="0.25">
      <c r="I3" t="s">
        <v>0</v>
      </c>
      <c r="J3">
        <v>197</v>
      </c>
    </row>
    <row r="4" spans="9:14" x14ac:dyDescent="0.25">
      <c r="I4" t="s">
        <v>1</v>
      </c>
      <c r="J4" s="1">
        <v>5186</v>
      </c>
      <c r="K4" t="s">
        <v>6</v>
      </c>
    </row>
    <row r="5" spans="9:14" x14ac:dyDescent="0.25">
      <c r="I5" t="s">
        <v>2</v>
      </c>
      <c r="J5" s="1">
        <f>J3*J4</f>
        <v>1021642</v>
      </c>
    </row>
    <row r="6" spans="9:14" x14ac:dyDescent="0.25">
      <c r="I6" t="s">
        <v>3</v>
      </c>
      <c r="J6" s="1">
        <f>59636+8876</f>
        <v>68512</v>
      </c>
      <c r="K6" t="s">
        <v>6</v>
      </c>
    </row>
    <row r="7" spans="9:14" x14ac:dyDescent="0.25">
      <c r="I7" t="s">
        <v>4</v>
      </c>
      <c r="J7" s="1">
        <f>3955+6557+1859</f>
        <v>12371</v>
      </c>
      <c r="K7" t="s">
        <v>6</v>
      </c>
    </row>
    <row r="8" spans="9:14" x14ac:dyDescent="0.25">
      <c r="I8" t="s">
        <v>5</v>
      </c>
      <c r="J8" s="1">
        <f>J5-J6+J7</f>
        <v>965501</v>
      </c>
    </row>
    <row r="9" spans="9:14" x14ac:dyDescent="0.25">
      <c r="J9">
        <f>+J3/I10</f>
        <v>30.354391371340522</v>
      </c>
    </row>
    <row r="10" spans="9:14" x14ac:dyDescent="0.25">
      <c r="I10">
        <v>6.49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1CAD4-B555-B24B-B808-54335B8F5C59}">
  <dimension ref="A1:CM54"/>
  <sheetViews>
    <sheetView tabSelected="1" zoomScale="145" zoomScaleNormal="145" workbookViewId="0">
      <pane xSplit="2" ySplit="2" topLeftCell="T30" activePane="bottomRight" state="frozen"/>
      <selection pane="topRight" activeCell="C1" sqref="C1"/>
      <selection pane="bottomLeft" activeCell="A3" sqref="A3"/>
      <selection pane="bottomRight" activeCell="Y34" sqref="Y34"/>
    </sheetView>
  </sheetViews>
  <sheetFormatPr defaultColWidth="11" defaultRowHeight="12.75" x14ac:dyDescent="0.2"/>
  <cols>
    <col min="1" max="1" width="5.125" style="2" bestFit="1" customWidth="1"/>
    <col min="2" max="2" width="13.5" style="2" bestFit="1" customWidth="1"/>
    <col min="3" max="26" width="11" style="2"/>
    <col min="27" max="27" width="12.875" style="2" bestFit="1" customWidth="1"/>
    <col min="28" max="16384" width="11" style="2"/>
  </cols>
  <sheetData>
    <row r="1" spans="1:35" x14ac:dyDescent="0.2">
      <c r="A1" s="2" t="s">
        <v>11</v>
      </c>
    </row>
    <row r="2" spans="1:35" x14ac:dyDescent="0.2"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6</v>
      </c>
      <c r="N2" s="2" t="s">
        <v>22</v>
      </c>
      <c r="O2" s="2" t="s">
        <v>23</v>
      </c>
      <c r="P2" s="2" t="s">
        <v>24</v>
      </c>
      <c r="Q2" s="2" t="s">
        <v>25</v>
      </c>
      <c r="R2" s="2" t="s">
        <v>26</v>
      </c>
      <c r="W2" s="2">
        <v>2022</v>
      </c>
      <c r="X2" s="2">
        <v>2023</v>
      </c>
      <c r="Y2" s="2">
        <v>2024</v>
      </c>
      <c r="Z2" s="2">
        <f>+Y2+1</f>
        <v>2025</v>
      </c>
      <c r="AA2" s="2">
        <f t="shared" ref="AA2:AI2" si="0">+Z2+1</f>
        <v>2026</v>
      </c>
      <c r="AB2" s="2">
        <f t="shared" si="0"/>
        <v>2027</v>
      </c>
      <c r="AC2" s="2">
        <f t="shared" si="0"/>
        <v>2028</v>
      </c>
      <c r="AD2" s="2">
        <f t="shared" si="0"/>
        <v>2029</v>
      </c>
      <c r="AE2" s="2">
        <f t="shared" si="0"/>
        <v>2030</v>
      </c>
      <c r="AF2" s="2">
        <f t="shared" si="0"/>
        <v>2031</v>
      </c>
      <c r="AG2" s="2">
        <f t="shared" si="0"/>
        <v>2032</v>
      </c>
      <c r="AH2" s="2">
        <f t="shared" si="0"/>
        <v>2033</v>
      </c>
      <c r="AI2" s="2">
        <f t="shared" si="0"/>
        <v>2034</v>
      </c>
    </row>
    <row r="3" spans="1:35" x14ac:dyDescent="0.2">
      <c r="B3" s="2" t="s">
        <v>39</v>
      </c>
      <c r="J3" s="3">
        <v>0.43</v>
      </c>
      <c r="M3" s="3">
        <v>0.51</v>
      </c>
      <c r="N3" s="3">
        <v>0.53</v>
      </c>
    </row>
    <row r="4" spans="1:35" x14ac:dyDescent="0.2">
      <c r="B4" s="2" t="s">
        <v>40</v>
      </c>
      <c r="J4" s="3">
        <v>0.43</v>
      </c>
      <c r="M4" s="3">
        <v>0.34</v>
      </c>
      <c r="N4" s="3">
        <v>0.35</v>
      </c>
    </row>
    <row r="5" spans="1:35" x14ac:dyDescent="0.2">
      <c r="B5" s="2" t="s">
        <v>41</v>
      </c>
      <c r="J5" s="3">
        <v>0.05</v>
      </c>
      <c r="M5" s="3">
        <v>7.0000000000000007E-2</v>
      </c>
      <c r="N5" s="3">
        <v>0.05</v>
      </c>
    </row>
    <row r="6" spans="1:35" x14ac:dyDescent="0.2">
      <c r="B6" s="2" t="s">
        <v>42</v>
      </c>
      <c r="J6" s="3">
        <v>0.05</v>
      </c>
      <c r="M6" s="3">
        <v>0.05</v>
      </c>
      <c r="N6" s="3">
        <v>0.04</v>
      </c>
    </row>
    <row r="7" spans="1:35" x14ac:dyDescent="0.2">
      <c r="B7" s="2" t="s">
        <v>43</v>
      </c>
      <c r="J7" s="3">
        <v>0.02</v>
      </c>
      <c r="M7" s="3">
        <v>0.01</v>
      </c>
      <c r="N7" s="3">
        <v>0.01</v>
      </c>
    </row>
    <row r="8" spans="1:35" x14ac:dyDescent="0.2">
      <c r="B8" s="2" t="s">
        <v>44</v>
      </c>
      <c r="J8" s="3">
        <v>0.02</v>
      </c>
      <c r="M8" s="3">
        <v>0.02</v>
      </c>
      <c r="N8" s="3">
        <v>0.02</v>
      </c>
    </row>
    <row r="10" spans="1:35" x14ac:dyDescent="0.2">
      <c r="B10" s="2" t="s">
        <v>27</v>
      </c>
      <c r="J10" s="3">
        <v>0.15</v>
      </c>
      <c r="M10" s="3">
        <v>0.2</v>
      </c>
      <c r="N10" s="3">
        <v>0.26</v>
      </c>
      <c r="Z10" s="2" t="s">
        <v>64</v>
      </c>
    </row>
    <row r="11" spans="1:35" x14ac:dyDescent="0.2">
      <c r="B11" s="2" t="s">
        <v>28</v>
      </c>
      <c r="J11" s="3">
        <v>0.35</v>
      </c>
      <c r="M11" s="3">
        <v>0.32</v>
      </c>
      <c r="N11" s="3">
        <v>0.34</v>
      </c>
    </row>
    <row r="12" spans="1:35" x14ac:dyDescent="0.2">
      <c r="B12" s="2" t="s">
        <v>29</v>
      </c>
      <c r="J12" s="3">
        <v>0.17</v>
      </c>
      <c r="M12" s="3">
        <v>0.17</v>
      </c>
      <c r="N12" s="3">
        <v>0.14000000000000001</v>
      </c>
    </row>
    <row r="13" spans="1:35" x14ac:dyDescent="0.2">
      <c r="B13" s="2" t="s">
        <v>30</v>
      </c>
      <c r="J13" s="3">
        <v>0.08</v>
      </c>
      <c r="M13" s="3">
        <v>0.08</v>
      </c>
      <c r="N13" s="3">
        <v>7.0000000000000007E-2</v>
      </c>
    </row>
    <row r="14" spans="1:35" x14ac:dyDescent="0.2">
      <c r="B14" s="2" t="s">
        <v>31</v>
      </c>
      <c r="J14" s="3">
        <v>0</v>
      </c>
      <c r="M14" s="3">
        <v>0</v>
      </c>
      <c r="N14" s="3">
        <v>0</v>
      </c>
    </row>
    <row r="15" spans="1:35" x14ac:dyDescent="0.2">
      <c r="B15" s="2" t="s">
        <v>32</v>
      </c>
      <c r="J15" s="3">
        <v>7.0000000000000007E-2</v>
      </c>
      <c r="M15" s="3">
        <v>7.0000000000000007E-2</v>
      </c>
      <c r="N15" s="3">
        <v>0.06</v>
      </c>
    </row>
    <row r="16" spans="1:35" x14ac:dyDescent="0.2">
      <c r="B16" s="2" t="s">
        <v>33</v>
      </c>
      <c r="J16" s="3">
        <v>0.04</v>
      </c>
      <c r="M16" s="3">
        <v>0.04</v>
      </c>
      <c r="N16" s="3">
        <v>0.03</v>
      </c>
    </row>
    <row r="17" spans="2:26" x14ac:dyDescent="0.2">
      <c r="B17" s="2" t="s">
        <v>34</v>
      </c>
      <c r="J17" s="3">
        <v>0.05</v>
      </c>
      <c r="M17" s="3">
        <v>0.04</v>
      </c>
      <c r="N17" s="3">
        <v>0.04</v>
      </c>
    </row>
    <row r="18" spans="2:26" x14ac:dyDescent="0.2">
      <c r="B18" s="2" t="s">
        <v>35</v>
      </c>
      <c r="J18" s="3">
        <v>0.01</v>
      </c>
      <c r="M18" s="3">
        <v>0.01</v>
      </c>
      <c r="N18" s="3">
        <v>0.01</v>
      </c>
    </row>
    <row r="19" spans="2:26" x14ac:dyDescent="0.2">
      <c r="B19" s="2" t="s">
        <v>36</v>
      </c>
      <c r="J19" s="3">
        <v>0.03</v>
      </c>
      <c r="M19" s="3">
        <v>0.02</v>
      </c>
      <c r="N19" s="3">
        <v>0.02</v>
      </c>
    </row>
    <row r="20" spans="2:26" x14ac:dyDescent="0.2">
      <c r="B20" s="2" t="s">
        <v>37</v>
      </c>
      <c r="J20" s="3">
        <v>0.04</v>
      </c>
      <c r="M20" s="3">
        <v>0.04</v>
      </c>
      <c r="N20" s="3">
        <v>0.03</v>
      </c>
    </row>
    <row r="21" spans="2:26" x14ac:dyDescent="0.2">
      <c r="B21" s="2" t="s">
        <v>38</v>
      </c>
      <c r="J21" s="3">
        <v>0.01</v>
      </c>
      <c r="M21" s="3">
        <v>0.01</v>
      </c>
      <c r="N21" s="3">
        <v>0</v>
      </c>
    </row>
    <row r="23" spans="2:26" s="4" customFormat="1" x14ac:dyDescent="0.2">
      <c r="B23" s="4" t="s">
        <v>10</v>
      </c>
      <c r="C23" s="5">
        <v>17567</v>
      </c>
      <c r="D23" s="5">
        <v>18158</v>
      </c>
      <c r="E23" s="5">
        <v>20225</v>
      </c>
      <c r="F23" s="5">
        <v>19931</v>
      </c>
      <c r="G23" s="5">
        <v>16719</v>
      </c>
      <c r="H23" s="5">
        <v>15677</v>
      </c>
      <c r="I23" s="5">
        <v>17278</v>
      </c>
      <c r="J23" s="5">
        <v>19624</v>
      </c>
      <c r="K23" s="5">
        <v>18873</v>
      </c>
      <c r="L23" s="5">
        <v>20822</v>
      </c>
      <c r="M23" s="5">
        <v>23504</v>
      </c>
      <c r="N23" s="5">
        <v>26884</v>
      </c>
      <c r="O23" s="5">
        <v>25500</v>
      </c>
      <c r="P23" s="5">
        <f>+L23*1.25</f>
        <v>26027.5</v>
      </c>
      <c r="Q23" s="5">
        <f>+M23*0.9</f>
        <v>21153.600000000002</v>
      </c>
      <c r="R23" s="5">
        <f>+N23*0.95</f>
        <v>25539.8</v>
      </c>
      <c r="X23" s="5">
        <f>+SUM(G23:J23)</f>
        <v>69298</v>
      </c>
      <c r="Y23" s="5">
        <f>+SUM(K23:N23)</f>
        <v>90083</v>
      </c>
      <c r="Z23" s="5">
        <f>+SUM(O23:R23)</f>
        <v>98220.900000000009</v>
      </c>
    </row>
    <row r="24" spans="2:26" x14ac:dyDescent="0.2">
      <c r="B24" s="2" t="s">
        <v>45</v>
      </c>
      <c r="C24" s="6">
        <v>7794</v>
      </c>
      <c r="D24" s="6">
        <v>7434</v>
      </c>
      <c r="E24" s="6">
        <v>8004</v>
      </c>
      <c r="F24" s="6">
        <v>7531</v>
      </c>
      <c r="G24" s="6">
        <v>7302</v>
      </c>
      <c r="H24" s="6">
        <v>7194</v>
      </c>
      <c r="I24" s="6">
        <v>7903</v>
      </c>
      <c r="J24" s="6">
        <v>9216</v>
      </c>
      <c r="K24" s="6">
        <v>8858</v>
      </c>
      <c r="L24" s="6">
        <v>9750</v>
      </c>
      <c r="M24" s="6">
        <v>9911</v>
      </c>
      <c r="N24" s="6">
        <v>11023</v>
      </c>
      <c r="O24" s="6">
        <f>+O23-O25</f>
        <v>10710.000000000002</v>
      </c>
      <c r="P24" s="6">
        <f>+P23-P25</f>
        <v>10931.550000000001</v>
      </c>
      <c r="Q24" s="6">
        <f>+Q23-Q25</f>
        <v>8884.5120000000024</v>
      </c>
      <c r="R24" s="6">
        <f>+R23-R25</f>
        <v>10726.716</v>
      </c>
      <c r="X24" s="6">
        <f>+X23-X25</f>
        <v>29105.160000000003</v>
      </c>
      <c r="Y24" s="6">
        <f>+SUM(K24:N24)</f>
        <v>39542</v>
      </c>
      <c r="Z24" s="6">
        <f>+Z23-Z25</f>
        <v>43217.195999999996</v>
      </c>
    </row>
    <row r="25" spans="2:26" s="4" customFormat="1" x14ac:dyDescent="0.2">
      <c r="B25" s="4" t="s">
        <v>46</v>
      </c>
      <c r="C25" s="5">
        <f t="shared" ref="C25:N25" si="1">+C23-C24</f>
        <v>9773</v>
      </c>
      <c r="D25" s="5">
        <f t="shared" si="1"/>
        <v>10724</v>
      </c>
      <c r="E25" s="5">
        <f t="shared" si="1"/>
        <v>12221</v>
      </c>
      <c r="F25" s="5">
        <f t="shared" si="1"/>
        <v>12400</v>
      </c>
      <c r="G25" s="5">
        <f t="shared" si="1"/>
        <v>9417</v>
      </c>
      <c r="H25" s="5">
        <f t="shared" si="1"/>
        <v>8483</v>
      </c>
      <c r="I25" s="5">
        <f t="shared" si="1"/>
        <v>9375</v>
      </c>
      <c r="J25" s="5">
        <f t="shared" si="1"/>
        <v>10408</v>
      </c>
      <c r="K25" s="5">
        <f t="shared" si="1"/>
        <v>10015</v>
      </c>
      <c r="L25" s="5">
        <f t="shared" si="1"/>
        <v>11072</v>
      </c>
      <c r="M25" s="5">
        <f t="shared" si="1"/>
        <v>13593</v>
      </c>
      <c r="N25" s="5">
        <f t="shared" si="1"/>
        <v>15861</v>
      </c>
      <c r="O25" s="5">
        <f>+O23*0.58</f>
        <v>14789.999999999998</v>
      </c>
      <c r="P25" s="5">
        <f>+P23*0.58</f>
        <v>15095.949999999999</v>
      </c>
      <c r="Q25" s="5">
        <f>+Q23*0.58</f>
        <v>12269.088</v>
      </c>
      <c r="R25" s="5">
        <f>+R23*0.58</f>
        <v>14813.083999999999</v>
      </c>
      <c r="X25" s="2">
        <f>+X23*0.58</f>
        <v>40192.839999999997</v>
      </c>
      <c r="Y25" s="6">
        <f>+SUM(K25:N25)</f>
        <v>50541</v>
      </c>
      <c r="Z25" s="5">
        <f>+Z23*0.56</f>
        <v>55003.704000000012</v>
      </c>
    </row>
    <row r="26" spans="2:26" x14ac:dyDescent="0.2">
      <c r="B26" s="2" t="s">
        <v>47</v>
      </c>
      <c r="C26" s="6">
        <v>1290</v>
      </c>
      <c r="D26" s="6">
        <v>1348</v>
      </c>
      <c r="E26" s="6">
        <v>1417</v>
      </c>
      <c r="F26" s="6">
        <v>1421</v>
      </c>
      <c r="G26" s="6">
        <v>1287</v>
      </c>
      <c r="H26" s="6">
        <v>1358</v>
      </c>
      <c r="I26" s="6">
        <v>1616</v>
      </c>
      <c r="J26" s="6">
        <v>1582</v>
      </c>
      <c r="K26" s="6">
        <v>1468</v>
      </c>
      <c r="L26" s="6">
        <v>1486</v>
      </c>
      <c r="M26" s="6">
        <v>1633</v>
      </c>
      <c r="N26" s="6">
        <v>1772</v>
      </c>
      <c r="O26" s="6">
        <v>1772</v>
      </c>
      <c r="P26" s="6">
        <v>2000</v>
      </c>
      <c r="Q26" s="6">
        <f>+P26*1.02</f>
        <v>2040</v>
      </c>
      <c r="R26" s="6">
        <f>+Q26*1.02</f>
        <v>2080.8000000000002</v>
      </c>
      <c r="X26" s="6">
        <f t="shared" ref="X26:X27" si="2">+SUM(G26:J26)</f>
        <v>5843</v>
      </c>
      <c r="Y26" s="6">
        <f>+SUM(K26:N26)</f>
        <v>6359</v>
      </c>
      <c r="Z26" s="6">
        <f>+SUM(O26:R26)</f>
        <v>7892.8</v>
      </c>
    </row>
    <row r="27" spans="2:26" x14ac:dyDescent="0.2">
      <c r="B27" s="2" t="s">
        <v>48</v>
      </c>
      <c r="C27" s="6">
        <v>449</v>
      </c>
      <c r="D27" s="6">
        <v>466</v>
      </c>
      <c r="E27" s="6">
        <v>568</v>
      </c>
      <c r="F27" s="6">
        <v>635</v>
      </c>
      <c r="G27" s="6">
        <v>531</v>
      </c>
      <c r="H27" s="6">
        <v>539</v>
      </c>
      <c r="I27" s="6">
        <v>556</v>
      </c>
      <c r="J27" s="6">
        <v>665</v>
      </c>
      <c r="K27" s="6">
        <v>613</v>
      </c>
      <c r="L27" s="6">
        <v>688</v>
      </c>
      <c r="M27" s="6">
        <v>814</v>
      </c>
      <c r="N27" s="6">
        <v>901</v>
      </c>
      <c r="O27" s="6">
        <v>901</v>
      </c>
      <c r="P27" s="6">
        <v>901</v>
      </c>
      <c r="Q27" s="6">
        <f>+P27*1.02</f>
        <v>919.02</v>
      </c>
      <c r="R27" s="6">
        <f>+Q27*1.02</f>
        <v>937.40039999999999</v>
      </c>
      <c r="X27" s="6">
        <f t="shared" si="2"/>
        <v>2291</v>
      </c>
      <c r="Y27" s="6">
        <f>+SUM(K27:N27)</f>
        <v>3016</v>
      </c>
      <c r="Z27" s="6">
        <f>+SUM(O27:R27)</f>
        <v>3658.4204</v>
      </c>
    </row>
    <row r="28" spans="2:26" x14ac:dyDescent="0.2">
      <c r="B28" s="2" t="s">
        <v>49</v>
      </c>
      <c r="C28" s="6">
        <f t="shared" ref="C28:R28" si="3">+C27+C26</f>
        <v>1739</v>
      </c>
      <c r="D28" s="6">
        <f t="shared" si="3"/>
        <v>1814</v>
      </c>
      <c r="E28" s="6">
        <f t="shared" si="3"/>
        <v>1985</v>
      </c>
      <c r="F28" s="6">
        <f t="shared" si="3"/>
        <v>2056</v>
      </c>
      <c r="G28" s="6">
        <f t="shared" si="3"/>
        <v>1818</v>
      </c>
      <c r="H28" s="6">
        <f t="shared" si="3"/>
        <v>1897</v>
      </c>
      <c r="I28" s="6">
        <f t="shared" si="3"/>
        <v>2172</v>
      </c>
      <c r="J28" s="6">
        <f t="shared" si="3"/>
        <v>2247</v>
      </c>
      <c r="K28" s="6">
        <f t="shared" si="3"/>
        <v>2081</v>
      </c>
      <c r="L28" s="6">
        <f t="shared" si="3"/>
        <v>2174</v>
      </c>
      <c r="M28" s="6">
        <f t="shared" si="3"/>
        <v>2447</v>
      </c>
      <c r="N28" s="6">
        <f t="shared" si="3"/>
        <v>2673</v>
      </c>
      <c r="O28" s="6">
        <f t="shared" si="3"/>
        <v>2673</v>
      </c>
      <c r="P28" s="6">
        <f t="shared" si="3"/>
        <v>2901</v>
      </c>
      <c r="Q28" s="6">
        <f t="shared" si="3"/>
        <v>2959.02</v>
      </c>
      <c r="R28" s="6">
        <f t="shared" si="3"/>
        <v>3018.2004000000002</v>
      </c>
      <c r="X28" s="6">
        <f>+X27+X26</f>
        <v>8134</v>
      </c>
      <c r="Y28" s="6">
        <f>+Y27+Y26</f>
        <v>9375</v>
      </c>
      <c r="Z28" s="6">
        <f>+Z27+Z26</f>
        <v>11551.2204</v>
      </c>
    </row>
    <row r="29" spans="2:26" x14ac:dyDescent="0.2">
      <c r="B29" s="2" t="s">
        <v>50</v>
      </c>
      <c r="C29" s="6">
        <f t="shared" ref="C29:R29" si="4">+C25-C28</f>
        <v>8034</v>
      </c>
      <c r="D29" s="6">
        <f t="shared" si="4"/>
        <v>8910</v>
      </c>
      <c r="E29" s="6">
        <f t="shared" si="4"/>
        <v>10236</v>
      </c>
      <c r="F29" s="6">
        <f t="shared" si="4"/>
        <v>10344</v>
      </c>
      <c r="G29" s="6">
        <f t="shared" si="4"/>
        <v>7599</v>
      </c>
      <c r="H29" s="6">
        <f t="shared" si="4"/>
        <v>6586</v>
      </c>
      <c r="I29" s="6">
        <f t="shared" si="4"/>
        <v>7203</v>
      </c>
      <c r="J29" s="6">
        <f t="shared" si="4"/>
        <v>8161</v>
      </c>
      <c r="K29" s="6">
        <f t="shared" si="4"/>
        <v>7934</v>
      </c>
      <c r="L29" s="6">
        <f t="shared" si="4"/>
        <v>8898</v>
      </c>
      <c r="M29" s="6">
        <f t="shared" si="4"/>
        <v>11146</v>
      </c>
      <c r="N29" s="6">
        <f t="shared" si="4"/>
        <v>13188</v>
      </c>
      <c r="O29" s="6">
        <f t="shared" si="4"/>
        <v>12116.999999999998</v>
      </c>
      <c r="P29" s="6">
        <f t="shared" si="4"/>
        <v>12194.949999999999</v>
      </c>
      <c r="Q29" s="6">
        <f t="shared" si="4"/>
        <v>9310.0679999999993</v>
      </c>
      <c r="R29" s="6">
        <f t="shared" si="4"/>
        <v>11794.883599999999</v>
      </c>
      <c r="X29" s="6">
        <f>+X25-X28</f>
        <v>32058.839999999997</v>
      </c>
      <c r="Y29" s="6">
        <f>+Y25-Y28</f>
        <v>41166</v>
      </c>
      <c r="Z29" s="6">
        <f>+Z25-Z28</f>
        <v>43452.483600000014</v>
      </c>
    </row>
    <row r="30" spans="2:26" x14ac:dyDescent="0.2">
      <c r="B30" s="2" t="s">
        <v>51</v>
      </c>
      <c r="C30" s="6">
        <f>64+61-17</f>
        <v>108</v>
      </c>
      <c r="D30" s="6">
        <f>76+22+33</f>
        <v>131</v>
      </c>
      <c r="E30" s="6">
        <f>107+69+34</f>
        <v>210</v>
      </c>
      <c r="F30" s="6">
        <f>234+20+55</f>
        <v>309</v>
      </c>
      <c r="G30" s="6">
        <f>350+44+34</f>
        <v>428</v>
      </c>
      <c r="H30" s="6">
        <f>348+30+37</f>
        <v>415</v>
      </c>
      <c r="I30" s="6">
        <f>395+37+7</f>
        <v>439</v>
      </c>
      <c r="J30" s="6">
        <f>455+71+41</f>
        <v>567</v>
      </c>
      <c r="K30" s="6">
        <f>531+28</f>
        <v>559</v>
      </c>
      <c r="L30" s="6">
        <f>567+8</f>
        <v>575</v>
      </c>
      <c r="M30" s="6">
        <f>618+48+58</f>
        <v>724</v>
      </c>
      <c r="N30" s="6">
        <f>673+40</f>
        <v>713</v>
      </c>
      <c r="O30" s="6">
        <f>+AVERAGE(K30:N30)</f>
        <v>642.75</v>
      </c>
      <c r="P30" s="6">
        <v>800</v>
      </c>
      <c r="Q30" s="2">
        <f>+P30*1.02</f>
        <v>816</v>
      </c>
      <c r="R30" s="6">
        <f>+Q30*1.02</f>
        <v>832.32</v>
      </c>
      <c r="X30" s="6">
        <f t="shared" ref="X30:X32" si="5">+SUM(G30:J30)</f>
        <v>1849</v>
      </c>
      <c r="Y30" s="6">
        <f>+SUM(K30:N30)</f>
        <v>2571</v>
      </c>
      <c r="Z30" s="6">
        <f>+SUM(O30:R30)</f>
        <v>3091.07</v>
      </c>
    </row>
    <row r="31" spans="2:26" x14ac:dyDescent="0.2">
      <c r="B31" s="2" t="s">
        <v>52</v>
      </c>
      <c r="C31" s="6">
        <f t="shared" ref="C31:R31" si="6">+C29+C30</f>
        <v>8142</v>
      </c>
      <c r="D31" s="6">
        <f t="shared" si="6"/>
        <v>9041</v>
      </c>
      <c r="E31" s="6">
        <f t="shared" si="6"/>
        <v>10446</v>
      </c>
      <c r="F31" s="6">
        <f t="shared" si="6"/>
        <v>10653</v>
      </c>
      <c r="G31" s="6">
        <f t="shared" si="6"/>
        <v>8027</v>
      </c>
      <c r="H31" s="6">
        <f t="shared" si="6"/>
        <v>7001</v>
      </c>
      <c r="I31" s="6">
        <f t="shared" si="6"/>
        <v>7642</v>
      </c>
      <c r="J31" s="6">
        <f t="shared" si="6"/>
        <v>8728</v>
      </c>
      <c r="K31" s="6">
        <f t="shared" si="6"/>
        <v>8493</v>
      </c>
      <c r="L31" s="6">
        <f t="shared" si="6"/>
        <v>9473</v>
      </c>
      <c r="M31" s="6">
        <f t="shared" si="6"/>
        <v>11870</v>
      </c>
      <c r="N31" s="6">
        <f t="shared" si="6"/>
        <v>13901</v>
      </c>
      <c r="O31" s="6">
        <f t="shared" si="6"/>
        <v>12759.749999999998</v>
      </c>
      <c r="P31" s="6">
        <f t="shared" si="6"/>
        <v>12994.949999999999</v>
      </c>
      <c r="Q31" s="6">
        <f t="shared" si="6"/>
        <v>10126.067999999999</v>
      </c>
      <c r="R31" s="6">
        <f t="shared" si="6"/>
        <v>12627.203599999999</v>
      </c>
      <c r="X31" s="6">
        <f>+X29+X30</f>
        <v>33907.839999999997</v>
      </c>
      <c r="Y31" s="6">
        <f>+Y29+Y30</f>
        <v>43737</v>
      </c>
      <c r="Z31" s="6">
        <f>+Z29+Z30</f>
        <v>46543.553600000014</v>
      </c>
    </row>
    <row r="32" spans="2:26" x14ac:dyDescent="0.2">
      <c r="B32" s="2" t="s">
        <v>53</v>
      </c>
      <c r="C32" s="6">
        <v>857</v>
      </c>
      <c r="D32" s="6">
        <v>979</v>
      </c>
      <c r="E32" s="6">
        <v>1178</v>
      </c>
      <c r="F32" s="6">
        <v>1227</v>
      </c>
      <c r="G32" s="6">
        <v>1227</v>
      </c>
      <c r="H32" s="6">
        <v>1074</v>
      </c>
      <c r="I32" s="6">
        <v>984</v>
      </c>
      <c r="J32" s="6">
        <v>1254</v>
      </c>
      <c r="K32" s="6">
        <v>1316</v>
      </c>
      <c r="L32" s="6">
        <v>1813</v>
      </c>
      <c r="M32" s="6">
        <v>1828</v>
      </c>
      <c r="N32" s="6">
        <v>2301</v>
      </c>
      <c r="O32" s="6">
        <f>+AVERAGE(K32:N32)</f>
        <v>1814.5</v>
      </c>
      <c r="P32" s="6">
        <v>2300</v>
      </c>
      <c r="Q32" s="6">
        <v>2300</v>
      </c>
      <c r="R32" s="6">
        <v>2300</v>
      </c>
      <c r="X32" s="6">
        <f t="shared" si="5"/>
        <v>4539</v>
      </c>
      <c r="Y32" s="6">
        <f>+SUM(K32:N32)</f>
        <v>7258</v>
      </c>
      <c r="Z32" s="6">
        <f>+SUM(O32:R32)</f>
        <v>8714.5</v>
      </c>
    </row>
    <row r="33" spans="2:91" s="4" customFormat="1" x14ac:dyDescent="0.2">
      <c r="B33" s="4" t="s">
        <v>54</v>
      </c>
      <c r="C33" s="5">
        <f t="shared" ref="C33:R33" si="7">+C31-C32</f>
        <v>7285</v>
      </c>
      <c r="D33" s="5">
        <f t="shared" si="7"/>
        <v>8062</v>
      </c>
      <c r="E33" s="5">
        <f t="shared" si="7"/>
        <v>9268</v>
      </c>
      <c r="F33" s="5">
        <f t="shared" si="7"/>
        <v>9426</v>
      </c>
      <c r="G33" s="5">
        <f t="shared" si="7"/>
        <v>6800</v>
      </c>
      <c r="H33" s="5">
        <f t="shared" si="7"/>
        <v>5927</v>
      </c>
      <c r="I33" s="5">
        <f t="shared" si="7"/>
        <v>6658</v>
      </c>
      <c r="J33" s="5">
        <f t="shared" si="7"/>
        <v>7474</v>
      </c>
      <c r="K33" s="5">
        <f t="shared" si="7"/>
        <v>7177</v>
      </c>
      <c r="L33" s="5">
        <f t="shared" si="7"/>
        <v>7660</v>
      </c>
      <c r="M33" s="5">
        <f t="shared" si="7"/>
        <v>10042</v>
      </c>
      <c r="N33" s="5">
        <f t="shared" si="7"/>
        <v>11600</v>
      </c>
      <c r="O33" s="5">
        <f t="shared" si="7"/>
        <v>10945.249999999998</v>
      </c>
      <c r="P33" s="5">
        <f t="shared" si="7"/>
        <v>10694.949999999999</v>
      </c>
      <c r="Q33" s="5">
        <f t="shared" si="7"/>
        <v>7826.0679999999993</v>
      </c>
      <c r="R33" s="5">
        <f t="shared" si="7"/>
        <v>10327.203599999999</v>
      </c>
      <c r="X33" s="5">
        <f>+X31-X32</f>
        <v>29368.839999999997</v>
      </c>
      <c r="Y33" s="5">
        <f>+Y31-Y32</f>
        <v>36479</v>
      </c>
      <c r="Z33" s="5">
        <f>+Z31-Z32</f>
        <v>37829.053600000014</v>
      </c>
      <c r="AA33" s="5">
        <f>+Z33*(1+$AC39)</f>
        <v>37450.763064000013</v>
      </c>
      <c r="AB33" s="5">
        <f t="shared" ref="AB33:CM33" si="8">+AA33*(1+$AC39)</f>
        <v>37076.255433360013</v>
      </c>
      <c r="AC33" s="5">
        <f t="shared" si="8"/>
        <v>36705.492879026409</v>
      </c>
      <c r="AD33" s="5">
        <f t="shared" si="8"/>
        <v>36338.437950236148</v>
      </c>
      <c r="AE33" s="5">
        <f t="shared" si="8"/>
        <v>35975.053570733784</v>
      </c>
      <c r="AF33" s="5">
        <f t="shared" si="8"/>
        <v>35615.303035026445</v>
      </c>
      <c r="AG33" s="5">
        <f t="shared" si="8"/>
        <v>35259.150004676179</v>
      </c>
      <c r="AH33" s="5">
        <f t="shared" si="8"/>
        <v>34906.558504629415</v>
      </c>
      <c r="AI33" s="5">
        <f t="shared" si="8"/>
        <v>34557.492919583121</v>
      </c>
      <c r="AJ33" s="5">
        <f t="shared" si="8"/>
        <v>34211.917990387286</v>
      </c>
      <c r="AK33" s="5">
        <f t="shared" si="8"/>
        <v>33869.798810483415</v>
      </c>
      <c r="AL33" s="5">
        <f t="shared" si="8"/>
        <v>33531.100822378583</v>
      </c>
      <c r="AM33" s="5">
        <f t="shared" si="8"/>
        <v>33195.789814154799</v>
      </c>
      <c r="AN33" s="5">
        <f t="shared" si="8"/>
        <v>32863.831916013252</v>
      </c>
      <c r="AO33" s="5">
        <f t="shared" si="8"/>
        <v>32535.193596853118</v>
      </c>
      <c r="AP33" s="5">
        <f t="shared" si="8"/>
        <v>32209.841660884587</v>
      </c>
      <c r="AQ33" s="5">
        <f t="shared" si="8"/>
        <v>31887.743244275742</v>
      </c>
      <c r="AR33" s="5">
        <f t="shared" si="8"/>
        <v>31568.865811832984</v>
      </c>
      <c r="AS33" s="5">
        <f t="shared" si="8"/>
        <v>31253.177153714652</v>
      </c>
      <c r="AT33" s="5">
        <f t="shared" si="8"/>
        <v>30940.645382177507</v>
      </c>
      <c r="AU33" s="5">
        <f t="shared" si="8"/>
        <v>30631.238928355731</v>
      </c>
      <c r="AV33" s="5">
        <f t="shared" si="8"/>
        <v>30324.926539072174</v>
      </c>
      <c r="AW33" s="5">
        <f t="shared" si="8"/>
        <v>30021.677273681453</v>
      </c>
      <c r="AX33" s="5">
        <f t="shared" si="8"/>
        <v>29721.460500944639</v>
      </c>
      <c r="AY33" s="5">
        <f t="shared" si="8"/>
        <v>29424.245895935193</v>
      </c>
      <c r="AZ33" s="5">
        <f t="shared" si="8"/>
        <v>29130.00343697584</v>
      </c>
      <c r="BA33" s="5">
        <f t="shared" si="8"/>
        <v>28838.703402606079</v>
      </c>
      <c r="BB33" s="5">
        <f t="shared" si="8"/>
        <v>28550.316368580017</v>
      </c>
      <c r="BC33" s="5">
        <f t="shared" si="8"/>
        <v>28264.813204894217</v>
      </c>
      <c r="BD33" s="5">
        <f t="shared" si="8"/>
        <v>27982.165072845273</v>
      </c>
      <c r="BE33" s="5">
        <f t="shared" si="8"/>
        <v>27702.343422116821</v>
      </c>
      <c r="BF33" s="5">
        <f t="shared" si="8"/>
        <v>27425.319987895651</v>
      </c>
      <c r="BG33" s="5">
        <f t="shared" si="8"/>
        <v>27151.066788016695</v>
      </c>
      <c r="BH33" s="5">
        <f t="shared" si="8"/>
        <v>26879.556120136527</v>
      </c>
      <c r="BI33" s="5">
        <f t="shared" si="8"/>
        <v>26610.760558935162</v>
      </c>
      <c r="BJ33" s="5">
        <f t="shared" si="8"/>
        <v>26344.652953345809</v>
      </c>
      <c r="BK33" s="5">
        <f t="shared" si="8"/>
        <v>26081.206423812349</v>
      </c>
      <c r="BL33" s="5">
        <f t="shared" si="8"/>
        <v>25820.394359574224</v>
      </c>
      <c r="BM33" s="5">
        <f t="shared" si="8"/>
        <v>25562.190415978483</v>
      </c>
      <c r="BN33" s="5">
        <f t="shared" si="8"/>
        <v>25306.568511818699</v>
      </c>
      <c r="BO33" s="5">
        <f t="shared" si="8"/>
        <v>25053.502826700511</v>
      </c>
      <c r="BP33" s="5">
        <f t="shared" si="8"/>
        <v>24802.967798433507</v>
      </c>
      <c r="BQ33" s="5">
        <f t="shared" si="8"/>
        <v>24554.938120449173</v>
      </c>
      <c r="BR33" s="5">
        <f t="shared" si="8"/>
        <v>24309.388739244681</v>
      </c>
      <c r="BS33" s="5">
        <f t="shared" si="8"/>
        <v>24066.294851852235</v>
      </c>
      <c r="BT33" s="5">
        <f t="shared" si="8"/>
        <v>23825.631903333713</v>
      </c>
      <c r="BU33" s="5">
        <f t="shared" si="8"/>
        <v>23587.375584300375</v>
      </c>
      <c r="BV33" s="5">
        <f t="shared" si="8"/>
        <v>23351.501828457371</v>
      </c>
      <c r="BW33" s="5">
        <f t="shared" si="8"/>
        <v>23117.986810172795</v>
      </c>
      <c r="BX33" s="5">
        <f t="shared" si="8"/>
        <v>22886.806942071067</v>
      </c>
      <c r="BY33" s="5">
        <f t="shared" si="8"/>
        <v>22657.938872650357</v>
      </c>
      <c r="BZ33" s="5">
        <f t="shared" si="8"/>
        <v>22431.359483923854</v>
      </c>
      <c r="CA33" s="5">
        <f t="shared" si="8"/>
        <v>22207.045889084617</v>
      </c>
      <c r="CB33" s="5">
        <f t="shared" si="8"/>
        <v>21984.975430193772</v>
      </c>
      <c r="CC33" s="5">
        <f t="shared" si="8"/>
        <v>21765.125675891835</v>
      </c>
      <c r="CD33" s="5">
        <f t="shared" si="8"/>
        <v>21547.474419132916</v>
      </c>
      <c r="CE33" s="5">
        <f t="shared" si="8"/>
        <v>21331.999674941588</v>
      </c>
      <c r="CF33" s="5">
        <f t="shared" si="8"/>
        <v>21118.679678192173</v>
      </c>
      <c r="CG33" s="5">
        <f t="shared" si="8"/>
        <v>20907.49288141025</v>
      </c>
      <c r="CH33" s="5">
        <f t="shared" si="8"/>
        <v>20698.417952596148</v>
      </c>
      <c r="CI33" s="5">
        <f t="shared" si="8"/>
        <v>20491.433773070188</v>
      </c>
      <c r="CJ33" s="5">
        <f t="shared" si="8"/>
        <v>20286.519435339487</v>
      </c>
      <c r="CK33" s="5">
        <f t="shared" si="8"/>
        <v>20083.654240986092</v>
      </c>
      <c r="CL33" s="5">
        <f t="shared" si="8"/>
        <v>19882.817698576229</v>
      </c>
      <c r="CM33" s="5">
        <f t="shared" si="8"/>
        <v>19683.989521590465</v>
      </c>
    </row>
    <row r="34" spans="2:91" s="4" customFormat="1" x14ac:dyDescent="0.2">
      <c r="C34" s="7">
        <f t="shared" ref="C34:N34" si="9">+C33/C35</f>
        <v>1.4047435403008099</v>
      </c>
      <c r="D34" s="7">
        <f t="shared" si="9"/>
        <v>1.5545699961434631</v>
      </c>
      <c r="E34" s="7">
        <f t="shared" si="9"/>
        <v>1.7871191669880446</v>
      </c>
      <c r="F34" s="7">
        <f t="shared" si="9"/>
        <v>1.8175858079444658</v>
      </c>
      <c r="G34" s="7">
        <f t="shared" si="9"/>
        <v>1.3112225221750868</v>
      </c>
      <c r="H34" s="7">
        <f t="shared" si="9"/>
        <v>1.1428846895487852</v>
      </c>
      <c r="I34" s="7">
        <f t="shared" si="9"/>
        <v>1.2838411106826071</v>
      </c>
      <c r="J34" s="7">
        <f t="shared" si="9"/>
        <v>1.4411878133436173</v>
      </c>
      <c r="K34" s="7">
        <f t="shared" si="9"/>
        <v>1.3839182414192055</v>
      </c>
      <c r="L34" s="7">
        <f t="shared" si="9"/>
        <v>1.4770536058619359</v>
      </c>
      <c r="M34" s="7">
        <f t="shared" si="9"/>
        <v>1.936367142306209</v>
      </c>
      <c r="N34" s="7">
        <f t="shared" si="9"/>
        <v>2.236791361357501</v>
      </c>
      <c r="O34" s="7">
        <f>+O33/O35</f>
        <v>2.1105379868877745</v>
      </c>
      <c r="P34" s="7">
        <f>+P33/P35</f>
        <v>2.0622734284612414</v>
      </c>
      <c r="Q34" s="7">
        <f>+Q33/Q35</f>
        <v>1.5090759737755495</v>
      </c>
      <c r="R34" s="5">
        <f>+R33/R35</f>
        <v>1.9913620516775934</v>
      </c>
      <c r="X34" s="8">
        <f>+X33/X35</f>
        <v>5.2276326094695618</v>
      </c>
      <c r="Y34" s="8">
        <f>+Y33/Y35</f>
        <v>6.4932360270558922</v>
      </c>
      <c r="Z34" s="8">
        <f>+Z33/Z35</f>
        <v>6.7335446066215763</v>
      </c>
    </row>
    <row r="35" spans="2:91" s="4" customFormat="1" x14ac:dyDescent="0.2">
      <c r="C35" s="5">
        <v>5186</v>
      </c>
      <c r="D35" s="5">
        <v>5186</v>
      </c>
      <c r="E35" s="5">
        <v>5186</v>
      </c>
      <c r="F35" s="5">
        <v>5186</v>
      </c>
      <c r="G35" s="5">
        <v>5186</v>
      </c>
      <c r="H35" s="5">
        <v>5186</v>
      </c>
      <c r="I35" s="5">
        <v>5186</v>
      </c>
      <c r="J35" s="5">
        <v>5186</v>
      </c>
      <c r="K35" s="5">
        <v>5186</v>
      </c>
      <c r="L35" s="5">
        <v>5186</v>
      </c>
      <c r="M35" s="5">
        <v>5186</v>
      </c>
      <c r="N35" s="5">
        <v>5186</v>
      </c>
      <c r="O35" s="5">
        <v>5186</v>
      </c>
      <c r="P35" s="5">
        <v>5186</v>
      </c>
      <c r="Q35" s="5">
        <v>5186</v>
      </c>
      <c r="R35" s="5">
        <v>5186</v>
      </c>
      <c r="X35" s="2">
        <v>5618</v>
      </c>
      <c r="Y35" s="2">
        <v>5618</v>
      </c>
      <c r="Z35" s="2">
        <v>5618</v>
      </c>
    </row>
    <row r="36" spans="2:91" s="4" customFormat="1" x14ac:dyDescent="0.2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2:91" s="4" customFormat="1" x14ac:dyDescent="0.2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2:91" s="4" customFormat="1" x14ac:dyDescent="0.2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2:91" s="4" customFormat="1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AB39" s="2" t="s">
        <v>58</v>
      </c>
      <c r="AC39" s="3">
        <v>-0.01</v>
      </c>
    </row>
    <row r="40" spans="2:91" x14ac:dyDescent="0.2">
      <c r="M40" s="6"/>
      <c r="AB40" s="2" t="s">
        <v>59</v>
      </c>
      <c r="AC40" s="3">
        <v>0.05</v>
      </c>
    </row>
    <row r="41" spans="2:91" x14ac:dyDescent="0.2">
      <c r="B41" s="2" t="s">
        <v>57</v>
      </c>
      <c r="G41" s="3">
        <f t="shared" ref="G41:M41" si="10">+G23/C23-1</f>
        <v>-4.8272328798315001E-2</v>
      </c>
      <c r="H41" s="3">
        <f t="shared" si="10"/>
        <v>-0.13663399052759118</v>
      </c>
      <c r="I41" s="3">
        <f t="shared" si="10"/>
        <v>-0.14571075401730527</v>
      </c>
      <c r="J41" s="3">
        <f t="shared" si="10"/>
        <v>-1.5403140835883788E-2</v>
      </c>
      <c r="K41" s="3">
        <f t="shared" si="10"/>
        <v>0.12883545666606855</v>
      </c>
      <c r="L41" s="3">
        <f t="shared" si="10"/>
        <v>0.32818779103144724</v>
      </c>
      <c r="M41" s="3">
        <f t="shared" si="10"/>
        <v>0.36034263224910301</v>
      </c>
      <c r="N41" s="3">
        <f>+N23/J23-1</f>
        <v>0.36995515695067271</v>
      </c>
      <c r="O41" s="3">
        <f>+O23/K23-1</f>
        <v>0.35113654426959151</v>
      </c>
      <c r="P41" s="3">
        <f>+P23/L23-1</f>
        <v>0.25</v>
      </c>
      <c r="Q41" s="3">
        <f>+Q23/M23-1</f>
        <v>-9.9999999999999867E-2</v>
      </c>
      <c r="R41" s="3">
        <f>+R23/N23-1</f>
        <v>-5.0000000000000044E-2</v>
      </c>
      <c r="X41" s="3"/>
      <c r="Y41" s="3">
        <f>+Y23/X23-1</f>
        <v>0.29993650610407219</v>
      </c>
      <c r="Z41" s="3">
        <f>+Z23/Y23-1</f>
        <v>9.033779958482735E-2</v>
      </c>
      <c r="AB41" s="2" t="s">
        <v>60</v>
      </c>
      <c r="AC41" s="9">
        <f>+NPV(AC40,Y33:CM33)</f>
        <v>622846.04498886981</v>
      </c>
    </row>
    <row r="42" spans="2:91" x14ac:dyDescent="0.2">
      <c r="B42" s="2" t="s">
        <v>56</v>
      </c>
      <c r="C42" s="3">
        <f>+C25/C23</f>
        <v>0.55632720441737349</v>
      </c>
      <c r="D42" s="3">
        <f t="shared" ref="D42:O42" si="11">+D25/D23</f>
        <v>0.59059367771781035</v>
      </c>
      <c r="E42" s="3">
        <f t="shared" si="11"/>
        <v>0.60425216316440045</v>
      </c>
      <c r="F42" s="3">
        <f t="shared" si="11"/>
        <v>0.62214640509758667</v>
      </c>
      <c r="G42" s="3">
        <f t="shared" si="11"/>
        <v>0.56325139063341112</v>
      </c>
      <c r="H42" s="3">
        <f t="shared" si="11"/>
        <v>0.54111118198634944</v>
      </c>
      <c r="I42" s="3">
        <f t="shared" si="11"/>
        <v>0.54259752286144225</v>
      </c>
      <c r="J42" s="3">
        <f t="shared" si="11"/>
        <v>0.53037097431716262</v>
      </c>
      <c r="K42" s="3">
        <f t="shared" si="11"/>
        <v>0.53065225454352782</v>
      </c>
      <c r="L42" s="3">
        <f t="shared" si="11"/>
        <v>0.53174526942656808</v>
      </c>
      <c r="M42" s="3">
        <f t="shared" si="11"/>
        <v>0.57832709326072163</v>
      </c>
      <c r="N42" s="3">
        <f t="shared" si="11"/>
        <v>0.58997916976640385</v>
      </c>
      <c r="O42" s="3">
        <f t="shared" si="11"/>
        <v>0.57999999999999996</v>
      </c>
      <c r="P42" s="3">
        <f t="shared" ref="P42:R42" si="12">+P25/P23</f>
        <v>0.57999999999999996</v>
      </c>
      <c r="Q42" s="3">
        <f t="shared" si="12"/>
        <v>0.57999999999999996</v>
      </c>
      <c r="R42" s="3">
        <f t="shared" si="12"/>
        <v>0.57999999999999996</v>
      </c>
      <c r="AB42" s="2" t="s">
        <v>61</v>
      </c>
      <c r="AC42" s="8">
        <f>+AC41/Main!J4</f>
        <v>120.10143559368873</v>
      </c>
    </row>
    <row r="43" spans="2:91" x14ac:dyDescent="0.2">
      <c r="M43" s="6"/>
      <c r="AB43" s="2" t="s">
        <v>62</v>
      </c>
      <c r="AC43" s="2">
        <v>224.42</v>
      </c>
    </row>
    <row r="44" spans="2:91" x14ac:dyDescent="0.2">
      <c r="M44" s="6"/>
      <c r="AB44" s="2" t="s">
        <v>63</v>
      </c>
      <c r="AC44" s="3">
        <f>+AC42/AC43-1</f>
        <v>-0.46483630873501136</v>
      </c>
    </row>
    <row r="45" spans="2:91" x14ac:dyDescent="0.2">
      <c r="M45" s="6"/>
    </row>
    <row r="46" spans="2:91" x14ac:dyDescent="0.2">
      <c r="M46" s="5"/>
    </row>
    <row r="47" spans="2:91" x14ac:dyDescent="0.2">
      <c r="M47" s="6"/>
    </row>
    <row r="48" spans="2:91" x14ac:dyDescent="0.2">
      <c r="B48" s="2" t="s">
        <v>55</v>
      </c>
      <c r="J48" s="2">
        <v>224</v>
      </c>
      <c r="M48" s="6">
        <v>184</v>
      </c>
      <c r="N48" s="2">
        <v>258</v>
      </c>
    </row>
    <row r="49" spans="13:13" x14ac:dyDescent="0.2">
      <c r="M49" s="6"/>
    </row>
    <row r="50" spans="13:13" x14ac:dyDescent="0.2">
      <c r="M50" s="6"/>
    </row>
    <row r="51" spans="13:13" x14ac:dyDescent="0.2">
      <c r="M51" s="6"/>
    </row>
    <row r="52" spans="13:13" x14ac:dyDescent="0.2">
      <c r="M52" s="6"/>
    </row>
    <row r="53" spans="13:13" x14ac:dyDescent="0.2">
      <c r="M53" s="6"/>
    </row>
    <row r="54" spans="13:13" x14ac:dyDescent="0.2">
      <c r="M54" s="5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2025-01-02T14:15:42Z</dcterms:created>
  <dcterms:modified xsi:type="dcterms:W3CDTF">2025-01-30T11:00:25Z</dcterms:modified>
</cp:coreProperties>
</file>