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6A37706C-5662-4E08-B9E0-C337F8CED245}" xr6:coauthVersionLast="47" xr6:coauthVersionMax="47" xr10:uidLastSave="{00000000-0000-0000-0000-000000000000}"/>
  <bookViews>
    <workbookView xWindow="1905" yWindow="855" windowWidth="25950" windowHeight="14445" activeTab="1" xr2:uid="{079E0559-3AB3-4739-894A-0805BAF20119}"/>
  </bookViews>
  <sheets>
    <sheet name="Main" sheetId="2" r:id="rId1"/>
    <sheet name="Model" sheetId="1" r:id="rId2"/>
    <sheet name="Mix" sheetId="3" r:id="rId3"/>
    <sheet name="Press releas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O8" i="2"/>
  <c r="AB15" i="1"/>
  <c r="N15" i="1"/>
  <c r="M15" i="1"/>
  <c r="L15" i="1"/>
  <c r="K15" i="1"/>
  <c r="J15" i="1"/>
  <c r="I15" i="1"/>
  <c r="H15" i="1"/>
  <c r="G15" i="1"/>
  <c r="F15" i="1"/>
  <c r="E15" i="1"/>
  <c r="D15" i="1"/>
  <c r="C15" i="1"/>
  <c r="Z19" i="1"/>
  <c r="L19" i="1"/>
  <c r="F34" i="1"/>
  <c r="E35" i="1" s="1"/>
  <c r="E34" i="1"/>
  <c r="AP11" i="1"/>
  <c r="AO11" i="1"/>
  <c r="AN11" i="1"/>
  <c r="AM11" i="1"/>
  <c r="AL11" i="1"/>
  <c r="AK11" i="1"/>
  <c r="AJ11" i="1"/>
  <c r="AI11" i="1"/>
  <c r="AH11" i="1"/>
  <c r="AG11" i="1"/>
  <c r="AC13" i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F11" i="1"/>
  <c r="AE11" i="1"/>
  <c r="AD11" i="1"/>
  <c r="AC11" i="1"/>
  <c r="AB11" i="1"/>
  <c r="N13" i="1"/>
  <c r="O13" i="1" s="1"/>
  <c r="P13" i="1" s="1"/>
  <c r="Q13" i="1" s="1"/>
  <c r="R13" i="1" s="1"/>
  <c r="S13" i="1" s="1"/>
  <c r="T13" i="1" s="1"/>
  <c r="U13" i="1" s="1"/>
  <c r="V13" i="1" s="1"/>
  <c r="V11" i="1"/>
  <c r="U11" i="1"/>
  <c r="S11" i="1"/>
  <c r="R11" i="1"/>
  <c r="Q11" i="1"/>
  <c r="P11" i="1"/>
  <c r="N11" i="1"/>
  <c r="T10" i="1"/>
  <c r="T9" i="1"/>
  <c r="T11" i="1" s="1"/>
  <c r="O10" i="1"/>
  <c r="O9" i="1"/>
  <c r="O11" i="1" s="1"/>
  <c r="E28" i="1"/>
  <c r="O4" i="2"/>
  <c r="O7" i="2" s="1"/>
  <c r="AA68" i="1"/>
  <c r="AA72" i="1" s="1"/>
  <c r="AA65" i="1"/>
  <c r="AA66" i="1" s="1"/>
  <c r="AA54" i="1"/>
  <c r="AA55" i="1" s="1"/>
  <c r="Y44" i="1"/>
  <c r="Z44" i="1"/>
  <c r="AA44" i="1"/>
  <c r="Z11" i="1"/>
  <c r="Z8" i="1"/>
  <c r="Y11" i="1"/>
  <c r="Y8" i="1"/>
  <c r="Y12" i="1" s="1"/>
  <c r="K19" i="1"/>
  <c r="I19" i="1"/>
  <c r="H19" i="1"/>
  <c r="G19" i="1"/>
  <c r="M19" i="1"/>
  <c r="AD2" i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F13" i="1"/>
  <c r="F10" i="1"/>
  <c r="F9" i="1"/>
  <c r="F7" i="1"/>
  <c r="N7" i="1" s="1"/>
  <c r="O7" i="1" s="1"/>
  <c r="F6" i="1"/>
  <c r="E11" i="1"/>
  <c r="E8" i="1"/>
  <c r="E21" i="1" s="1"/>
  <c r="D11" i="1"/>
  <c r="D8" i="1"/>
  <c r="D21" i="1" s="1"/>
  <c r="C11" i="1"/>
  <c r="C8" i="1"/>
  <c r="C21" i="1" s="1"/>
  <c r="J13" i="1"/>
  <c r="AA13" i="1" s="1"/>
  <c r="J10" i="1"/>
  <c r="AA10" i="1" s="1"/>
  <c r="J9" i="1"/>
  <c r="AA9" i="1" s="1"/>
  <c r="J7" i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J6" i="1"/>
  <c r="N6" i="1" s="1"/>
  <c r="G11" i="1"/>
  <c r="G8" i="1"/>
  <c r="G21" i="1" s="1"/>
  <c r="K11" i="1"/>
  <c r="K8" i="1"/>
  <c r="K21" i="1" s="1"/>
  <c r="H11" i="1"/>
  <c r="H8" i="1"/>
  <c r="H21" i="1" s="1"/>
  <c r="L11" i="1"/>
  <c r="L8" i="1"/>
  <c r="L21" i="1" s="1"/>
  <c r="I11" i="1"/>
  <c r="I8" i="1"/>
  <c r="I21" i="1" s="1"/>
  <c r="M11" i="1"/>
  <c r="M8" i="1"/>
  <c r="M21" i="1" s="1"/>
  <c r="O6" i="2"/>
  <c r="O5" i="2"/>
  <c r="AB6" i="1" l="1"/>
  <c r="O6" i="1"/>
  <c r="P6" i="1" s="1"/>
  <c r="Q6" i="1"/>
  <c r="P7" i="1"/>
  <c r="Q7" i="1" s="1"/>
  <c r="R7" i="1" s="1"/>
  <c r="S7" i="1" s="1"/>
  <c r="T7" i="1" s="1"/>
  <c r="U7" i="1" s="1"/>
  <c r="V7" i="1" s="1"/>
  <c r="O8" i="1"/>
  <c r="N8" i="1"/>
  <c r="AA73" i="1"/>
  <c r="F8" i="1"/>
  <c r="F21" i="1" s="1"/>
  <c r="AA11" i="1"/>
  <c r="J19" i="1"/>
  <c r="J11" i="1"/>
  <c r="AA6" i="1"/>
  <c r="AA19" i="1" s="1"/>
  <c r="J8" i="1"/>
  <c r="M12" i="1"/>
  <c r="M22" i="1" s="1"/>
  <c r="Z12" i="1"/>
  <c r="F11" i="1"/>
  <c r="E12" i="1"/>
  <c r="D12" i="1"/>
  <c r="C12" i="1"/>
  <c r="G12" i="1"/>
  <c r="K12" i="1"/>
  <c r="H12" i="1"/>
  <c r="L12" i="1"/>
  <c r="I12" i="1"/>
  <c r="H18" i="1" l="1"/>
  <c r="H22" i="1"/>
  <c r="L18" i="1"/>
  <c r="L22" i="1"/>
  <c r="I18" i="1"/>
  <c r="I22" i="1"/>
  <c r="K18" i="1"/>
  <c r="K22" i="1"/>
  <c r="G18" i="1"/>
  <c r="G22" i="1"/>
  <c r="C18" i="1"/>
  <c r="C22" i="1"/>
  <c r="D18" i="1"/>
  <c r="D22" i="1"/>
  <c r="E18" i="1"/>
  <c r="E22" i="1"/>
  <c r="AB8" i="1"/>
  <c r="AB12" i="1" s="1"/>
  <c r="AB14" i="1" s="1"/>
  <c r="AC6" i="1"/>
  <c r="AB19" i="1"/>
  <c r="N21" i="1"/>
  <c r="N12" i="1"/>
  <c r="N22" i="1" s="1"/>
  <c r="O21" i="1"/>
  <c r="O12" i="1"/>
  <c r="O22" i="1" s="1"/>
  <c r="N19" i="1"/>
  <c r="O19" i="1" s="1"/>
  <c r="P8" i="1"/>
  <c r="M18" i="1"/>
  <c r="AC8" i="1"/>
  <c r="AC12" i="1" s="1"/>
  <c r="AC14" i="1" s="1"/>
  <c r="R6" i="1"/>
  <c r="Q8" i="1"/>
  <c r="F12" i="1"/>
  <c r="Z14" i="1"/>
  <c r="Z18" i="1"/>
  <c r="Y14" i="1"/>
  <c r="Y18" i="1"/>
  <c r="I14" i="1"/>
  <c r="I20" i="1" s="1"/>
  <c r="K14" i="1"/>
  <c r="K20" i="1" s="1"/>
  <c r="H14" i="1"/>
  <c r="H20" i="1" s="1"/>
  <c r="C14" i="1"/>
  <c r="L14" i="1"/>
  <c r="L20" i="1" s="1"/>
  <c r="M14" i="1"/>
  <c r="M20" i="1" s="1"/>
  <c r="AA8" i="1"/>
  <c r="AA12" i="1" s="1"/>
  <c r="G14" i="1"/>
  <c r="G20" i="1" s="1"/>
  <c r="J21" i="1"/>
  <c r="J12" i="1"/>
  <c r="D14" i="1"/>
  <c r="D20" i="1" s="1"/>
  <c r="E14" i="1"/>
  <c r="E20" i="1" s="1"/>
  <c r="J18" i="1" l="1"/>
  <c r="J22" i="1"/>
  <c r="F18" i="1"/>
  <c r="F22" i="1"/>
  <c r="AD6" i="1"/>
  <c r="AC19" i="1"/>
  <c r="F14" i="1"/>
  <c r="F20" i="1" s="1"/>
  <c r="P19" i="1"/>
  <c r="Q19" i="1" s="1"/>
  <c r="P21" i="1"/>
  <c r="P12" i="1"/>
  <c r="P22" i="1" s="1"/>
  <c r="S6" i="1"/>
  <c r="R8" i="1"/>
  <c r="O18" i="1"/>
  <c r="AD8" i="1"/>
  <c r="AD12" i="1" s="1"/>
  <c r="AD14" i="1" s="1"/>
  <c r="Q12" i="1"/>
  <c r="Q22" i="1" s="1"/>
  <c r="Q21" i="1"/>
  <c r="N18" i="1"/>
  <c r="AA14" i="1"/>
  <c r="AA18" i="1"/>
  <c r="J14" i="1"/>
  <c r="J20" i="1" s="1"/>
  <c r="C20" i="1"/>
  <c r="N14" i="1" l="1"/>
  <c r="N20" i="1" s="1"/>
  <c r="AE6" i="1"/>
  <c r="AE8" i="1" s="1"/>
  <c r="AE12" i="1" s="1"/>
  <c r="AE14" i="1" s="1"/>
  <c r="AD19" i="1"/>
  <c r="R19" i="1"/>
  <c r="S19" i="1" s="1"/>
  <c r="T19" i="1" s="1"/>
  <c r="U19" i="1" s="1"/>
  <c r="V19" i="1" s="1"/>
  <c r="T6" i="1"/>
  <c r="S8" i="1"/>
  <c r="Q18" i="1"/>
  <c r="P18" i="1"/>
  <c r="R21" i="1"/>
  <c r="R12" i="1"/>
  <c r="R22" i="1" s="1"/>
  <c r="O14" i="1"/>
  <c r="AF6" i="1" l="1"/>
  <c r="AE19" i="1"/>
  <c r="R18" i="1"/>
  <c r="AF8" i="1"/>
  <c r="AF12" i="1" s="1"/>
  <c r="AF14" i="1" s="1"/>
  <c r="S12" i="1"/>
  <c r="S22" i="1" s="1"/>
  <c r="S21" i="1"/>
  <c r="P14" i="1"/>
  <c r="P20" i="1" s="1"/>
  <c r="O20" i="1"/>
  <c r="U6" i="1"/>
  <c r="T8" i="1"/>
  <c r="AG6" i="1" l="1"/>
  <c r="AH6" i="1" s="1"/>
  <c r="AI6" i="1" s="1"/>
  <c r="AJ6" i="1" s="1"/>
  <c r="AK6" i="1" s="1"/>
  <c r="AL6" i="1" s="1"/>
  <c r="AM6" i="1" s="1"/>
  <c r="AN6" i="1" s="1"/>
  <c r="AO6" i="1" s="1"/>
  <c r="AP6" i="1" s="1"/>
  <c r="AF19" i="1"/>
  <c r="S18" i="1"/>
  <c r="AG8" i="1"/>
  <c r="AG12" i="1" s="1"/>
  <c r="AG14" i="1" s="1"/>
  <c r="T21" i="1"/>
  <c r="T12" i="1"/>
  <c r="T22" i="1" s="1"/>
  <c r="V6" i="1"/>
  <c r="V8" i="1" s="1"/>
  <c r="U8" i="1"/>
  <c r="Q14" i="1"/>
  <c r="AH8" i="1" l="1"/>
  <c r="AH12" i="1" s="1"/>
  <c r="AH14" i="1" s="1"/>
  <c r="AG19" i="1"/>
  <c r="U21" i="1"/>
  <c r="U12" i="1"/>
  <c r="U22" i="1" s="1"/>
  <c r="T18" i="1"/>
  <c r="V21" i="1"/>
  <c r="V12" i="1"/>
  <c r="R14" i="1"/>
  <c r="Q20" i="1"/>
  <c r="AH19" i="1" l="1"/>
  <c r="V18" i="1"/>
  <c r="V22" i="1"/>
  <c r="AI8" i="1"/>
  <c r="AI12" i="1" s="1"/>
  <c r="AI14" i="1" s="1"/>
  <c r="U18" i="1"/>
  <c r="S14" i="1"/>
  <c r="R20" i="1"/>
  <c r="AI19" i="1" l="1"/>
  <c r="T14" i="1"/>
  <c r="S20" i="1"/>
  <c r="AJ8" i="1"/>
  <c r="AJ12" i="1" s="1"/>
  <c r="AJ14" i="1" s="1"/>
  <c r="AJ19" i="1" l="1"/>
  <c r="AK8" i="1"/>
  <c r="AK12" i="1" s="1"/>
  <c r="AK14" i="1" s="1"/>
  <c r="T20" i="1"/>
  <c r="U14" i="1"/>
  <c r="AL8" i="1" l="1"/>
  <c r="AL12" i="1" s="1"/>
  <c r="AL14" i="1" s="1"/>
  <c r="AK19" i="1"/>
  <c r="V14" i="1"/>
  <c r="V20" i="1" s="1"/>
  <c r="U20" i="1"/>
  <c r="AL19" i="1" l="1"/>
  <c r="AM19" i="1" l="1"/>
  <c r="AM8" i="1"/>
  <c r="AM12" i="1" s="1"/>
  <c r="AM14" i="1" s="1"/>
  <c r="AN8" i="1"/>
  <c r="AN12" i="1" s="1"/>
  <c r="AN14" i="1" s="1"/>
  <c r="AN19" i="1" l="1"/>
  <c r="AO19" i="1" l="1"/>
  <c r="AO8" i="1"/>
  <c r="AO12" i="1" s="1"/>
  <c r="AO14" i="1" s="1"/>
  <c r="AP19" i="1" l="1"/>
  <c r="AP8" i="1"/>
  <c r="AP12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E27" i="1" s="1"/>
  <c r="E29" i="1" s="1"/>
  <c r="E32" i="1" s="1"/>
</calcChain>
</file>

<file path=xl/sharedStrings.xml><?xml version="1.0" encoding="utf-8"?>
<sst xmlns="http://schemas.openxmlformats.org/spreadsheetml/2006/main" count="164" uniqueCount="155">
  <si>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</si>
  <si>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</si>
  <si>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</si>
  <si>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</si>
  <si>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</si>
  <si>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</si>
  <si>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</si>
  <si>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</si>
  <si>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</si>
  <si>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</si>
  <si>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</si>
  <si>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</si>
  <si>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</si>
  <si>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</si>
  <si>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</si>
  <si>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</si>
  <si>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</si>
  <si>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Q126</t>
  </si>
  <si>
    <t>Q226</t>
  </si>
  <si>
    <t>Q326</t>
  </si>
  <si>
    <t>Q426</t>
  </si>
  <si>
    <t>Main</t>
  </si>
  <si>
    <t>Price</t>
  </si>
  <si>
    <t>Shares</t>
  </si>
  <si>
    <t>MC</t>
  </si>
  <si>
    <t>Cash</t>
  </si>
  <si>
    <t>Debt</t>
  </si>
  <si>
    <t>EV</t>
  </si>
  <si>
    <t>TXN</t>
  </si>
  <si>
    <t>31.12.25</t>
  </si>
  <si>
    <t>30.09.24</t>
  </si>
  <si>
    <t>COGS</t>
  </si>
  <si>
    <t>Gross Profit</t>
  </si>
  <si>
    <t>R&amp;D</t>
  </si>
  <si>
    <t>S,G&amp;A</t>
  </si>
  <si>
    <t>Operating expenses</t>
  </si>
  <si>
    <t>Operating income</t>
  </si>
  <si>
    <t>Taxes</t>
  </si>
  <si>
    <t>Net income</t>
  </si>
  <si>
    <t>31.06.24</t>
  </si>
  <si>
    <t>31.06.23</t>
  </si>
  <si>
    <t>30.09.23</t>
  </si>
  <si>
    <t>31.03.23</t>
  </si>
  <si>
    <t>31.03.24</t>
  </si>
  <si>
    <t>Revenue Y/Y</t>
  </si>
  <si>
    <t>EPS</t>
  </si>
  <si>
    <t>Gross Margin</t>
  </si>
  <si>
    <t>Operating Margin</t>
  </si>
  <si>
    <t>Location of properties</t>
  </si>
  <si>
    <t>North Texas</t>
  </si>
  <si>
    <t>Lehi, Utah</t>
  </si>
  <si>
    <t>South Portland, Maine</t>
  </si>
  <si>
    <t>California</t>
  </si>
  <si>
    <t>Texas</t>
  </si>
  <si>
    <t>Arizona</t>
  </si>
  <si>
    <t>China x2</t>
  </si>
  <si>
    <t>Germany</t>
  </si>
  <si>
    <t>India</t>
  </si>
  <si>
    <t>Japan x2</t>
  </si>
  <si>
    <t>Malaysia x2</t>
  </si>
  <si>
    <t>Mexico</t>
  </si>
  <si>
    <t>Philippines x2</t>
  </si>
  <si>
    <t>Taiwan</t>
  </si>
  <si>
    <t>Segments</t>
  </si>
  <si>
    <t>Analog (Power and Signal Chain product lines)</t>
  </si>
  <si>
    <t>Embedded (microcontrollers and processors)</t>
  </si>
  <si>
    <t>Other (DLP products, calculators, custom ASIC products)</t>
  </si>
  <si>
    <t>34,000 employees</t>
  </si>
  <si>
    <t>Automotive market</t>
  </si>
  <si>
    <t>Industrial market</t>
  </si>
  <si>
    <t>Personal Electronics</t>
  </si>
  <si>
    <t>Communications</t>
  </si>
  <si>
    <t>Enterprise systems</t>
  </si>
  <si>
    <t>Other</t>
  </si>
  <si>
    <t>Analog</t>
  </si>
  <si>
    <t>Embedded</t>
  </si>
  <si>
    <t>S</t>
  </si>
  <si>
    <t>W</t>
  </si>
  <si>
    <t>O</t>
  </si>
  <si>
    <t>T</t>
  </si>
  <si>
    <t>Competitors</t>
  </si>
  <si>
    <t>International risks</t>
  </si>
  <si>
    <t>Diverse</t>
  </si>
  <si>
    <t>Independent</t>
  </si>
  <si>
    <t>US dollar fluctuations</t>
  </si>
  <si>
    <t>Lots of competition</t>
  </si>
  <si>
    <t>Dependent on suppliers</t>
  </si>
  <si>
    <t>Tax %</t>
  </si>
  <si>
    <t>CF from operations</t>
  </si>
  <si>
    <t>CapEX</t>
  </si>
  <si>
    <t>FCF</t>
  </si>
  <si>
    <t>Short term investments</t>
  </si>
  <si>
    <t>A/R</t>
  </si>
  <si>
    <t>Inventories</t>
  </si>
  <si>
    <t>Prepaid expenses</t>
  </si>
  <si>
    <t>PP&amp;E</t>
  </si>
  <si>
    <t>Goodwill</t>
  </si>
  <si>
    <t>Deferred tax assets</t>
  </si>
  <si>
    <t>Long term debt</t>
  </si>
  <si>
    <t>A/P</t>
  </si>
  <si>
    <t>Compensation</t>
  </si>
  <si>
    <t>Income taxes</t>
  </si>
  <si>
    <t>Accrued expenses</t>
  </si>
  <si>
    <t>Long-Term Debt</t>
  </si>
  <si>
    <t>Deferred tax liabilities</t>
  </si>
  <si>
    <t>Total L</t>
  </si>
  <si>
    <t>Total A</t>
  </si>
  <si>
    <t>Common Stocks</t>
  </si>
  <si>
    <t>Retained Earnings</t>
  </si>
  <si>
    <t>Treasury</t>
  </si>
  <si>
    <t>AOCI</t>
  </si>
  <si>
    <t>Total SE</t>
  </si>
  <si>
    <t>Total L+SE</t>
  </si>
  <si>
    <t>Maturity</t>
  </si>
  <si>
    <t>Discount</t>
  </si>
  <si>
    <t>NPV</t>
  </si>
  <si>
    <t>Diff</t>
  </si>
  <si>
    <t>Net Cash</t>
  </si>
  <si>
    <t>Total Value</t>
  </si>
  <si>
    <t>Per share</t>
  </si>
  <si>
    <t>Current</t>
  </si>
  <si>
    <t>Lots of debt</t>
  </si>
  <si>
    <t>Massive CapEx era</t>
  </si>
  <si>
    <t>Trump Tariffs</t>
  </si>
  <si>
    <t>Increase manufacturing</t>
  </si>
  <si>
    <t>Investing heavily on expansions</t>
  </si>
  <si>
    <t>Based in China</t>
  </si>
  <si>
    <t>Intel</t>
  </si>
  <si>
    <t>Analog Devices</t>
  </si>
  <si>
    <t>Marvell Tech</t>
  </si>
  <si>
    <t>Microchip Tech</t>
  </si>
  <si>
    <t>Monolithic Power systems</t>
  </si>
  <si>
    <t>First Solar</t>
  </si>
  <si>
    <t>Skyworks</t>
  </si>
  <si>
    <t>MACOM Tech</t>
  </si>
  <si>
    <t>Altair Engineering</t>
  </si>
  <si>
    <t>Triple internal manufacturing capacity by 2030</t>
  </si>
  <si>
    <t>Long term vision</t>
  </si>
  <si>
    <t>Average % of the mix</t>
  </si>
  <si>
    <t>Good employer</t>
  </si>
  <si>
    <t>Crappy fundamentals</t>
  </si>
  <si>
    <t>Lower Rev than comp</t>
  </si>
  <si>
    <t>Low profits</t>
  </si>
  <si>
    <t>Mostly a dividend stock</t>
  </si>
  <si>
    <t>Old school :(</t>
  </si>
  <si>
    <t>Dividend yield</t>
  </si>
  <si>
    <t>They use debt to pay dividends??</t>
  </si>
  <si>
    <t>90.82% owned by institutions</t>
  </si>
  <si>
    <t>Price seems too optimistic, I think there are better opportunities in the market</t>
  </si>
  <si>
    <t>picture is from texas instruments IR</t>
  </si>
  <si>
    <t>Dividend rate 5%</t>
  </si>
  <si>
    <t>Dividend y</t>
  </si>
  <si>
    <t>P/E</t>
  </si>
  <si>
    <t>Texas Instruments to webcast Q4 2024 earnings Jan.23 2025 3:30 p.m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</si>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</sst>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  <charset val="186"/>
    </font>
    <font>
      <u/>
      <sz val="11"/>
      <color theme="10"/>
      <name val="Aptos Narrow"/>
      <family val="2"/>
      <scheme val="minor"/>
    </font>
    <font>
      <b/>
      <sz val="11"/>
      <color theme="1"/>
      <name val="Arial"/>
      <family val="2"/>
      <charset val="186"/>
    </font>
    <font>
      <u/>
      <sz val="11"/>
      <color theme="10"/>
      <name val="Arial"/>
      <family val="2"/>
      <charset val="186"/>
    </font>
    <font>
      <u/>
      <sz val="10"/>
      <color theme="10"/>
      <name val="Arial"/>
      <family val="2"/>
      <charset val="186"/>
    </font>
    <font>
      <sz val="10"/>
      <color theme="1"/>
      <name val="Arial"/>
      <family val="2"/>
      <charset val="186"/>
    </font>
    <font>
      <b/>
      <sz val="10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0" fontId="4" fillId="0" borderId="0" xfId="1" applyFont="1"/>
    <xf numFmtId="0" fontId="1" fillId="0" borderId="0" xfId="0" applyFont="1" applyAlignment="1">
      <alignment horizontal="left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10" xfId="0" applyFont="1" applyBorder="1"/>
    <xf numFmtId="0" fontId="1" fillId="0" borderId="11" xfId="0" applyFont="1" applyBorder="1"/>
    <xf numFmtId="9" fontId="1" fillId="0" borderId="3" xfId="0" applyNumberFormat="1" applyFont="1" applyBorder="1"/>
    <xf numFmtId="9" fontId="1" fillId="0" borderId="6" xfId="0" applyNumberFormat="1" applyFont="1" applyBorder="1"/>
    <xf numFmtId="10" fontId="1" fillId="0" borderId="0" xfId="0" applyNumberFormat="1" applyFont="1" applyAlignment="1">
      <alignment horizontal="left"/>
    </xf>
    <xf numFmtId="0" fontId="5" fillId="0" borderId="0" xfId="1" applyFont="1"/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0" fontId="6" fillId="0" borderId="0" xfId="0" applyFont="1" applyBorder="1"/>
    <xf numFmtId="3" fontId="6" fillId="0" borderId="0" xfId="0" applyNumberFormat="1" applyFont="1" applyBorder="1"/>
    <xf numFmtId="9" fontId="6" fillId="0" borderId="0" xfId="0" applyNumberFormat="1" applyFont="1"/>
    <xf numFmtId="4" fontId="6" fillId="0" borderId="0" xfId="0" applyNumberFormat="1" applyFont="1"/>
    <xf numFmtId="38" fontId="6" fillId="0" borderId="0" xfId="0" applyNumberFormat="1" applyFont="1"/>
    <xf numFmtId="4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0</xdr:row>
      <xdr:rowOff>19050</xdr:rowOff>
    </xdr:from>
    <xdr:to>
      <xdr:col>13</xdr:col>
      <xdr:colOff>19050</xdr:colOff>
      <xdr:row>73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5DEC877-944E-03B8-BCEE-15227C913339}"/>
            </a:ext>
          </a:extLst>
        </xdr:cNvPr>
        <xdr:cNvCxnSpPr/>
      </xdr:nvCxnSpPr>
      <xdr:spPr>
        <a:xfrm>
          <a:off x="8915400" y="19050"/>
          <a:ext cx="28575" cy="134397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30</xdr:row>
      <xdr:rowOff>85725</xdr:rowOff>
    </xdr:from>
    <xdr:to>
      <xdr:col>27</xdr:col>
      <xdr:colOff>0</xdr:colOff>
      <xdr:row>75</xdr:row>
      <xdr:rowOff>19050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DE36D08-5C2E-1C6E-0D82-1B14D4843F48}"/>
            </a:ext>
          </a:extLst>
        </xdr:cNvPr>
        <xdr:cNvCxnSpPr/>
      </xdr:nvCxnSpPr>
      <xdr:spPr>
        <a:xfrm flipV="1">
          <a:off x="17526000" y="5543550"/>
          <a:ext cx="0" cy="81248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0</xdr:row>
      <xdr:rowOff>9525</xdr:rowOff>
    </xdr:from>
    <xdr:to>
      <xdr:col>28</xdr:col>
      <xdr:colOff>38100</xdr:colOff>
      <xdr:row>28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A96E00B-C47A-C0B3-6627-D77B7902C2CA}"/>
            </a:ext>
          </a:extLst>
        </xdr:cNvPr>
        <xdr:cNvCxnSpPr/>
      </xdr:nvCxnSpPr>
      <xdr:spPr>
        <a:xfrm>
          <a:off x="18135600" y="9525"/>
          <a:ext cx="38100" cy="51720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2</xdr:row>
      <xdr:rowOff>9525</xdr:rowOff>
    </xdr:from>
    <xdr:to>
      <xdr:col>18</xdr:col>
      <xdr:colOff>465359</xdr:colOff>
      <xdr:row>37</xdr:row>
      <xdr:rowOff>8692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82DB9C-95B1-7F70-225E-423080201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390525"/>
          <a:ext cx="10923809" cy="6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Semiconductors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emiconductor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1F93-6985-40FE-9152-DCBEE1493F80}">
  <dimension ref="A1:P25"/>
  <sheetViews>
    <sheetView topLeftCell="I1" zoomScale="130" zoomScaleNormal="130" workbookViewId="0">
      <selection activeCell="Q19" sqref="Q19"/>
    </sheetView>
  </sheetViews>
  <sheetFormatPr defaultRowHeight="14.25" x14ac:dyDescent="0.2"/>
  <cols>
    <col min="1" max="5" width="9.140625" style="1"/>
    <col min="6" max="6" width="18.5703125" style="1" customWidth="1"/>
    <col min="7" max="7" width="27.5703125" style="1" bestFit="1" customWidth="1"/>
    <col min="8" max="8" width="30.7109375" style="1" bestFit="1" customWidth="1"/>
    <col min="9" max="9" width="23.42578125" style="1" bestFit="1" customWidth="1"/>
    <col min="10" max="10" width="23.28515625" style="1" bestFit="1" customWidth="1"/>
    <col min="11" max="11" width="19.28515625" style="1" bestFit="1" customWidth="1"/>
    <col min="12" max="14" width="9.140625" style="1"/>
    <col min="15" max="15" width="12.42578125" style="1" bestFit="1" customWidth="1"/>
    <col min="16" max="16" width="9.140625" style="8"/>
    <col min="17" max="16384" width="9.140625" style="1"/>
  </cols>
  <sheetData>
    <row r="1" spans="1:16" x14ac:dyDescent="0.2">
      <c r="A1" s="7" t="s">
        <v>28</v>
      </c>
      <c r="G1" s="2"/>
    </row>
    <row r="2" spans="1:16" x14ac:dyDescent="0.2">
      <c r="B2" s="9" t="s">
        <v>48</v>
      </c>
      <c r="C2" s="10"/>
      <c r="D2" s="11"/>
      <c r="F2" s="2"/>
      <c r="G2" s="17" t="s">
        <v>80</v>
      </c>
      <c r="H2" s="17" t="s">
        <v>76</v>
      </c>
      <c r="I2" s="17" t="s">
        <v>77</v>
      </c>
      <c r="J2" s="17" t="s">
        <v>78</v>
      </c>
      <c r="K2" s="17" t="s">
        <v>79</v>
      </c>
      <c r="L2" s="2"/>
      <c r="N2" s="1" t="s">
        <v>22</v>
      </c>
      <c r="O2" s="6">
        <v>191</v>
      </c>
    </row>
    <row r="3" spans="1:16" x14ac:dyDescent="0.2">
      <c r="B3" s="12" t="s">
        <v>49</v>
      </c>
      <c r="C3" s="2"/>
      <c r="D3" s="13"/>
      <c r="F3" s="2"/>
      <c r="G3" s="18" t="s">
        <v>127</v>
      </c>
      <c r="H3" s="18" t="s">
        <v>82</v>
      </c>
      <c r="I3" s="18" t="s">
        <v>126</v>
      </c>
      <c r="J3" s="18" t="s">
        <v>124</v>
      </c>
      <c r="K3" s="18" t="s">
        <v>121</v>
      </c>
      <c r="N3" s="1" t="s">
        <v>23</v>
      </c>
      <c r="O3" s="4">
        <v>912</v>
      </c>
      <c r="P3" s="8" t="s">
        <v>11</v>
      </c>
    </row>
    <row r="4" spans="1:16" x14ac:dyDescent="0.2">
      <c r="B4" s="12" t="s">
        <v>50</v>
      </c>
      <c r="C4" s="2"/>
      <c r="D4" s="13"/>
      <c r="F4" s="2"/>
      <c r="G4" s="18" t="s">
        <v>128</v>
      </c>
      <c r="H4" s="18" t="s">
        <v>83</v>
      </c>
      <c r="I4" s="18" t="s">
        <v>81</v>
      </c>
      <c r="J4" s="18"/>
      <c r="K4" s="18" t="s">
        <v>122</v>
      </c>
      <c r="N4" s="1" t="s">
        <v>24</v>
      </c>
      <c r="O4" s="4">
        <f>O2*O3</f>
        <v>174192</v>
      </c>
    </row>
    <row r="5" spans="1:16" x14ac:dyDescent="0.2">
      <c r="B5" s="12" t="s">
        <v>51</v>
      </c>
      <c r="C5" s="2"/>
      <c r="D5" s="13"/>
      <c r="F5" s="2"/>
      <c r="G5" s="18" t="s">
        <v>129</v>
      </c>
      <c r="H5" s="18" t="s">
        <v>125</v>
      </c>
      <c r="I5" s="18" t="s">
        <v>84</v>
      </c>
      <c r="J5" s="18"/>
      <c r="K5" s="18" t="s">
        <v>123</v>
      </c>
      <c r="N5" s="1" t="s">
        <v>25</v>
      </c>
      <c r="O5" s="4">
        <f>2589+6163</f>
        <v>8752</v>
      </c>
      <c r="P5" s="8" t="s">
        <v>11</v>
      </c>
    </row>
    <row r="6" spans="1:16" x14ac:dyDescent="0.2">
      <c r="B6" s="12" t="s">
        <v>52</v>
      </c>
      <c r="C6" s="2"/>
      <c r="D6" s="13"/>
      <c r="F6" s="2"/>
      <c r="G6" s="18" t="s">
        <v>130</v>
      </c>
      <c r="H6" s="18" t="s">
        <v>137</v>
      </c>
      <c r="I6" s="18" t="s">
        <v>85</v>
      </c>
      <c r="J6" s="18"/>
      <c r="K6" s="18"/>
      <c r="N6" s="1" t="s">
        <v>26</v>
      </c>
      <c r="O6" s="4">
        <f>12844</f>
        <v>12844</v>
      </c>
      <c r="P6" s="8" t="s">
        <v>11</v>
      </c>
    </row>
    <row r="7" spans="1:16" ht="15" x14ac:dyDescent="0.25">
      <c r="B7" s="12" t="s">
        <v>53</v>
      </c>
      <c r="C7" s="2"/>
      <c r="D7" s="13"/>
      <c r="G7" s="18" t="s">
        <v>131</v>
      </c>
      <c r="H7" s="18" t="s">
        <v>139</v>
      </c>
      <c r="I7" s="18" t="s">
        <v>86</v>
      </c>
      <c r="J7" s="18"/>
      <c r="K7" s="18"/>
      <c r="N7" s="3" t="s">
        <v>27</v>
      </c>
      <c r="O7" s="5">
        <f>O4-O5+O6</f>
        <v>178284</v>
      </c>
    </row>
    <row r="8" spans="1:16" x14ac:dyDescent="0.2">
      <c r="B8" s="12" t="s">
        <v>54</v>
      </c>
      <c r="C8" s="2"/>
      <c r="D8" s="13"/>
      <c r="G8" s="18" t="s">
        <v>132</v>
      </c>
      <c r="H8" s="18"/>
      <c r="I8" s="18" t="s">
        <v>140</v>
      </c>
      <c r="J8" s="18"/>
      <c r="K8" s="18"/>
      <c r="N8" s="1" t="s">
        <v>152</v>
      </c>
      <c r="O8" s="4">
        <f>+O2/O9</f>
        <v>33.508771929824562</v>
      </c>
      <c r="P8" s="8" t="s">
        <v>154</v>
      </c>
    </row>
    <row r="9" spans="1:16" x14ac:dyDescent="0.2">
      <c r="B9" s="12" t="s">
        <v>55</v>
      </c>
      <c r="C9" s="2"/>
      <c r="D9" s="13"/>
      <c r="G9" s="18" t="s">
        <v>133</v>
      </c>
      <c r="H9" s="18"/>
      <c r="I9" s="18" t="s">
        <v>141</v>
      </c>
      <c r="J9" s="18"/>
      <c r="K9" s="18"/>
      <c r="O9" s="1">
        <v>5.7</v>
      </c>
    </row>
    <row r="10" spans="1:16" x14ac:dyDescent="0.2">
      <c r="B10" s="12" t="s">
        <v>56</v>
      </c>
      <c r="C10" s="2"/>
      <c r="D10" s="13"/>
      <c r="G10" s="18" t="s">
        <v>134</v>
      </c>
      <c r="H10" s="18"/>
      <c r="I10" s="18" t="s">
        <v>142</v>
      </c>
      <c r="J10" s="18"/>
      <c r="K10" s="18"/>
      <c r="N10" s="1" t="s">
        <v>150</v>
      </c>
    </row>
    <row r="11" spans="1:16" x14ac:dyDescent="0.2">
      <c r="B11" s="12" t="s">
        <v>57</v>
      </c>
      <c r="C11" s="2"/>
      <c r="D11" s="13"/>
      <c r="G11" s="19" t="s">
        <v>135</v>
      </c>
      <c r="H11" s="19"/>
      <c r="I11" s="19" t="s">
        <v>147</v>
      </c>
      <c r="J11" s="19"/>
      <c r="K11" s="19"/>
    </row>
    <row r="12" spans="1:16" x14ac:dyDescent="0.2">
      <c r="B12" s="12" t="s">
        <v>58</v>
      </c>
      <c r="C12" s="2"/>
      <c r="D12" s="13"/>
    </row>
    <row r="13" spans="1:16" x14ac:dyDescent="0.2">
      <c r="B13" s="12" t="s">
        <v>59</v>
      </c>
      <c r="C13" s="2"/>
      <c r="D13" s="13"/>
      <c r="G13" s="1" t="s">
        <v>143</v>
      </c>
      <c r="J13" s="1" t="s">
        <v>136</v>
      </c>
    </row>
    <row r="14" spans="1:16" x14ac:dyDescent="0.2">
      <c r="B14" s="12" t="s">
        <v>60</v>
      </c>
      <c r="C14" s="2"/>
      <c r="D14" s="13"/>
      <c r="G14" s="1" t="s">
        <v>145</v>
      </c>
      <c r="H14" s="22">
        <v>2.7099999999999999E-2</v>
      </c>
    </row>
    <row r="15" spans="1:16" x14ac:dyDescent="0.2">
      <c r="B15" s="12" t="s">
        <v>61</v>
      </c>
      <c r="C15" s="2"/>
      <c r="D15" s="13"/>
    </row>
    <row r="16" spans="1:16" x14ac:dyDescent="0.2">
      <c r="B16" s="14" t="s">
        <v>62</v>
      </c>
      <c r="C16" s="15"/>
      <c r="D16" s="16"/>
      <c r="G16" s="1" t="s">
        <v>146</v>
      </c>
    </row>
    <row r="18" spans="2:8" x14ac:dyDescent="0.2">
      <c r="B18" s="1" t="s">
        <v>67</v>
      </c>
      <c r="G18" s="1" t="s">
        <v>148</v>
      </c>
    </row>
    <row r="22" spans="2:8" x14ac:dyDescent="0.2">
      <c r="B22" s="9" t="s">
        <v>63</v>
      </c>
      <c r="C22" s="10"/>
      <c r="D22" s="10"/>
      <c r="E22" s="10"/>
      <c r="F22" s="10"/>
      <c r="G22" s="11" t="s">
        <v>138</v>
      </c>
    </row>
    <row r="23" spans="2:8" x14ac:dyDescent="0.2">
      <c r="B23" s="12" t="s">
        <v>64</v>
      </c>
      <c r="C23" s="2"/>
      <c r="D23" s="2"/>
      <c r="E23" s="2"/>
      <c r="F23" s="2"/>
      <c r="G23" s="20">
        <v>0.7</v>
      </c>
      <c r="H23" s="1" t="s">
        <v>144</v>
      </c>
    </row>
    <row r="24" spans="2:8" x14ac:dyDescent="0.2">
      <c r="B24" s="12" t="s">
        <v>65</v>
      </c>
      <c r="C24" s="2"/>
      <c r="D24" s="2"/>
      <c r="E24" s="2"/>
      <c r="F24" s="2"/>
      <c r="G24" s="20">
        <v>0.19</v>
      </c>
    </row>
    <row r="25" spans="2:8" x14ac:dyDescent="0.2">
      <c r="B25" s="14" t="s">
        <v>66</v>
      </c>
      <c r="C25" s="15"/>
      <c r="D25" s="15"/>
      <c r="E25" s="15"/>
      <c r="F25" s="15"/>
      <c r="G25" s="21">
        <v>0.11</v>
      </c>
    </row>
  </sheetData>
  <hyperlinks>
    <hyperlink ref="A1" r:id="rId1" xr:uid="{009474B8-6780-4108-BCCD-4BA776C200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4138-4EEF-4CB4-943D-B09F570EACB7}">
  <dimension ref="A1:DI73"/>
  <sheetViews>
    <sheetView tabSelected="1" zoomScale="115" zoomScaleNormal="115" workbookViewId="0">
      <pane xSplit="2" ySplit="2" topLeftCell="Q4" activePane="bottomRight" state="frozen"/>
      <selection pane="topRight" activeCell="C1" sqref="C1"/>
      <selection pane="bottomLeft" activeCell="A3" sqref="A3"/>
      <selection pane="bottomRight" activeCell="AB19" sqref="AB19"/>
    </sheetView>
  </sheetViews>
  <sheetFormatPr defaultRowHeight="12.75" x14ac:dyDescent="0.2"/>
  <cols>
    <col min="1" max="1" width="5.28515625" style="24" customWidth="1"/>
    <col min="2" max="2" width="20" style="24" bestFit="1" customWidth="1"/>
    <col min="3" max="3" width="9.140625" style="24"/>
    <col min="4" max="4" width="11.28515625" style="24" bestFit="1" customWidth="1"/>
    <col min="5" max="5" width="15" style="24" bestFit="1" customWidth="1"/>
    <col min="6" max="26" width="9.140625" style="24"/>
    <col min="27" max="27" width="10.140625" style="24" bestFit="1" customWidth="1"/>
    <col min="28" max="16384" width="9.140625" style="24"/>
  </cols>
  <sheetData>
    <row r="1" spans="1:113" x14ac:dyDescent="0.2">
      <c r="A1" s="23" t="s">
        <v>21</v>
      </c>
      <c r="G1" s="24" t="s">
        <v>42</v>
      </c>
      <c r="H1" s="24" t="s">
        <v>40</v>
      </c>
      <c r="I1" s="24" t="s">
        <v>41</v>
      </c>
      <c r="K1" s="24" t="s">
        <v>43</v>
      </c>
      <c r="L1" s="24" t="s">
        <v>39</v>
      </c>
      <c r="M1" s="24" t="s">
        <v>30</v>
      </c>
      <c r="R1" s="24" t="s">
        <v>29</v>
      </c>
    </row>
    <row r="2" spans="1:113" x14ac:dyDescent="0.2">
      <c r="C2" s="24" t="s">
        <v>1</v>
      </c>
      <c r="D2" s="24" t="s">
        <v>2</v>
      </c>
      <c r="E2" s="24" t="s">
        <v>3</v>
      </c>
      <c r="F2" s="24" t="s">
        <v>4</v>
      </c>
      <c r="G2" s="24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24" t="s">
        <v>10</v>
      </c>
      <c r="M2" s="24" t="s">
        <v>11</v>
      </c>
      <c r="N2" s="24" t="s">
        <v>12</v>
      </c>
      <c r="O2" s="24" t="s">
        <v>13</v>
      </c>
      <c r="P2" s="24" t="s">
        <v>14</v>
      </c>
      <c r="Q2" s="24" t="s">
        <v>15</v>
      </c>
      <c r="R2" s="24" t="s">
        <v>16</v>
      </c>
      <c r="S2" s="24" t="s">
        <v>17</v>
      </c>
      <c r="T2" s="24" t="s">
        <v>18</v>
      </c>
      <c r="U2" s="24" t="s">
        <v>19</v>
      </c>
      <c r="V2" s="24" t="s">
        <v>20</v>
      </c>
      <c r="Y2" s="24">
        <v>2021</v>
      </c>
      <c r="Z2" s="24">
        <v>2022</v>
      </c>
      <c r="AA2" s="24">
        <v>2023</v>
      </c>
      <c r="AB2" s="24">
        <v>2024</v>
      </c>
      <c r="AC2" s="24">
        <v>2025</v>
      </c>
      <c r="AD2" s="24">
        <f>AC2+1</f>
        <v>2026</v>
      </c>
      <c r="AE2" s="24">
        <f t="shared" ref="AE2:AP2" si="0">AD2+1</f>
        <v>2027</v>
      </c>
      <c r="AF2" s="24">
        <f t="shared" si="0"/>
        <v>2028</v>
      </c>
      <c r="AG2" s="24">
        <f t="shared" si="0"/>
        <v>2029</v>
      </c>
      <c r="AH2" s="24">
        <f t="shared" si="0"/>
        <v>2030</v>
      </c>
      <c r="AI2" s="24">
        <f t="shared" si="0"/>
        <v>2031</v>
      </c>
      <c r="AJ2" s="24">
        <f t="shared" si="0"/>
        <v>2032</v>
      </c>
      <c r="AK2" s="24">
        <f t="shared" si="0"/>
        <v>2033</v>
      </c>
      <c r="AL2" s="24">
        <f t="shared" si="0"/>
        <v>2034</v>
      </c>
      <c r="AM2" s="24">
        <f t="shared" si="0"/>
        <v>2035</v>
      </c>
      <c r="AN2" s="24">
        <f t="shared" si="0"/>
        <v>2036</v>
      </c>
      <c r="AO2" s="24">
        <f t="shared" si="0"/>
        <v>2037</v>
      </c>
      <c r="AP2" s="24">
        <f t="shared" si="0"/>
        <v>2038</v>
      </c>
    </row>
    <row r="3" spans="1:113" x14ac:dyDescent="0.2">
      <c r="B3" s="24" t="s">
        <v>74</v>
      </c>
      <c r="Y3" s="25"/>
      <c r="Z3" s="25">
        <v>15360</v>
      </c>
      <c r="AA3" s="25">
        <v>13000</v>
      </c>
    </row>
    <row r="4" spans="1:113" x14ac:dyDescent="0.2">
      <c r="B4" s="24" t="s">
        <v>75</v>
      </c>
      <c r="Y4" s="25"/>
      <c r="Z4" s="25">
        <v>3260</v>
      </c>
      <c r="AA4" s="25">
        <v>3370</v>
      </c>
    </row>
    <row r="5" spans="1:113" x14ac:dyDescent="0.2">
      <c r="B5" s="24" t="s">
        <v>73</v>
      </c>
      <c r="Y5" s="25"/>
      <c r="Z5" s="25">
        <v>1410</v>
      </c>
      <c r="AA5" s="25">
        <v>1110</v>
      </c>
    </row>
    <row r="6" spans="1:113" s="26" customFormat="1" x14ac:dyDescent="0.2">
      <c r="B6" s="26" t="s">
        <v>0</v>
      </c>
      <c r="C6" s="27">
        <v>4905</v>
      </c>
      <c r="D6" s="27">
        <v>5212</v>
      </c>
      <c r="E6" s="27">
        <v>5241</v>
      </c>
      <c r="F6" s="27">
        <f>20028-E6-D6-C6</f>
        <v>4670</v>
      </c>
      <c r="G6" s="27">
        <v>4379</v>
      </c>
      <c r="H6" s="27">
        <v>4531</v>
      </c>
      <c r="I6" s="27">
        <v>4532</v>
      </c>
      <c r="J6" s="27">
        <f>17519-I6-H6-G6</f>
        <v>4077</v>
      </c>
      <c r="K6" s="27">
        <v>3661</v>
      </c>
      <c r="L6" s="27">
        <v>3822</v>
      </c>
      <c r="M6" s="27">
        <v>4151</v>
      </c>
      <c r="N6" s="27">
        <f>J6</f>
        <v>4077</v>
      </c>
      <c r="O6" s="27">
        <f>N6*0.98</f>
        <v>3995.46</v>
      </c>
      <c r="P6" s="27">
        <f t="shared" ref="P6:V6" si="1">O6*0.98</f>
        <v>3915.5508</v>
      </c>
      <c r="Q6" s="27">
        <f t="shared" si="1"/>
        <v>3837.2397839999999</v>
      </c>
      <c r="R6" s="27">
        <f t="shared" si="1"/>
        <v>3760.4949883199997</v>
      </c>
      <c r="S6" s="27">
        <f t="shared" si="1"/>
        <v>3685.2850885535995</v>
      </c>
      <c r="T6" s="27">
        <f t="shared" si="1"/>
        <v>3611.5793867825273</v>
      </c>
      <c r="U6" s="27">
        <f t="shared" si="1"/>
        <v>3539.3477990468768</v>
      </c>
      <c r="V6" s="27">
        <f t="shared" si="1"/>
        <v>3468.560843065939</v>
      </c>
      <c r="Y6" s="27">
        <v>18344</v>
      </c>
      <c r="Z6" s="27">
        <v>20028</v>
      </c>
      <c r="AA6" s="27">
        <f>SUM(G6:J6)</f>
        <v>17519</v>
      </c>
      <c r="AB6" s="27">
        <f>SUM(K6:N6)</f>
        <v>15711</v>
      </c>
      <c r="AC6" s="27">
        <f>AB6*0.97</f>
        <v>15239.67</v>
      </c>
      <c r="AD6" s="27">
        <f t="shared" ref="AD6:AG6" si="2">AC6*0.97</f>
        <v>14782.4799</v>
      </c>
      <c r="AE6" s="27">
        <f t="shared" si="2"/>
        <v>14339.005503</v>
      </c>
      <c r="AF6" s="27">
        <f t="shared" si="2"/>
        <v>13908.835337910001</v>
      </c>
      <c r="AG6" s="27">
        <f t="shared" si="2"/>
        <v>13491.5702777727</v>
      </c>
      <c r="AH6" s="27">
        <f>AG6*1.05</f>
        <v>14166.148791661335</v>
      </c>
      <c r="AI6" s="27">
        <f t="shared" ref="AI6:AP6" si="3">AH6*1.05</f>
        <v>14874.456231244403</v>
      </c>
      <c r="AJ6" s="27">
        <f t="shared" si="3"/>
        <v>15618.179042806623</v>
      </c>
      <c r="AK6" s="27">
        <f t="shared" si="3"/>
        <v>16399.087994946956</v>
      </c>
      <c r="AL6" s="27">
        <f t="shared" si="3"/>
        <v>17219.042394694305</v>
      </c>
      <c r="AM6" s="27">
        <f t="shared" si="3"/>
        <v>18079.994514429021</v>
      </c>
      <c r="AN6" s="27">
        <f t="shared" si="3"/>
        <v>18983.994240150474</v>
      </c>
      <c r="AO6" s="27">
        <f t="shared" si="3"/>
        <v>19933.193952157999</v>
      </c>
      <c r="AP6" s="27">
        <f t="shared" si="3"/>
        <v>20929.853649765901</v>
      </c>
    </row>
    <row r="7" spans="1:113" x14ac:dyDescent="0.2">
      <c r="B7" s="24" t="s">
        <v>31</v>
      </c>
      <c r="C7" s="25">
        <v>1463</v>
      </c>
      <c r="D7" s="25">
        <v>1587</v>
      </c>
      <c r="E7" s="25">
        <v>1624</v>
      </c>
      <c r="F7" s="25">
        <f>6257-E7-D7-C7</f>
        <v>1583</v>
      </c>
      <c r="G7" s="25">
        <v>1516</v>
      </c>
      <c r="H7" s="25">
        <v>1621</v>
      </c>
      <c r="I7" s="25">
        <v>1717</v>
      </c>
      <c r="J7" s="25">
        <f>6500-G7-H7-I7</f>
        <v>1646</v>
      </c>
      <c r="K7" s="25">
        <v>1566</v>
      </c>
      <c r="L7" s="25">
        <v>1611</v>
      </c>
      <c r="M7" s="25">
        <v>1677</v>
      </c>
      <c r="N7" s="25">
        <f>AVERAGE(C7:M7)</f>
        <v>1601</v>
      </c>
      <c r="O7" s="25">
        <f>N7*1.01</f>
        <v>1617.01</v>
      </c>
      <c r="P7" s="25">
        <f t="shared" ref="P7:V7" si="4">O7*1.01</f>
        <v>1633.1801</v>
      </c>
      <c r="Q7" s="25">
        <f t="shared" si="4"/>
        <v>1649.5119010000001</v>
      </c>
      <c r="R7" s="25">
        <f t="shared" si="4"/>
        <v>1666.0070200100001</v>
      </c>
      <c r="S7" s="25">
        <f t="shared" si="4"/>
        <v>1682.6670902101002</v>
      </c>
      <c r="T7" s="25">
        <f t="shared" si="4"/>
        <v>1699.4937611122014</v>
      </c>
      <c r="U7" s="25">
        <f t="shared" si="4"/>
        <v>1716.4886987233233</v>
      </c>
      <c r="V7" s="25">
        <f t="shared" si="4"/>
        <v>1733.6535857105566</v>
      </c>
      <c r="Y7" s="25">
        <v>5968</v>
      </c>
      <c r="Z7" s="25">
        <v>6257</v>
      </c>
      <c r="AA7" s="25">
        <f>SUM(G7:J7)</f>
        <v>6500</v>
      </c>
      <c r="AB7" s="25">
        <f>AA7*1.03</f>
        <v>6695</v>
      </c>
      <c r="AC7" s="25">
        <f>AB7*1.01</f>
        <v>6761.95</v>
      </c>
      <c r="AD7" s="25">
        <f t="shared" ref="AD7:AP7" si="5">AC7*1.01</f>
        <v>6829.5694999999996</v>
      </c>
      <c r="AE7" s="25">
        <f t="shared" si="5"/>
        <v>6897.8651949999994</v>
      </c>
      <c r="AF7" s="25">
        <f t="shared" si="5"/>
        <v>6966.8438469499997</v>
      </c>
      <c r="AG7" s="25">
        <f t="shared" si="5"/>
        <v>7036.5122854194997</v>
      </c>
      <c r="AH7" s="25">
        <f t="shared" si="5"/>
        <v>7106.8774082736945</v>
      </c>
      <c r="AI7" s="25">
        <f t="shared" si="5"/>
        <v>7177.9461823564316</v>
      </c>
      <c r="AJ7" s="25">
        <f t="shared" si="5"/>
        <v>7249.7256441799964</v>
      </c>
      <c r="AK7" s="25">
        <f t="shared" si="5"/>
        <v>7322.2229006217967</v>
      </c>
      <c r="AL7" s="25">
        <f t="shared" si="5"/>
        <v>7395.4451296280149</v>
      </c>
      <c r="AM7" s="25">
        <f t="shared" si="5"/>
        <v>7469.3995809242952</v>
      </c>
      <c r="AN7" s="25">
        <f t="shared" si="5"/>
        <v>7544.0935767335386</v>
      </c>
      <c r="AO7" s="25">
        <f t="shared" si="5"/>
        <v>7619.5345125008744</v>
      </c>
      <c r="AP7" s="25">
        <f t="shared" si="5"/>
        <v>7695.7298576258836</v>
      </c>
    </row>
    <row r="8" spans="1:113" x14ac:dyDescent="0.2">
      <c r="B8" s="24" t="s">
        <v>32</v>
      </c>
      <c r="C8" s="25">
        <f t="shared" ref="C8:M8" si="6">C6-C7</f>
        <v>3442</v>
      </c>
      <c r="D8" s="25">
        <f t="shared" si="6"/>
        <v>3625</v>
      </c>
      <c r="E8" s="25">
        <f t="shared" si="6"/>
        <v>3617</v>
      </c>
      <c r="F8" s="25">
        <f t="shared" si="6"/>
        <v>3087</v>
      </c>
      <c r="G8" s="25">
        <f t="shared" si="6"/>
        <v>2863</v>
      </c>
      <c r="H8" s="25">
        <f t="shared" si="6"/>
        <v>2910</v>
      </c>
      <c r="I8" s="25">
        <f t="shared" si="6"/>
        <v>2815</v>
      </c>
      <c r="J8" s="25">
        <f t="shared" si="6"/>
        <v>2431</v>
      </c>
      <c r="K8" s="25">
        <f t="shared" si="6"/>
        <v>2095</v>
      </c>
      <c r="L8" s="25">
        <f t="shared" si="6"/>
        <v>2211</v>
      </c>
      <c r="M8" s="25">
        <f t="shared" si="6"/>
        <v>2474</v>
      </c>
      <c r="N8" s="25">
        <f t="shared" ref="N8:V8" si="7">N6-N7</f>
        <v>2476</v>
      </c>
      <c r="O8" s="25">
        <f t="shared" si="7"/>
        <v>2378.4499999999998</v>
      </c>
      <c r="P8" s="25">
        <f t="shared" si="7"/>
        <v>2282.3706999999999</v>
      </c>
      <c r="Q8" s="25">
        <f t="shared" si="7"/>
        <v>2187.7278829999996</v>
      </c>
      <c r="R8" s="25">
        <f t="shared" si="7"/>
        <v>2094.4879683099998</v>
      </c>
      <c r="S8" s="25">
        <f t="shared" si="7"/>
        <v>2002.6179983434993</v>
      </c>
      <c r="T8" s="25">
        <f t="shared" si="7"/>
        <v>1912.085625670326</v>
      </c>
      <c r="U8" s="25">
        <f t="shared" si="7"/>
        <v>1822.8591003235535</v>
      </c>
      <c r="V8" s="25">
        <f t="shared" si="7"/>
        <v>1734.9072573553824</v>
      </c>
      <c r="Y8" s="25">
        <f>Y6-Y7</f>
        <v>12376</v>
      </c>
      <c r="Z8" s="25">
        <f>Z6-Z7</f>
        <v>13771</v>
      </c>
      <c r="AA8" s="25">
        <f>AA6-AA7</f>
        <v>11019</v>
      </c>
      <c r="AB8" s="25">
        <f t="shared" ref="AB8:AF8" si="8">AB6-AB7</f>
        <v>9016</v>
      </c>
      <c r="AC8" s="25">
        <f t="shared" si="8"/>
        <v>8477.7200000000012</v>
      </c>
      <c r="AD8" s="25">
        <f t="shared" si="8"/>
        <v>7952.9104000000007</v>
      </c>
      <c r="AE8" s="25">
        <f t="shared" si="8"/>
        <v>7441.1403080000009</v>
      </c>
      <c r="AF8" s="25">
        <f t="shared" si="8"/>
        <v>6941.9914909600011</v>
      </c>
      <c r="AG8" s="25">
        <f t="shared" ref="AG8" si="9">AG6-AG7</f>
        <v>6455.0579923532005</v>
      </c>
      <c r="AH8" s="25">
        <f t="shared" ref="AH8" si="10">AH6-AH7</f>
        <v>7059.2713833876405</v>
      </c>
      <c r="AI8" s="25">
        <f t="shared" ref="AI8" si="11">AI6-AI7</f>
        <v>7696.5100488879716</v>
      </c>
      <c r="AJ8" s="25">
        <f t="shared" ref="AJ8" si="12">AJ6-AJ7</f>
        <v>8368.4533986266269</v>
      </c>
      <c r="AK8" s="25">
        <f t="shared" ref="AK8" si="13">AK6-AK7</f>
        <v>9076.8650943251596</v>
      </c>
      <c r="AL8" s="25">
        <f t="shared" ref="AL8" si="14">AL6-AL7</f>
        <v>9823.5972650662898</v>
      </c>
      <c r="AM8" s="25">
        <f t="shared" ref="AM8" si="15">AM6-AM7</f>
        <v>10610.594933504726</v>
      </c>
      <c r="AN8" s="25">
        <f t="shared" ref="AN8" si="16">AN6-AN7</f>
        <v>11439.900663416935</v>
      </c>
      <c r="AO8" s="25">
        <f t="shared" ref="AO8" si="17">AO6-AO7</f>
        <v>12313.659439657124</v>
      </c>
      <c r="AP8" s="25">
        <f t="shared" ref="AP8" si="18">AP6-AP7</f>
        <v>13234.123792140017</v>
      </c>
    </row>
    <row r="9" spans="1:113" x14ac:dyDescent="0.2">
      <c r="B9" s="24" t="s">
        <v>33</v>
      </c>
      <c r="C9" s="25">
        <v>391</v>
      </c>
      <c r="D9" s="25">
        <v>414</v>
      </c>
      <c r="E9" s="25">
        <v>431</v>
      </c>
      <c r="F9" s="25">
        <f>1670-E9-D9-C9</f>
        <v>434</v>
      </c>
      <c r="G9" s="25">
        <v>455</v>
      </c>
      <c r="H9" s="25">
        <v>477</v>
      </c>
      <c r="I9" s="25">
        <v>471</v>
      </c>
      <c r="J9" s="25">
        <f>1863-I9-H9-G9</f>
        <v>460</v>
      </c>
      <c r="K9" s="25">
        <v>478</v>
      </c>
      <c r="L9" s="25">
        <v>498</v>
      </c>
      <c r="M9" s="25">
        <v>492</v>
      </c>
      <c r="N9" s="25">
        <v>471</v>
      </c>
      <c r="O9" s="25">
        <f>1863-N9-M9-L9</f>
        <v>402</v>
      </c>
      <c r="P9" s="25">
        <v>478</v>
      </c>
      <c r="Q9" s="25">
        <v>498</v>
      </c>
      <c r="R9" s="25">
        <v>492</v>
      </c>
      <c r="S9" s="25">
        <v>471</v>
      </c>
      <c r="T9" s="25">
        <f>1863-S9-R9-Q9</f>
        <v>402</v>
      </c>
      <c r="U9" s="25">
        <v>478</v>
      </c>
      <c r="V9" s="25">
        <v>498</v>
      </c>
      <c r="W9" s="25"/>
      <c r="Y9" s="25">
        <v>1554</v>
      </c>
      <c r="Z9" s="25">
        <v>1670</v>
      </c>
      <c r="AA9" s="25">
        <f>SUM(G9:J9)</f>
        <v>1863</v>
      </c>
      <c r="AB9" s="25">
        <v>1863</v>
      </c>
      <c r="AC9" s="25">
        <v>1863</v>
      </c>
      <c r="AD9" s="25">
        <v>1863</v>
      </c>
      <c r="AE9" s="25">
        <v>1863</v>
      </c>
      <c r="AF9" s="25">
        <v>1863</v>
      </c>
      <c r="AG9" s="25">
        <v>1863</v>
      </c>
      <c r="AH9" s="25">
        <v>1863</v>
      </c>
      <c r="AI9" s="25">
        <v>1863</v>
      </c>
      <c r="AJ9" s="25">
        <v>1863</v>
      </c>
      <c r="AK9" s="25">
        <v>1863</v>
      </c>
      <c r="AL9" s="25">
        <v>1863</v>
      </c>
      <c r="AM9" s="25">
        <v>1863</v>
      </c>
      <c r="AN9" s="25">
        <v>1863</v>
      </c>
      <c r="AO9" s="25">
        <v>1863</v>
      </c>
      <c r="AP9" s="25">
        <v>1863</v>
      </c>
    </row>
    <row r="10" spans="1:113" x14ac:dyDescent="0.2">
      <c r="B10" s="24" t="s">
        <v>34</v>
      </c>
      <c r="C10" s="25">
        <v>422</v>
      </c>
      <c r="D10" s="25">
        <v>422</v>
      </c>
      <c r="E10" s="25">
        <v>431</v>
      </c>
      <c r="F10" s="25">
        <f>1704-E10-D10-C10</f>
        <v>429</v>
      </c>
      <c r="G10" s="25">
        <v>474</v>
      </c>
      <c r="H10" s="25">
        <v>461</v>
      </c>
      <c r="I10" s="25">
        <v>452</v>
      </c>
      <c r="J10" s="25">
        <f>1825-I10-H10-G10</f>
        <v>438</v>
      </c>
      <c r="K10" s="25">
        <v>455</v>
      </c>
      <c r="L10" s="25">
        <v>465</v>
      </c>
      <c r="M10" s="25">
        <v>428</v>
      </c>
      <c r="N10" s="25">
        <v>452</v>
      </c>
      <c r="O10" s="25">
        <f>1825-N10-M10-L10</f>
        <v>480</v>
      </c>
      <c r="P10" s="25">
        <v>455</v>
      </c>
      <c r="Q10" s="25">
        <v>465</v>
      </c>
      <c r="R10" s="25">
        <v>428</v>
      </c>
      <c r="S10" s="25">
        <v>452</v>
      </c>
      <c r="T10" s="25">
        <f>1825-S10-R10-Q10</f>
        <v>480</v>
      </c>
      <c r="U10" s="25">
        <v>455</v>
      </c>
      <c r="V10" s="25">
        <v>465</v>
      </c>
      <c r="W10" s="25"/>
      <c r="Y10" s="25">
        <v>1666</v>
      </c>
      <c r="Z10" s="25">
        <v>1704</v>
      </c>
      <c r="AA10" s="25">
        <f>SUM(G10:J10)</f>
        <v>1825</v>
      </c>
      <c r="AB10" s="25">
        <v>1700</v>
      </c>
      <c r="AC10" s="25">
        <v>1700</v>
      </c>
      <c r="AD10" s="25">
        <v>1700</v>
      </c>
      <c r="AE10" s="25">
        <v>1700</v>
      </c>
      <c r="AF10" s="25">
        <v>1700</v>
      </c>
      <c r="AG10" s="25">
        <v>1700</v>
      </c>
      <c r="AH10" s="25">
        <v>1700</v>
      </c>
      <c r="AI10" s="25">
        <v>1700</v>
      </c>
      <c r="AJ10" s="25">
        <v>1700</v>
      </c>
      <c r="AK10" s="25">
        <v>1700</v>
      </c>
      <c r="AL10" s="25">
        <v>1700</v>
      </c>
      <c r="AM10" s="25">
        <v>1700</v>
      </c>
      <c r="AN10" s="25">
        <v>1700</v>
      </c>
      <c r="AO10" s="25">
        <v>1700</v>
      </c>
      <c r="AP10" s="25">
        <v>1700</v>
      </c>
    </row>
    <row r="11" spans="1:113" x14ac:dyDescent="0.2">
      <c r="B11" s="24" t="s">
        <v>35</v>
      </c>
      <c r="C11" s="25">
        <f t="shared" ref="C11:M11" si="19">C9+C10</f>
        <v>813</v>
      </c>
      <c r="D11" s="25">
        <f t="shared" si="19"/>
        <v>836</v>
      </c>
      <c r="E11" s="25">
        <f t="shared" si="19"/>
        <v>862</v>
      </c>
      <c r="F11" s="25">
        <f t="shared" si="19"/>
        <v>863</v>
      </c>
      <c r="G11" s="25">
        <f t="shared" si="19"/>
        <v>929</v>
      </c>
      <c r="H11" s="25">
        <f t="shared" si="19"/>
        <v>938</v>
      </c>
      <c r="I11" s="25">
        <f t="shared" si="19"/>
        <v>923</v>
      </c>
      <c r="J11" s="25">
        <f t="shared" si="19"/>
        <v>898</v>
      </c>
      <c r="K11" s="25">
        <f t="shared" si="19"/>
        <v>933</v>
      </c>
      <c r="L11" s="25">
        <f t="shared" si="19"/>
        <v>963</v>
      </c>
      <c r="M11" s="25">
        <f t="shared" si="19"/>
        <v>920</v>
      </c>
      <c r="N11" s="25">
        <f t="shared" ref="N11:V11" si="20">N9+N10</f>
        <v>923</v>
      </c>
      <c r="O11" s="25">
        <f t="shared" si="20"/>
        <v>882</v>
      </c>
      <c r="P11" s="25">
        <f t="shared" si="20"/>
        <v>933</v>
      </c>
      <c r="Q11" s="25">
        <f t="shared" si="20"/>
        <v>963</v>
      </c>
      <c r="R11" s="25">
        <f t="shared" si="20"/>
        <v>920</v>
      </c>
      <c r="S11" s="25">
        <f t="shared" si="20"/>
        <v>923</v>
      </c>
      <c r="T11" s="25">
        <f t="shared" si="20"/>
        <v>882</v>
      </c>
      <c r="U11" s="25">
        <f t="shared" si="20"/>
        <v>933</v>
      </c>
      <c r="V11" s="25">
        <f t="shared" si="20"/>
        <v>963</v>
      </c>
      <c r="Y11" s="25">
        <f>Y9+Y10</f>
        <v>3220</v>
      </c>
      <c r="Z11" s="25">
        <f>Z9+Z10</f>
        <v>3374</v>
      </c>
      <c r="AA11" s="25">
        <f>AA9+AA10</f>
        <v>3688</v>
      </c>
      <c r="AB11" s="25">
        <f t="shared" ref="AB11:AF11" si="21">AB9+AB10</f>
        <v>3563</v>
      </c>
      <c r="AC11" s="25">
        <f t="shared" si="21"/>
        <v>3563</v>
      </c>
      <c r="AD11" s="25">
        <f t="shared" si="21"/>
        <v>3563</v>
      </c>
      <c r="AE11" s="25">
        <f t="shared" si="21"/>
        <v>3563</v>
      </c>
      <c r="AF11" s="25">
        <f t="shared" si="21"/>
        <v>3563</v>
      </c>
      <c r="AG11" s="25">
        <f t="shared" ref="AG11" si="22">AG9+AG10</f>
        <v>3563</v>
      </c>
      <c r="AH11" s="25">
        <f t="shared" ref="AH11" si="23">AH9+AH10</f>
        <v>3563</v>
      </c>
      <c r="AI11" s="25">
        <f t="shared" ref="AI11" si="24">AI9+AI10</f>
        <v>3563</v>
      </c>
      <c r="AJ11" s="25">
        <f t="shared" ref="AJ11" si="25">AJ9+AJ10</f>
        <v>3563</v>
      </c>
      <c r="AK11" s="25">
        <f t="shared" ref="AK11" si="26">AK9+AK10</f>
        <v>3563</v>
      </c>
      <c r="AL11" s="25">
        <f t="shared" ref="AL11" si="27">AL9+AL10</f>
        <v>3563</v>
      </c>
      <c r="AM11" s="25">
        <f t="shared" ref="AM11" si="28">AM9+AM10</f>
        <v>3563</v>
      </c>
      <c r="AN11" s="25">
        <f t="shared" ref="AN11" si="29">AN9+AN10</f>
        <v>3563</v>
      </c>
      <c r="AO11" s="25">
        <f t="shared" ref="AO11" si="30">AO9+AO10</f>
        <v>3563</v>
      </c>
      <c r="AP11" s="25">
        <f t="shared" ref="AP11" si="31">AP9+AP10</f>
        <v>3563</v>
      </c>
    </row>
    <row r="12" spans="1:113" s="26" customFormat="1" x14ac:dyDescent="0.2">
      <c r="B12" s="26" t="s">
        <v>36</v>
      </c>
      <c r="C12" s="27">
        <f t="shared" ref="C12:M12" si="32">C8-C11</f>
        <v>2629</v>
      </c>
      <c r="D12" s="27">
        <f t="shared" si="32"/>
        <v>2789</v>
      </c>
      <c r="E12" s="27">
        <f t="shared" si="32"/>
        <v>2755</v>
      </c>
      <c r="F12" s="27">
        <f t="shared" si="32"/>
        <v>2224</v>
      </c>
      <c r="G12" s="27">
        <f t="shared" si="32"/>
        <v>1934</v>
      </c>
      <c r="H12" s="27">
        <f t="shared" si="32"/>
        <v>1972</v>
      </c>
      <c r="I12" s="27">
        <f t="shared" si="32"/>
        <v>1892</v>
      </c>
      <c r="J12" s="27">
        <f t="shared" si="32"/>
        <v>1533</v>
      </c>
      <c r="K12" s="27">
        <f t="shared" si="32"/>
        <v>1162</v>
      </c>
      <c r="L12" s="27">
        <f t="shared" si="32"/>
        <v>1248</v>
      </c>
      <c r="M12" s="27">
        <f t="shared" si="32"/>
        <v>1554</v>
      </c>
      <c r="N12" s="27">
        <f t="shared" ref="N12:V12" si="33">N8-N11</f>
        <v>1553</v>
      </c>
      <c r="O12" s="27">
        <f t="shared" si="33"/>
        <v>1496.4499999999998</v>
      </c>
      <c r="P12" s="27">
        <f t="shared" si="33"/>
        <v>1349.3706999999999</v>
      </c>
      <c r="Q12" s="27">
        <f t="shared" si="33"/>
        <v>1224.7278829999996</v>
      </c>
      <c r="R12" s="27">
        <f t="shared" si="33"/>
        <v>1174.4879683099998</v>
      </c>
      <c r="S12" s="27">
        <f t="shared" si="33"/>
        <v>1079.6179983434993</v>
      </c>
      <c r="T12" s="27">
        <f t="shared" si="33"/>
        <v>1030.085625670326</v>
      </c>
      <c r="U12" s="27">
        <f t="shared" si="33"/>
        <v>889.85910032355355</v>
      </c>
      <c r="V12" s="27">
        <f t="shared" si="33"/>
        <v>771.9072573553824</v>
      </c>
      <c r="Y12" s="27">
        <f>Y8-Y11</f>
        <v>9156</v>
      </c>
      <c r="Z12" s="27">
        <f>Z8-Z11</f>
        <v>10397</v>
      </c>
      <c r="AA12" s="27">
        <f>AA8-AA11</f>
        <v>7331</v>
      </c>
      <c r="AB12" s="27">
        <f t="shared" ref="AB12:AF12" si="34">AB8-AB11</f>
        <v>5453</v>
      </c>
      <c r="AC12" s="27">
        <f t="shared" si="34"/>
        <v>4914.7200000000012</v>
      </c>
      <c r="AD12" s="27">
        <f t="shared" si="34"/>
        <v>4389.9104000000007</v>
      </c>
      <c r="AE12" s="27">
        <f t="shared" si="34"/>
        <v>3878.1403080000009</v>
      </c>
      <c r="AF12" s="27">
        <f t="shared" si="34"/>
        <v>3378.9914909600011</v>
      </c>
      <c r="AG12" s="27">
        <f t="shared" ref="AG12" si="35">AG8-AG11</f>
        <v>2892.0579923532005</v>
      </c>
      <c r="AH12" s="27">
        <f t="shared" ref="AH12" si="36">AH8-AH11</f>
        <v>3496.2713833876405</v>
      </c>
      <c r="AI12" s="27">
        <f t="shared" ref="AI12" si="37">AI8-AI11</f>
        <v>4133.5100488879716</v>
      </c>
      <c r="AJ12" s="27">
        <f t="shared" ref="AJ12" si="38">AJ8-AJ11</f>
        <v>4805.4533986266269</v>
      </c>
      <c r="AK12" s="27">
        <f t="shared" ref="AK12" si="39">AK8-AK11</f>
        <v>5513.8650943251596</v>
      </c>
      <c r="AL12" s="27">
        <f t="shared" ref="AL12" si="40">AL8-AL11</f>
        <v>6260.5972650662898</v>
      </c>
      <c r="AM12" s="27">
        <f t="shared" ref="AM12" si="41">AM8-AM11</f>
        <v>7047.5949335047262</v>
      </c>
      <c r="AN12" s="27">
        <f t="shared" ref="AN12" si="42">AN8-AN11</f>
        <v>7876.9006634169345</v>
      </c>
      <c r="AO12" s="27">
        <f t="shared" ref="AO12" si="43">AO8-AO11</f>
        <v>8750.6594396571236</v>
      </c>
      <c r="AP12" s="27">
        <f t="shared" ref="AP12" si="44">AP8-AP11</f>
        <v>9671.123792140017</v>
      </c>
    </row>
    <row r="13" spans="1:113" s="28" customFormat="1" x14ac:dyDescent="0.2">
      <c r="B13" s="28" t="s">
        <v>37</v>
      </c>
      <c r="C13" s="29">
        <v>325</v>
      </c>
      <c r="D13" s="29">
        <v>390</v>
      </c>
      <c r="E13" s="29">
        <v>363</v>
      </c>
      <c r="F13" s="29">
        <f>1283-E13-D13-C13</f>
        <v>205</v>
      </c>
      <c r="G13" s="29">
        <v>238</v>
      </c>
      <c r="H13" s="29">
        <v>280</v>
      </c>
      <c r="I13" s="29">
        <v>213</v>
      </c>
      <c r="J13" s="29">
        <f>908-I13-H13-G13</f>
        <v>177</v>
      </c>
      <c r="K13" s="29">
        <v>188</v>
      </c>
      <c r="L13" s="29">
        <v>120</v>
      </c>
      <c r="M13" s="29">
        <v>192</v>
      </c>
      <c r="N13" s="29">
        <f>M13*1.05</f>
        <v>201.60000000000002</v>
      </c>
      <c r="O13" s="29">
        <f t="shared" ref="O13:V13" si="45">N13*1.05</f>
        <v>211.68000000000004</v>
      </c>
      <c r="P13" s="29">
        <f t="shared" si="45"/>
        <v>222.26400000000004</v>
      </c>
      <c r="Q13" s="29">
        <f t="shared" si="45"/>
        <v>233.37720000000004</v>
      </c>
      <c r="R13" s="29">
        <f t="shared" si="45"/>
        <v>245.04606000000007</v>
      </c>
      <c r="S13" s="29">
        <f t="shared" si="45"/>
        <v>257.29836300000011</v>
      </c>
      <c r="T13" s="29">
        <f t="shared" si="45"/>
        <v>270.1632811500001</v>
      </c>
      <c r="U13" s="29">
        <f t="shared" si="45"/>
        <v>283.67144520750014</v>
      </c>
      <c r="V13" s="29">
        <f t="shared" si="45"/>
        <v>297.85501746787514</v>
      </c>
      <c r="Y13" s="29">
        <v>1150</v>
      </c>
      <c r="Z13" s="29">
        <v>1283</v>
      </c>
      <c r="AA13" s="25">
        <f>SUM(G13:J13)</f>
        <v>908</v>
      </c>
      <c r="AB13" s="29">
        <v>1283</v>
      </c>
      <c r="AC13" s="29">
        <f>AB13*1.01</f>
        <v>1295.83</v>
      </c>
      <c r="AD13" s="29">
        <f t="shared" ref="AD13:AF13" si="46">AC13*1.01</f>
        <v>1308.7882999999999</v>
      </c>
      <c r="AE13" s="29">
        <f t="shared" si="46"/>
        <v>1321.8761829999999</v>
      </c>
      <c r="AF13" s="29">
        <f t="shared" si="46"/>
        <v>1335.0949448299998</v>
      </c>
      <c r="AG13" s="29">
        <f t="shared" ref="AG13:AP13" si="47">AF13*1.01</f>
        <v>1348.4458942782999</v>
      </c>
      <c r="AH13" s="29">
        <f t="shared" si="47"/>
        <v>1361.9303532210829</v>
      </c>
      <c r="AI13" s="29">
        <f t="shared" si="47"/>
        <v>1375.5496567532937</v>
      </c>
      <c r="AJ13" s="29">
        <f t="shared" si="47"/>
        <v>1389.3051533208265</v>
      </c>
      <c r="AK13" s="29">
        <f t="shared" si="47"/>
        <v>1403.1982048540349</v>
      </c>
      <c r="AL13" s="29">
        <f t="shared" si="47"/>
        <v>1417.2301869025753</v>
      </c>
      <c r="AM13" s="29">
        <f t="shared" si="47"/>
        <v>1431.4024887716009</v>
      </c>
      <c r="AN13" s="29">
        <f t="shared" si="47"/>
        <v>1445.7165136593169</v>
      </c>
      <c r="AO13" s="29">
        <f t="shared" si="47"/>
        <v>1460.1736787959101</v>
      </c>
      <c r="AP13" s="29">
        <f t="shared" si="47"/>
        <v>1474.7754155838693</v>
      </c>
    </row>
    <row r="14" spans="1:113" s="27" customFormat="1" x14ac:dyDescent="0.2">
      <c r="B14" s="27" t="s">
        <v>38</v>
      </c>
      <c r="C14" s="27">
        <f t="shared" ref="C14:M14" si="48">C12-C13</f>
        <v>2304</v>
      </c>
      <c r="D14" s="27">
        <f t="shared" si="48"/>
        <v>2399</v>
      </c>
      <c r="E14" s="27">
        <f t="shared" si="48"/>
        <v>2392</v>
      </c>
      <c r="F14" s="27">
        <f t="shared" si="48"/>
        <v>2019</v>
      </c>
      <c r="G14" s="27">
        <f t="shared" si="48"/>
        <v>1696</v>
      </c>
      <c r="H14" s="27">
        <f t="shared" si="48"/>
        <v>1692</v>
      </c>
      <c r="I14" s="27">
        <f t="shared" si="48"/>
        <v>1679</v>
      </c>
      <c r="J14" s="27">
        <f t="shared" si="48"/>
        <v>1356</v>
      </c>
      <c r="K14" s="27">
        <f t="shared" si="48"/>
        <v>974</v>
      </c>
      <c r="L14" s="27">
        <f t="shared" si="48"/>
        <v>1128</v>
      </c>
      <c r="M14" s="27">
        <f t="shared" si="48"/>
        <v>1362</v>
      </c>
      <c r="N14" s="27">
        <f>AVERAGE(C14:M14)</f>
        <v>1727.3636363636363</v>
      </c>
      <c r="O14" s="27">
        <f>$N14*(1+E25)</f>
        <v>1710.09</v>
      </c>
      <c r="P14" s="27">
        <f>O14*(1+$E25)</f>
        <v>1692.9891</v>
      </c>
      <c r="Q14" s="27">
        <f>P14*(1+$E25)</f>
        <v>1676.059209</v>
      </c>
      <c r="R14" s="27">
        <f>Q14*(1+$E25)</f>
        <v>1659.29861691</v>
      </c>
      <c r="S14" s="27">
        <f>R14*(1+$E25)</f>
        <v>1642.7056307409</v>
      </c>
      <c r="T14" s="27">
        <f t="shared" ref="T14:V14" si="49">S14*(1+$E25)</f>
        <v>1626.278574433491</v>
      </c>
      <c r="U14" s="27">
        <f t="shared" si="49"/>
        <v>1610.0157886891561</v>
      </c>
      <c r="V14" s="27">
        <f t="shared" si="49"/>
        <v>1593.9156308022646</v>
      </c>
      <c r="Y14" s="27">
        <f>Y12-Y13</f>
        <v>8006</v>
      </c>
      <c r="Z14" s="27">
        <f>Z12-Z13</f>
        <v>9114</v>
      </c>
      <c r="AA14" s="27">
        <f>AA12-AA13</f>
        <v>6423</v>
      </c>
      <c r="AB14" s="27">
        <f t="shared" ref="AB14:AF14" si="50">AB12-AB13</f>
        <v>4170</v>
      </c>
      <c r="AC14" s="27">
        <f t="shared" si="50"/>
        <v>3618.8900000000012</v>
      </c>
      <c r="AD14" s="27">
        <f t="shared" si="50"/>
        <v>3081.1221000000005</v>
      </c>
      <c r="AE14" s="27">
        <f t="shared" si="50"/>
        <v>2556.2641250000011</v>
      </c>
      <c r="AF14" s="27">
        <f t="shared" si="50"/>
        <v>2043.8965461300013</v>
      </c>
      <c r="AG14" s="27">
        <f t="shared" ref="AG14" si="51">AG12-AG13</f>
        <v>1543.6120980749006</v>
      </c>
      <c r="AH14" s="27">
        <f t="shared" ref="AH14" si="52">AH12-AH13</f>
        <v>2134.3410301665576</v>
      </c>
      <c r="AI14" s="27">
        <f t="shared" ref="AI14" si="53">AI12-AI13</f>
        <v>2757.9603921346779</v>
      </c>
      <c r="AJ14" s="27">
        <f t="shared" ref="AJ14" si="54">AJ12-AJ13</f>
        <v>3416.1482453058006</v>
      </c>
      <c r="AK14" s="27">
        <f t="shared" ref="AK14" si="55">AK12-AK13</f>
        <v>4110.6668894711247</v>
      </c>
      <c r="AL14" s="27">
        <f t="shared" ref="AL14" si="56">AL12-AL13</f>
        <v>4843.3670781637147</v>
      </c>
      <c r="AM14" s="27">
        <f t="shared" ref="AM14" si="57">AM12-AM13</f>
        <v>5616.1924447331257</v>
      </c>
      <c r="AN14" s="27">
        <f t="shared" ref="AN14" si="58">AN12-AN13</f>
        <v>6431.1841497576179</v>
      </c>
      <c r="AO14" s="27">
        <f t="shared" ref="AO14" si="59">AO12-AO13</f>
        <v>7290.4857608612137</v>
      </c>
      <c r="AP14" s="27">
        <f t="shared" ref="AP14" si="60">AP12-AP13</f>
        <v>8196.3483765561468</v>
      </c>
      <c r="AQ14" s="27">
        <f>AP14*(1+$E25)</f>
        <v>8114.3848927905856</v>
      </c>
      <c r="AR14" s="27">
        <f t="shared" ref="AR14:BX14" si="61">AQ14*(1+$E25)</f>
        <v>8033.2410438626794</v>
      </c>
      <c r="AS14" s="27">
        <f t="shared" si="61"/>
        <v>7952.9086334240528</v>
      </c>
      <c r="AT14" s="27">
        <f t="shared" si="61"/>
        <v>7873.3795470898121</v>
      </c>
      <c r="AU14" s="27">
        <f t="shared" si="61"/>
        <v>7794.6457516189139</v>
      </c>
      <c r="AV14" s="27">
        <f t="shared" si="61"/>
        <v>7716.6992941027247</v>
      </c>
      <c r="AW14" s="27">
        <f t="shared" si="61"/>
        <v>7639.5323011616974</v>
      </c>
      <c r="AX14" s="27">
        <f t="shared" si="61"/>
        <v>7563.1369781500807</v>
      </c>
      <c r="AY14" s="27">
        <f t="shared" si="61"/>
        <v>7487.5056083685795</v>
      </c>
      <c r="AZ14" s="27">
        <f t="shared" si="61"/>
        <v>7412.6305522848934</v>
      </c>
      <c r="BA14" s="27">
        <f t="shared" si="61"/>
        <v>7338.5042467620442</v>
      </c>
      <c r="BB14" s="27">
        <f t="shared" si="61"/>
        <v>7265.119204294424</v>
      </c>
      <c r="BC14" s="27">
        <f t="shared" si="61"/>
        <v>7192.4680122514801</v>
      </c>
      <c r="BD14" s="27">
        <f t="shared" si="61"/>
        <v>7120.5433321289656</v>
      </c>
      <c r="BE14" s="27">
        <f t="shared" si="61"/>
        <v>7049.3378988076756</v>
      </c>
      <c r="BF14" s="27">
        <f t="shared" si="61"/>
        <v>6978.8445198195986</v>
      </c>
      <c r="BG14" s="27">
        <f t="shared" si="61"/>
        <v>6909.0560746214023</v>
      </c>
      <c r="BH14" s="27">
        <f t="shared" si="61"/>
        <v>6839.9655138751887</v>
      </c>
      <c r="BI14" s="27">
        <f t="shared" si="61"/>
        <v>6771.5658587364369</v>
      </c>
      <c r="BJ14" s="27">
        <f t="shared" si="61"/>
        <v>6703.8502001490724</v>
      </c>
      <c r="BK14" s="27">
        <f t="shared" si="61"/>
        <v>6636.8116981475814</v>
      </c>
      <c r="BL14" s="27">
        <f t="shared" si="61"/>
        <v>6570.4435811661051</v>
      </c>
      <c r="BM14" s="27">
        <f t="shared" si="61"/>
        <v>6504.7391453544442</v>
      </c>
      <c r="BN14" s="27">
        <f t="shared" si="61"/>
        <v>6439.6917539009</v>
      </c>
      <c r="BO14" s="27">
        <f t="shared" si="61"/>
        <v>6375.2948363618907</v>
      </c>
      <c r="BP14" s="27">
        <f t="shared" si="61"/>
        <v>6311.5418879982717</v>
      </c>
      <c r="BQ14" s="27">
        <f t="shared" si="61"/>
        <v>6248.4264691182889</v>
      </c>
      <c r="BR14" s="27">
        <f t="shared" si="61"/>
        <v>6185.9422044271059</v>
      </c>
      <c r="BS14" s="27">
        <f t="shared" si="61"/>
        <v>6124.0827823828349</v>
      </c>
      <c r="BT14" s="27">
        <f t="shared" si="61"/>
        <v>6062.8419545590068</v>
      </c>
      <c r="BU14" s="27">
        <f t="shared" si="61"/>
        <v>6002.2135350134167</v>
      </c>
      <c r="BV14" s="27">
        <f t="shared" si="61"/>
        <v>5942.1913996632829</v>
      </c>
      <c r="BW14" s="27">
        <f t="shared" si="61"/>
        <v>5882.7694856666503</v>
      </c>
      <c r="BX14" s="27">
        <f t="shared" si="61"/>
        <v>5823.941790809984</v>
      </c>
      <c r="BY14" s="27">
        <f t="shared" ref="BY14" si="62">BX14*(1+$E25)</f>
        <v>5765.7023729018838</v>
      </c>
      <c r="BZ14" s="27">
        <f t="shared" ref="BZ14" si="63">BY14*(1+$E25)</f>
        <v>5708.0453491728649</v>
      </c>
      <c r="CA14" s="27">
        <f t="shared" ref="CA14" si="64">BZ14*(1+$E25)</f>
        <v>5650.9648956811361</v>
      </c>
      <c r="CB14" s="27">
        <f t="shared" ref="CB14" si="65">CA14*(1+$E25)</f>
        <v>5594.4552467243248</v>
      </c>
      <c r="CC14" s="27">
        <f t="shared" ref="CC14" si="66">CB14*(1+$E25)</f>
        <v>5538.510694257081</v>
      </c>
      <c r="CD14" s="27">
        <f t="shared" ref="CD14" si="67">CC14*(1+$E25)</f>
        <v>5483.1255873145101</v>
      </c>
      <c r="CE14" s="27">
        <f t="shared" ref="CE14" si="68">CD14*(1+$E25)</f>
        <v>5428.2943314413651</v>
      </c>
      <c r="CF14" s="27">
        <f t="shared" ref="CF14" si="69">CE14*(1+$E25)</f>
        <v>5374.0113881269517</v>
      </c>
      <c r="CG14" s="27">
        <f t="shared" ref="CG14" si="70">CF14*(1+$E25)</f>
        <v>5320.2712742456824</v>
      </c>
      <c r="CH14" s="27">
        <f t="shared" ref="CH14" si="71">CG14*(1+$E25)</f>
        <v>5267.0685615032253</v>
      </c>
      <c r="CI14" s="27">
        <f t="shared" ref="CI14" si="72">CH14*(1+$E25)</f>
        <v>5214.3978758881931</v>
      </c>
      <c r="CJ14" s="27">
        <f t="shared" ref="CJ14" si="73">CI14*(1+$E25)</f>
        <v>5162.2538971293116</v>
      </c>
      <c r="CK14" s="27">
        <f t="shared" ref="CK14" si="74">CJ14*(1+$E25)</f>
        <v>5110.631358158018</v>
      </c>
      <c r="CL14" s="27">
        <f t="shared" ref="CL14" si="75">CK14*(1+$E25)</f>
        <v>5059.5250445764377</v>
      </c>
      <c r="CM14" s="27">
        <f t="shared" ref="CM14" si="76">CL14*(1+$E25)</f>
        <v>5008.9297941306731</v>
      </c>
      <c r="CN14" s="27">
        <f t="shared" ref="CN14" si="77">CM14*(1+$E25)</f>
        <v>4958.8404961893666</v>
      </c>
      <c r="CO14" s="27">
        <f t="shared" ref="CO14" si="78">CN14*(1+$E25)</f>
        <v>4909.2520912274731</v>
      </c>
      <c r="CP14" s="27">
        <f t="shared" ref="CP14" si="79">CO14*(1+$E25)</f>
        <v>4860.1595703151979</v>
      </c>
      <c r="CQ14" s="27">
        <f t="shared" ref="CQ14" si="80">CP14*(1+$E25)</f>
        <v>4811.5579746120457</v>
      </c>
      <c r="CR14" s="27">
        <f t="shared" ref="CR14" si="81">CQ14*(1+$E25)</f>
        <v>4763.4423948659251</v>
      </c>
      <c r="CS14" s="27">
        <f t="shared" ref="CS14" si="82">CR14*(1+$E25)</f>
        <v>4715.8079709172662</v>
      </c>
      <c r="CT14" s="27">
        <f t="shared" ref="CT14" si="83">CS14*(1+$E25)</f>
        <v>4668.6498912080933</v>
      </c>
      <c r="CU14" s="27">
        <f t="shared" ref="CU14" si="84">CT14*(1+$E25)</f>
        <v>4621.963392296012</v>
      </c>
      <c r="CV14" s="27">
        <f t="shared" ref="CV14" si="85">CU14*(1+$E25)</f>
        <v>4575.7437583730516</v>
      </c>
      <c r="CW14" s="27">
        <f t="shared" ref="CW14" si="86">CV14*(1+$E25)</f>
        <v>4529.9863207893213</v>
      </c>
      <c r="CX14" s="27">
        <f t="shared" ref="CX14" si="87">CW14*(1+$E25)</f>
        <v>4484.6864575814279</v>
      </c>
      <c r="CY14" s="27">
        <f t="shared" ref="CY14" si="88">CX14*(1+$E25)</f>
        <v>4439.839593005614</v>
      </c>
      <c r="CZ14" s="27">
        <f t="shared" ref="CZ14" si="89">CY14*(1+$E25)</f>
        <v>4395.4411970755582</v>
      </c>
      <c r="DA14" s="27">
        <f t="shared" ref="DA14" si="90">CZ14*(1+$E25)</f>
        <v>4351.4867851048029</v>
      </c>
      <c r="DB14" s="27">
        <f t="shared" ref="DB14" si="91">DA14*(1+$E25)</f>
        <v>4307.9719172537552</v>
      </c>
      <c r="DC14" s="27">
        <f t="shared" ref="DC14" si="92">DB14*(1+$E25)</f>
        <v>4264.8921980812174</v>
      </c>
      <c r="DD14" s="27">
        <f t="shared" ref="DD14" si="93">DC14*(1+$E25)</f>
        <v>4222.2432761004056</v>
      </c>
      <c r="DE14" s="27">
        <f t="shared" ref="DE14" si="94">DD14*(1+$E25)</f>
        <v>4180.0208433394018</v>
      </c>
      <c r="DF14" s="27">
        <f t="shared" ref="DF14" si="95">DE14*(1+$E25)</f>
        <v>4138.2206349060079</v>
      </c>
      <c r="DG14" s="27">
        <f t="shared" ref="DG14" si="96">DF14*(1+$E25)</f>
        <v>4096.8384285569482</v>
      </c>
      <c r="DH14" s="27">
        <f t="shared" ref="DH14" si="97">DG14*(1+$E25)</f>
        <v>4055.8700442713789</v>
      </c>
      <c r="DI14" s="27">
        <f t="shared" ref="DI14" si="98">DH14*(1+$E25)</f>
        <v>4015.311343828665</v>
      </c>
    </row>
    <row r="15" spans="1:113" s="27" customFormat="1" x14ac:dyDescent="0.2">
      <c r="B15" s="25" t="s">
        <v>45</v>
      </c>
      <c r="C15" s="31">
        <f>+C14/C16</f>
        <v>2.5043478260869567</v>
      </c>
      <c r="D15" s="31">
        <f t="shared" ref="D15:N15" si="99">+D14/D16</f>
        <v>2.607608695652174</v>
      </c>
      <c r="E15" s="31">
        <f t="shared" si="99"/>
        <v>2.6</v>
      </c>
      <c r="F15" s="31">
        <f t="shared" si="99"/>
        <v>2.1945652173913044</v>
      </c>
      <c r="G15" s="31">
        <f t="shared" si="99"/>
        <v>1.8699007717750826</v>
      </c>
      <c r="H15" s="31">
        <f t="shared" si="99"/>
        <v>1.8634361233480177</v>
      </c>
      <c r="I15" s="31">
        <f t="shared" si="99"/>
        <v>1.8491189427312775</v>
      </c>
      <c r="J15" s="31">
        <f t="shared" si="99"/>
        <v>1.4933920704845816</v>
      </c>
      <c r="K15" s="31">
        <f t="shared" si="99"/>
        <v>1.0703296703296703</v>
      </c>
      <c r="L15" s="31">
        <f t="shared" si="99"/>
        <v>1.2395604395604396</v>
      </c>
      <c r="M15" s="31">
        <f t="shared" si="99"/>
        <v>1.4967032967032967</v>
      </c>
      <c r="N15" s="31">
        <f t="shared" si="99"/>
        <v>1.898201798201798</v>
      </c>
      <c r="AB15" s="31">
        <f>+SUM(K15:N15)</f>
        <v>5.7047952047952046</v>
      </c>
    </row>
    <row r="16" spans="1:113" x14ac:dyDescent="0.2">
      <c r="B16" s="24" t="s">
        <v>23</v>
      </c>
      <c r="C16" s="24">
        <v>920</v>
      </c>
      <c r="D16" s="24">
        <v>920</v>
      </c>
      <c r="E16" s="24">
        <v>920</v>
      </c>
      <c r="F16" s="24">
        <v>920</v>
      </c>
      <c r="G16" s="24">
        <v>907</v>
      </c>
      <c r="H16" s="24">
        <v>908</v>
      </c>
      <c r="I16" s="24">
        <v>908</v>
      </c>
      <c r="J16" s="24">
        <v>908</v>
      </c>
      <c r="K16" s="24">
        <v>910</v>
      </c>
      <c r="L16" s="24">
        <v>910</v>
      </c>
      <c r="M16" s="24">
        <v>910</v>
      </c>
      <c r="N16" s="24">
        <v>910</v>
      </c>
      <c r="O16" s="24">
        <v>910</v>
      </c>
      <c r="P16" s="24">
        <v>910</v>
      </c>
      <c r="Q16" s="24">
        <v>910</v>
      </c>
      <c r="R16" s="24">
        <v>910</v>
      </c>
      <c r="S16" s="24">
        <v>910</v>
      </c>
      <c r="T16" s="24">
        <v>910</v>
      </c>
      <c r="U16" s="24">
        <v>910</v>
      </c>
      <c r="V16" s="24">
        <v>910</v>
      </c>
      <c r="Y16" s="24">
        <v>923</v>
      </c>
      <c r="Z16" s="24">
        <v>916</v>
      </c>
      <c r="AA16" s="24">
        <v>916</v>
      </c>
    </row>
    <row r="18" spans="2:42" x14ac:dyDescent="0.2">
      <c r="B18" s="24" t="s">
        <v>87</v>
      </c>
      <c r="C18" s="30">
        <f>C13/C12</f>
        <v>0.12362114872575124</v>
      </c>
      <c r="D18" s="30">
        <f t="shared" ref="D18:V18" si="100">D13/D12</f>
        <v>0.13983506633201864</v>
      </c>
      <c r="E18" s="30">
        <f t="shared" si="100"/>
        <v>0.13176043557168785</v>
      </c>
      <c r="F18" s="30">
        <f t="shared" si="100"/>
        <v>9.2176258992805751E-2</v>
      </c>
      <c r="G18" s="30">
        <f t="shared" si="100"/>
        <v>0.12306101344364012</v>
      </c>
      <c r="H18" s="30">
        <f t="shared" si="100"/>
        <v>0.14198782961460446</v>
      </c>
      <c r="I18" s="30">
        <f t="shared" si="100"/>
        <v>0.11257928118393234</v>
      </c>
      <c r="J18" s="30">
        <f t="shared" si="100"/>
        <v>0.11545988258317025</v>
      </c>
      <c r="K18" s="30">
        <f t="shared" si="100"/>
        <v>0.16179001721170397</v>
      </c>
      <c r="L18" s="30">
        <f t="shared" si="100"/>
        <v>9.6153846153846159E-2</v>
      </c>
      <c r="M18" s="30">
        <f t="shared" si="100"/>
        <v>0.12355212355212356</v>
      </c>
      <c r="N18" s="30">
        <f t="shared" si="100"/>
        <v>0.12981326464906634</v>
      </c>
      <c r="O18" s="30">
        <f t="shared" si="100"/>
        <v>0.14145477630391931</v>
      </c>
      <c r="P18" s="30">
        <f t="shared" si="100"/>
        <v>0.16471678242309548</v>
      </c>
      <c r="Q18" s="30">
        <f t="shared" si="100"/>
        <v>0.19055432903865727</v>
      </c>
      <c r="R18" s="30">
        <f t="shared" si="100"/>
        <v>0.20864075802547641</v>
      </c>
      <c r="S18" s="30">
        <f t="shared" si="100"/>
        <v>0.23832352127769563</v>
      </c>
      <c r="T18" s="30">
        <f t="shared" si="100"/>
        <v>0.26227264454272131</v>
      </c>
      <c r="U18" s="30">
        <f t="shared" si="100"/>
        <v>0.31878242870624907</v>
      </c>
      <c r="V18" s="30">
        <f t="shared" si="100"/>
        <v>0.38586891706181242</v>
      </c>
      <c r="Y18" s="30">
        <f t="shared" ref="Y18:AA18" si="101">Y13/Y12</f>
        <v>0.12560069899519441</v>
      </c>
      <c r="Z18" s="30">
        <f t="shared" si="101"/>
        <v>0.1234009810522266</v>
      </c>
      <c r="AA18" s="30">
        <f t="shared" si="101"/>
        <v>0.12385759105169827</v>
      </c>
    </row>
    <row r="19" spans="2:42" x14ac:dyDescent="0.2">
      <c r="B19" s="24" t="s">
        <v>44</v>
      </c>
      <c r="D19" s="30"/>
      <c r="E19" s="30"/>
      <c r="F19" s="30"/>
      <c r="G19" s="30">
        <f t="shared" ref="G19:K19" si="102">G6/C6-1</f>
        <v>-0.10723751274209992</v>
      </c>
      <c r="H19" s="30">
        <f t="shared" si="102"/>
        <v>-0.13066001534919414</v>
      </c>
      <c r="I19" s="30">
        <f t="shared" si="102"/>
        <v>-0.13527952680786115</v>
      </c>
      <c r="J19" s="30">
        <f t="shared" si="102"/>
        <v>-0.12698072805139182</v>
      </c>
      <c r="K19" s="30">
        <f t="shared" si="102"/>
        <v>-0.16396437542817999</v>
      </c>
      <c r="L19" s="30">
        <f>L6/H6-1</f>
        <v>-0.15647759876406975</v>
      </c>
      <c r="M19" s="30">
        <f>M6/I6-1</f>
        <v>-8.4068843777581614E-2</v>
      </c>
      <c r="N19" s="30">
        <f>AVERAGE(G19:M19)</f>
        <v>-0.12923837156005405</v>
      </c>
      <c r="O19" s="30">
        <f t="shared" ref="O19:V19" si="103">AVERAGE(H19:N19)</f>
        <v>-0.13238135139119037</v>
      </c>
      <c r="P19" s="30">
        <f t="shared" si="103"/>
        <v>-0.13262725654004695</v>
      </c>
      <c r="Q19" s="30">
        <f t="shared" si="103"/>
        <v>-0.13224836078750207</v>
      </c>
      <c r="R19" s="30">
        <f t="shared" si="103"/>
        <v>-0.13300087974980351</v>
      </c>
      <c r="S19" s="30">
        <f t="shared" si="103"/>
        <v>-0.12857752322432117</v>
      </c>
      <c r="T19" s="30">
        <f t="shared" si="103"/>
        <v>-0.12459179814721424</v>
      </c>
      <c r="U19" s="30">
        <f t="shared" si="103"/>
        <v>-0.13038079162859034</v>
      </c>
      <c r="V19" s="30">
        <f t="shared" si="103"/>
        <v>-0.13054399449552409</v>
      </c>
      <c r="Y19" s="30"/>
      <c r="Z19" s="30">
        <f>Z6/Y6-1</f>
        <v>9.1801133885739183E-2</v>
      </c>
      <c r="AA19" s="30">
        <f>AA6/Z6-1</f>
        <v>-0.12527461553824648</v>
      </c>
      <c r="AB19" s="30">
        <f t="shared" ref="AB19:AJ19" si="104">AB6/AA6-1</f>
        <v>-0.10320223757063762</v>
      </c>
      <c r="AC19" s="30">
        <f t="shared" si="104"/>
        <v>-3.0000000000000027E-2</v>
      </c>
      <c r="AD19" s="30">
        <f t="shared" si="104"/>
        <v>-3.0000000000000027E-2</v>
      </c>
      <c r="AE19" s="30">
        <f t="shared" si="104"/>
        <v>-3.0000000000000027E-2</v>
      </c>
      <c r="AF19" s="30">
        <f t="shared" si="104"/>
        <v>-2.9999999999999916E-2</v>
      </c>
      <c r="AG19" s="30">
        <f t="shared" si="104"/>
        <v>-3.0000000000000027E-2</v>
      </c>
      <c r="AH19" s="30">
        <f t="shared" si="104"/>
        <v>5.0000000000000044E-2</v>
      </c>
      <c r="AI19" s="30">
        <f t="shared" si="104"/>
        <v>5.0000000000000044E-2</v>
      </c>
      <c r="AJ19" s="30">
        <f t="shared" si="104"/>
        <v>5.0000000000000044E-2</v>
      </c>
      <c r="AK19" s="30">
        <f t="shared" ref="AK19" si="105">AK6/AJ6-1</f>
        <v>5.0000000000000044E-2</v>
      </c>
      <c r="AL19" s="30">
        <f t="shared" ref="AL19" si="106">AL6/AK6-1</f>
        <v>5.0000000000000044E-2</v>
      </c>
      <c r="AM19" s="30">
        <f t="shared" ref="AM19" si="107">AM6/AL6-1</f>
        <v>5.0000000000000044E-2</v>
      </c>
      <c r="AN19" s="30">
        <f t="shared" ref="AN19" si="108">AN6/AM6-1</f>
        <v>5.0000000000000044E-2</v>
      </c>
      <c r="AO19" s="30">
        <f t="shared" ref="AO19" si="109">AO6/AN6-1</f>
        <v>5.0000000000000044E-2</v>
      </c>
      <c r="AP19" s="30">
        <f t="shared" ref="AP19" si="110">AP6/AO6-1</f>
        <v>5.0000000000000044E-2</v>
      </c>
    </row>
    <row r="20" spans="2:42" s="31" customFormat="1" x14ac:dyDescent="0.2">
      <c r="B20" s="31" t="s">
        <v>45</v>
      </c>
      <c r="C20" s="31">
        <f>C14/C16</f>
        <v>2.5043478260869567</v>
      </c>
      <c r="D20" s="31">
        <f t="shared" ref="D20:M20" si="111">D14/D16</f>
        <v>2.607608695652174</v>
      </c>
      <c r="E20" s="31">
        <f t="shared" si="111"/>
        <v>2.6</v>
      </c>
      <c r="F20" s="31">
        <f t="shared" si="111"/>
        <v>2.1945652173913044</v>
      </c>
      <c r="G20" s="31">
        <f t="shared" si="111"/>
        <v>1.8699007717750826</v>
      </c>
      <c r="H20" s="31">
        <f t="shared" si="111"/>
        <v>1.8634361233480177</v>
      </c>
      <c r="I20" s="31">
        <f t="shared" si="111"/>
        <v>1.8491189427312775</v>
      </c>
      <c r="J20" s="31">
        <f t="shared" si="111"/>
        <v>1.4933920704845816</v>
      </c>
      <c r="K20" s="31">
        <f t="shared" si="111"/>
        <v>1.0703296703296703</v>
      </c>
      <c r="L20" s="31">
        <f t="shared" si="111"/>
        <v>1.2395604395604396</v>
      </c>
      <c r="M20" s="31">
        <f t="shared" si="111"/>
        <v>1.4967032967032967</v>
      </c>
      <c r="N20" s="31">
        <f t="shared" ref="N20:V20" si="112">N14/N16</f>
        <v>1.898201798201798</v>
      </c>
      <c r="O20" s="31">
        <f t="shared" si="112"/>
        <v>1.8792197802197801</v>
      </c>
      <c r="P20" s="31">
        <f t="shared" si="112"/>
        <v>1.8604275824175824</v>
      </c>
      <c r="Q20" s="31">
        <f t="shared" si="112"/>
        <v>1.8418233065934067</v>
      </c>
      <c r="R20" s="31">
        <f t="shared" si="112"/>
        <v>1.8234050735274725</v>
      </c>
      <c r="S20" s="31">
        <f t="shared" si="112"/>
        <v>1.8051710227921978</v>
      </c>
      <c r="T20" s="31">
        <f t="shared" si="112"/>
        <v>1.7871193125642759</v>
      </c>
      <c r="U20" s="31">
        <f t="shared" si="112"/>
        <v>1.7692481194386331</v>
      </c>
      <c r="V20" s="31">
        <f t="shared" si="112"/>
        <v>1.7515556382442468</v>
      </c>
    </row>
    <row r="21" spans="2:42" x14ac:dyDescent="0.2">
      <c r="B21" s="24" t="s">
        <v>46</v>
      </c>
      <c r="C21" s="30">
        <f>C8/C6</f>
        <v>0.70173292558613665</v>
      </c>
      <c r="D21" s="30">
        <f t="shared" ref="D21:K21" si="113">D8/D6</f>
        <v>0.69551036070606298</v>
      </c>
      <c r="E21" s="30">
        <f t="shared" si="113"/>
        <v>0.69013547033008971</v>
      </c>
      <c r="F21" s="30">
        <f t="shared" si="113"/>
        <v>0.66102783725910064</v>
      </c>
      <c r="G21" s="30">
        <f t="shared" si="113"/>
        <v>0.65380223795387071</v>
      </c>
      <c r="H21" s="30">
        <f t="shared" si="113"/>
        <v>0.64224233061134406</v>
      </c>
      <c r="I21" s="30">
        <f t="shared" si="113"/>
        <v>0.62113857016769636</v>
      </c>
      <c r="J21" s="30">
        <f t="shared" si="113"/>
        <v>0.59627176845719887</v>
      </c>
      <c r="K21" s="30">
        <f t="shared" si="113"/>
        <v>0.57224801966675776</v>
      </c>
      <c r="L21" s="30">
        <f>L8/L6</f>
        <v>0.57849293563579274</v>
      </c>
      <c r="M21" s="30">
        <f>M8/M6</f>
        <v>0.5960009636232233</v>
      </c>
      <c r="N21" s="30">
        <f t="shared" ref="N21:V21" si="114">N8/N6</f>
        <v>0.60730929605101791</v>
      </c>
      <c r="O21" s="30">
        <f t="shared" si="114"/>
        <v>0.59528815205257968</v>
      </c>
      <c r="P21" s="30">
        <f t="shared" si="114"/>
        <v>0.58289901385010756</v>
      </c>
      <c r="Q21" s="30">
        <f t="shared" si="114"/>
        <v>0.57013061631490669</v>
      </c>
      <c r="R21" s="30">
        <f t="shared" si="114"/>
        <v>0.55697134946740401</v>
      </c>
      <c r="S21" s="30">
        <f t="shared" si="114"/>
        <v>0.54340924792048761</v>
      </c>
      <c r="T21" s="30">
        <f t="shared" si="114"/>
        <v>0.52943197999968616</v>
      </c>
      <c r="U21" s="30">
        <f t="shared" si="114"/>
        <v>0.51502683653028891</v>
      </c>
      <c r="V21" s="30">
        <f t="shared" si="114"/>
        <v>0.50018071928121599</v>
      </c>
      <c r="Y21" s="30"/>
      <c r="Z21" s="30"/>
      <c r="AA21" s="30"/>
    </row>
    <row r="22" spans="2:42" x14ac:dyDescent="0.2">
      <c r="B22" s="24" t="s">
        <v>47</v>
      </c>
      <c r="C22" s="30">
        <f t="shared" ref="C22:V22" si="115">C12/C6</f>
        <v>0.53598369011213043</v>
      </c>
      <c r="D22" s="30">
        <f t="shared" si="115"/>
        <v>0.53511128165771293</v>
      </c>
      <c r="E22" s="30">
        <f t="shared" si="115"/>
        <v>0.52566304140431219</v>
      </c>
      <c r="F22" s="30">
        <f t="shared" si="115"/>
        <v>0.47623126338329763</v>
      </c>
      <c r="G22" s="30">
        <f t="shared" si="115"/>
        <v>0.4416533455126741</v>
      </c>
      <c r="H22" s="30">
        <f t="shared" si="115"/>
        <v>0.43522401235930258</v>
      </c>
      <c r="I22" s="30">
        <f t="shared" si="115"/>
        <v>0.41747572815533979</v>
      </c>
      <c r="J22" s="30">
        <f t="shared" si="115"/>
        <v>0.37601177336276675</v>
      </c>
      <c r="K22" s="30">
        <f t="shared" si="115"/>
        <v>0.31739961759082219</v>
      </c>
      <c r="L22" s="30">
        <f t="shared" si="115"/>
        <v>0.32653061224489793</v>
      </c>
      <c r="M22" s="30">
        <f t="shared" si="115"/>
        <v>0.37436762225969644</v>
      </c>
      <c r="N22" s="30">
        <f t="shared" si="115"/>
        <v>0.38091734118224185</v>
      </c>
      <c r="O22" s="30">
        <f t="shared" si="115"/>
        <v>0.37453760017619991</v>
      </c>
      <c r="P22" s="30">
        <f t="shared" si="115"/>
        <v>0.34461836122774858</v>
      </c>
      <c r="Q22" s="30">
        <f t="shared" si="115"/>
        <v>0.31916897351755374</v>
      </c>
      <c r="R22" s="30">
        <f t="shared" si="115"/>
        <v>0.31232270537733176</v>
      </c>
      <c r="S22" s="30">
        <f t="shared" si="115"/>
        <v>0.29295372607583736</v>
      </c>
      <c r="T22" s="30">
        <f t="shared" si="115"/>
        <v>0.28521749499406834</v>
      </c>
      <c r="U22" s="30">
        <f t="shared" si="115"/>
        <v>0.25141894802290604</v>
      </c>
      <c r="V22" s="30">
        <f t="shared" si="115"/>
        <v>0.22254395764702117</v>
      </c>
      <c r="Y22" s="31"/>
      <c r="Z22" s="31"/>
      <c r="AA22" s="31"/>
    </row>
    <row r="25" spans="2:42" x14ac:dyDescent="0.2">
      <c r="D25" s="24" t="s">
        <v>113</v>
      </c>
      <c r="E25" s="30">
        <v>-0.01</v>
      </c>
    </row>
    <row r="26" spans="2:42" x14ac:dyDescent="0.2">
      <c r="D26" s="24" t="s">
        <v>114</v>
      </c>
      <c r="E26" s="30">
        <v>0.05</v>
      </c>
    </row>
    <row r="27" spans="2:42" x14ac:dyDescent="0.2">
      <c r="D27" s="24" t="s">
        <v>115</v>
      </c>
      <c r="E27" s="25">
        <f>NPV(E26,Y14:DI14)</f>
        <v>111219.03393684719</v>
      </c>
    </row>
    <row r="28" spans="2:42" x14ac:dyDescent="0.2">
      <c r="D28" s="24" t="s">
        <v>117</v>
      </c>
      <c r="E28" s="25">
        <f>Main!O5-Main!O6</f>
        <v>-4092</v>
      </c>
    </row>
    <row r="29" spans="2:42" x14ac:dyDescent="0.2">
      <c r="D29" s="24" t="s">
        <v>118</v>
      </c>
      <c r="E29" s="32">
        <f>E27+E28</f>
        <v>107127.03393684719</v>
      </c>
    </row>
    <row r="30" spans="2:42" x14ac:dyDescent="0.2">
      <c r="D30" s="26" t="s">
        <v>119</v>
      </c>
      <c r="E30" s="33">
        <f>E29/Main!O3</f>
        <v>117.46385300092894</v>
      </c>
    </row>
    <row r="31" spans="2:42" x14ac:dyDescent="0.2">
      <c r="D31" s="24" t="s">
        <v>120</v>
      </c>
      <c r="E31" s="31">
        <v>198</v>
      </c>
    </row>
    <row r="32" spans="2:42" x14ac:dyDescent="0.2">
      <c r="D32" s="24" t="s">
        <v>116</v>
      </c>
      <c r="E32" s="30">
        <f>E30/E31-1</f>
        <v>-0.40674821716702558</v>
      </c>
      <c r="Z32" s="30"/>
      <c r="AA32" s="30"/>
    </row>
    <row r="33" spans="2:28" x14ac:dyDescent="0.2">
      <c r="D33" s="24" t="s">
        <v>151</v>
      </c>
      <c r="E33" s="30">
        <v>0.05</v>
      </c>
      <c r="Z33" s="30"/>
      <c r="AA33" s="30"/>
    </row>
    <row r="34" spans="2:28" s="28" customFormat="1" x14ac:dyDescent="0.2">
      <c r="E34" s="28">
        <f>5*4</f>
        <v>20</v>
      </c>
      <c r="F34" s="28">
        <f>E31*0.05</f>
        <v>9.9</v>
      </c>
    </row>
    <row r="35" spans="2:28" x14ac:dyDescent="0.2">
      <c r="B35" s="24" t="s">
        <v>69</v>
      </c>
      <c r="E35" s="24">
        <f>F34*4</f>
        <v>39.6</v>
      </c>
      <c r="Y35" s="30">
        <v>0.41</v>
      </c>
      <c r="Z35" s="30">
        <v>0.4</v>
      </c>
      <c r="AA35" s="30">
        <v>0.4</v>
      </c>
    </row>
    <row r="36" spans="2:28" x14ac:dyDescent="0.2">
      <c r="B36" s="24" t="s">
        <v>68</v>
      </c>
      <c r="C36" s="25"/>
      <c r="Y36" s="30">
        <v>0.21</v>
      </c>
      <c r="Z36" s="30">
        <v>0.25</v>
      </c>
      <c r="AA36" s="30">
        <v>0.34</v>
      </c>
    </row>
    <row r="37" spans="2:28" x14ac:dyDescent="0.2">
      <c r="B37" s="24" t="s">
        <v>70</v>
      </c>
      <c r="C37" s="25"/>
      <c r="Y37" s="30">
        <v>0.24</v>
      </c>
      <c r="Z37" s="30">
        <v>0.2</v>
      </c>
      <c r="AA37" s="30">
        <v>0.15</v>
      </c>
    </row>
    <row r="38" spans="2:28" x14ac:dyDescent="0.2">
      <c r="B38" s="24" t="s">
        <v>71</v>
      </c>
      <c r="Y38" s="30">
        <v>0.06</v>
      </c>
      <c r="Z38" s="30">
        <v>7.0000000000000007E-2</v>
      </c>
      <c r="AA38" s="30">
        <v>0.05</v>
      </c>
    </row>
    <row r="39" spans="2:28" x14ac:dyDescent="0.2">
      <c r="B39" s="24" t="s">
        <v>72</v>
      </c>
      <c r="Y39" s="30">
        <v>0.06</v>
      </c>
      <c r="Z39" s="30">
        <v>0.06</v>
      </c>
      <c r="AA39" s="30">
        <v>0.04</v>
      </c>
    </row>
    <row r="40" spans="2:28" x14ac:dyDescent="0.2">
      <c r="B40" s="24" t="s">
        <v>73</v>
      </c>
      <c r="Y40" s="30">
        <v>0.02</v>
      </c>
      <c r="Z40" s="30">
        <v>0.02</v>
      </c>
      <c r="AA40" s="30">
        <v>0.02</v>
      </c>
    </row>
    <row r="42" spans="2:28" x14ac:dyDescent="0.2">
      <c r="B42" s="24" t="s">
        <v>88</v>
      </c>
      <c r="Y42" s="25">
        <v>8756</v>
      </c>
      <c r="Z42" s="25">
        <v>8720</v>
      </c>
      <c r="AA42" s="25">
        <v>6420</v>
      </c>
    </row>
    <row r="43" spans="2:28" x14ac:dyDescent="0.2">
      <c r="B43" s="24" t="s">
        <v>89</v>
      </c>
      <c r="Y43" s="25">
        <v>2462</v>
      </c>
      <c r="Z43" s="25">
        <v>2798</v>
      </c>
      <c r="AA43" s="25">
        <v>5071</v>
      </c>
      <c r="AB43" s="25">
        <v>5000</v>
      </c>
    </row>
    <row r="44" spans="2:28" x14ac:dyDescent="0.2">
      <c r="B44" s="24" t="s">
        <v>90</v>
      </c>
      <c r="Y44" s="25">
        <f>Y42-Y43</f>
        <v>6294</v>
      </c>
      <c r="Z44" s="25">
        <f>Z42-Z43</f>
        <v>5922</v>
      </c>
      <c r="AA44" s="25">
        <f>AA42-AA43</f>
        <v>1349</v>
      </c>
    </row>
    <row r="46" spans="2:28" x14ac:dyDescent="0.2">
      <c r="B46" s="24" t="s">
        <v>25</v>
      </c>
      <c r="AA46" s="25">
        <v>2964</v>
      </c>
    </row>
    <row r="47" spans="2:28" x14ac:dyDescent="0.2">
      <c r="B47" s="24" t="s">
        <v>91</v>
      </c>
      <c r="AA47" s="25">
        <v>5611</v>
      </c>
    </row>
    <row r="48" spans="2:28" x14ac:dyDescent="0.2">
      <c r="B48" s="24" t="s">
        <v>92</v>
      </c>
      <c r="AA48" s="25">
        <v>1787</v>
      </c>
    </row>
    <row r="49" spans="2:27" x14ac:dyDescent="0.2">
      <c r="B49" s="24" t="s">
        <v>93</v>
      </c>
      <c r="AA49" s="25">
        <v>3999</v>
      </c>
    </row>
    <row r="50" spans="2:27" x14ac:dyDescent="0.2">
      <c r="B50" s="24" t="s">
        <v>94</v>
      </c>
      <c r="AA50" s="25">
        <v>761</v>
      </c>
    </row>
    <row r="51" spans="2:27" x14ac:dyDescent="0.2">
      <c r="B51" s="24" t="s">
        <v>95</v>
      </c>
      <c r="AA51" s="25">
        <v>9999</v>
      </c>
    </row>
    <row r="52" spans="2:27" x14ac:dyDescent="0.2">
      <c r="B52" s="24" t="s">
        <v>96</v>
      </c>
      <c r="AA52" s="25">
        <v>4362</v>
      </c>
    </row>
    <row r="53" spans="2:27" x14ac:dyDescent="0.2">
      <c r="B53" s="24" t="s">
        <v>97</v>
      </c>
      <c r="AA53" s="25">
        <v>757</v>
      </c>
    </row>
    <row r="54" spans="2:27" x14ac:dyDescent="0.2">
      <c r="B54" s="24" t="s">
        <v>73</v>
      </c>
      <c r="AA54" s="25">
        <f>223+173+1712</f>
        <v>2108</v>
      </c>
    </row>
    <row r="55" spans="2:27" x14ac:dyDescent="0.2">
      <c r="B55" s="26" t="s">
        <v>106</v>
      </c>
      <c r="AA55" s="27">
        <f>SUM(AA46:AA54)</f>
        <v>32348</v>
      </c>
    </row>
    <row r="56" spans="2:27" s="26" customFormat="1" x14ac:dyDescent="0.2">
      <c r="AA56" s="27"/>
    </row>
    <row r="57" spans="2:27" x14ac:dyDescent="0.2">
      <c r="AA57" s="25"/>
    </row>
    <row r="58" spans="2:27" x14ac:dyDescent="0.2">
      <c r="B58" s="24" t="s">
        <v>98</v>
      </c>
      <c r="AA58" s="25">
        <v>599</v>
      </c>
    </row>
    <row r="59" spans="2:27" x14ac:dyDescent="0.2">
      <c r="B59" s="24" t="s">
        <v>99</v>
      </c>
      <c r="AA59" s="25">
        <v>802</v>
      </c>
    </row>
    <row r="60" spans="2:27" x14ac:dyDescent="0.2">
      <c r="B60" s="24" t="s">
        <v>100</v>
      </c>
      <c r="AA60" s="25">
        <v>836</v>
      </c>
    </row>
    <row r="61" spans="2:27" x14ac:dyDescent="0.2">
      <c r="B61" s="24" t="s">
        <v>101</v>
      </c>
      <c r="AA61" s="25">
        <v>172</v>
      </c>
    </row>
    <row r="62" spans="2:27" x14ac:dyDescent="0.2">
      <c r="B62" s="24" t="s">
        <v>102</v>
      </c>
      <c r="AA62" s="25">
        <v>911</v>
      </c>
    </row>
    <row r="63" spans="2:27" x14ac:dyDescent="0.2">
      <c r="B63" s="24" t="s">
        <v>103</v>
      </c>
      <c r="AA63" s="25">
        <v>10624</v>
      </c>
    </row>
    <row r="64" spans="2:27" x14ac:dyDescent="0.2">
      <c r="B64" s="24" t="s">
        <v>104</v>
      </c>
      <c r="AA64" s="25">
        <v>63</v>
      </c>
    </row>
    <row r="65" spans="2:27" x14ac:dyDescent="0.2">
      <c r="B65" s="24" t="s">
        <v>73</v>
      </c>
      <c r="AA65" s="25">
        <f>1336+108</f>
        <v>1444</v>
      </c>
    </row>
    <row r="66" spans="2:27" s="26" customFormat="1" x14ac:dyDescent="0.2">
      <c r="B66" s="26" t="s">
        <v>105</v>
      </c>
      <c r="AA66" s="27">
        <f>SUM(AA58:AA65)</f>
        <v>15451</v>
      </c>
    </row>
    <row r="67" spans="2:27" x14ac:dyDescent="0.2">
      <c r="AA67" s="25"/>
    </row>
    <row r="68" spans="2:27" x14ac:dyDescent="0.2">
      <c r="B68" s="24" t="s">
        <v>107</v>
      </c>
      <c r="AA68" s="25">
        <f>1741+3362</f>
        <v>5103</v>
      </c>
    </row>
    <row r="69" spans="2:27" x14ac:dyDescent="0.2">
      <c r="B69" s="24" t="s">
        <v>108</v>
      </c>
      <c r="AA69" s="25">
        <v>52283</v>
      </c>
    </row>
    <row r="70" spans="2:27" x14ac:dyDescent="0.2">
      <c r="B70" s="24" t="s">
        <v>109</v>
      </c>
      <c r="AA70" s="25">
        <v>-40284</v>
      </c>
    </row>
    <row r="71" spans="2:27" x14ac:dyDescent="0.2">
      <c r="B71" s="24" t="s">
        <v>110</v>
      </c>
      <c r="AA71" s="25">
        <v>-205</v>
      </c>
    </row>
    <row r="72" spans="2:27" s="26" customFormat="1" x14ac:dyDescent="0.2">
      <c r="B72" s="26" t="s">
        <v>111</v>
      </c>
      <c r="AA72" s="27">
        <f>SUM(AA68:AA71)</f>
        <v>16897</v>
      </c>
    </row>
    <row r="73" spans="2:27" s="26" customFormat="1" x14ac:dyDescent="0.2">
      <c r="B73" s="26" t="s">
        <v>112</v>
      </c>
      <c r="AA73" s="27">
        <f>AA72+AA66</f>
        <v>32348</v>
      </c>
    </row>
  </sheetData>
  <hyperlinks>
    <hyperlink ref="A1" r:id="rId1" xr:uid="{9BA16F4B-6E6A-4115-8609-1789C1EFAA6D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B74D-58AA-4EAC-9EF1-B150098DC63F}">
  <dimension ref="B2"/>
  <sheetViews>
    <sheetView workbookViewId="0">
      <selection activeCell="E51" sqref="E51"/>
    </sheetView>
  </sheetViews>
  <sheetFormatPr defaultRowHeight="15" x14ac:dyDescent="0.25"/>
  <sheetData>
    <row r="2" spans="2:2" x14ac:dyDescent="0.25">
      <c r="B2" t="s">
        <v>149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9113-E5EC-4037-B6F9-55F201A704D5}">
  <dimension ref="B3"/>
  <sheetViews>
    <sheetView workbookViewId="0">
      <selection activeCell="B3" sqref="B3"/>
    </sheetView>
  </sheetViews>
  <sheetFormatPr defaultRowHeight="15" x14ac:dyDescent="0.25"/>
  <sheetData>
    <row r="3" spans="2:2" x14ac:dyDescent="0.25">
      <c r="B3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Mix</vt:lpstr>
      <vt:lpstr>Press releases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2024-11-27T17:18:08Z</dcterms:created>
  <dcterms:modified xsi:type="dcterms:W3CDTF">2025-01-30T12:54:22Z</dcterms:modified>
</cp:coreProperties>
</file>