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6590768E-B740-4745-BC4B-894B65533831}" xr6:coauthVersionLast="47" xr6:coauthVersionMax="47" xr10:uidLastSave="{00000000-0000-0000-0000-000000000000}"/>
  <bookViews>
    <workbookView xWindow="-120" yWindow="-120" windowWidth="29040" windowHeight="15720" activeTab="1" xr2:uid="{72E375EC-A7A1-4EB1-B990-5ECBBC0BBD02}"/>
  </bookViews>
  <sheets>
    <sheet name="Notes" sheetId="1" r:id="rId1"/>
    <sheet name="Model" sheetId="2" r:id="rId2"/>
    <sheet name="P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2" i="2" l="1"/>
  <c r="AK12" i="2"/>
  <c r="AJ12" i="2"/>
  <c r="AI12" i="2"/>
  <c r="AH12" i="2"/>
  <c r="AG12" i="2"/>
  <c r="V18" i="2"/>
  <c r="U18" i="2"/>
  <c r="T18" i="2"/>
  <c r="S18" i="2"/>
  <c r="R18" i="2"/>
  <c r="P18" i="2"/>
  <c r="O18" i="2"/>
  <c r="N18" i="2"/>
  <c r="M18" i="2"/>
  <c r="Q18" i="2"/>
  <c r="Q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Q5" i="2"/>
  <c r="Q7" i="2" s="1"/>
  <c r="I16" i="1"/>
  <c r="I15" i="1"/>
  <c r="I14" i="1"/>
  <c r="AL16" i="2"/>
  <c r="AL14" i="2"/>
  <c r="AL11" i="2"/>
  <c r="AL10" i="2"/>
  <c r="AL9" i="2"/>
  <c r="AL8" i="2"/>
  <c r="AL6" i="2"/>
  <c r="AK6" i="2"/>
  <c r="AK16" i="2"/>
  <c r="AK14" i="2"/>
  <c r="AK13" i="2"/>
  <c r="AK11" i="2"/>
  <c r="AK10" i="2"/>
  <c r="AK9" i="2"/>
  <c r="AK8" i="2"/>
  <c r="AK5" i="2"/>
  <c r="AK7" i="2" s="1"/>
  <c r="U6" i="2"/>
  <c r="V6" i="2" s="1"/>
  <c r="U3" i="2"/>
  <c r="U5" i="2" s="1"/>
  <c r="V8" i="2"/>
  <c r="U8" i="2"/>
  <c r="AJ16" i="2"/>
  <c r="AJ14" i="2"/>
  <c r="AJ11" i="2"/>
  <c r="AJ10" i="2"/>
  <c r="AJ9" i="2"/>
  <c r="AI16" i="2"/>
  <c r="AI14" i="2"/>
  <c r="AI13" i="2"/>
  <c r="AI11" i="2"/>
  <c r="AI10" i="2"/>
  <c r="AI9" i="2"/>
  <c r="AI8" i="2"/>
  <c r="AI6" i="2"/>
  <c r="AH8" i="2"/>
  <c r="AH16" i="2"/>
  <c r="AH14" i="2"/>
  <c r="AH13" i="2"/>
  <c r="AH11" i="2"/>
  <c r="AH10" i="2"/>
  <c r="AH9" i="2"/>
  <c r="AH6" i="2"/>
  <c r="AG16" i="2"/>
  <c r="AG14" i="2"/>
  <c r="AG11" i="2"/>
  <c r="AG10" i="2"/>
  <c r="AG9" i="2"/>
  <c r="AG8" i="2"/>
  <c r="AG6" i="2"/>
  <c r="S15" i="2"/>
  <c r="S17" i="2" s="1"/>
  <c r="R15" i="2"/>
  <c r="Q15" i="2"/>
  <c r="Q17" i="2" s="1"/>
  <c r="P15" i="2"/>
  <c r="O15" i="2"/>
  <c r="O17" i="2" s="1"/>
  <c r="N15" i="2"/>
  <c r="N17" i="2" s="1"/>
  <c r="M15" i="2"/>
  <c r="M17" i="2" s="1"/>
  <c r="L15" i="2"/>
  <c r="L17" i="2" s="1"/>
  <c r="K15" i="2"/>
  <c r="AH15" i="2" s="1"/>
  <c r="J15" i="2"/>
  <c r="I15" i="2"/>
  <c r="H15" i="2"/>
  <c r="G7" i="2"/>
  <c r="V4" i="2"/>
  <c r="AI25" i="2"/>
  <c r="AI36" i="2" s="1"/>
  <c r="AH25" i="2"/>
  <c r="AH36" i="2" s="1"/>
  <c r="AG25" i="2"/>
  <c r="AG36" i="2" s="1"/>
  <c r="AF49" i="2"/>
  <c r="AF51" i="2" s="1"/>
  <c r="AF25" i="2"/>
  <c r="AF36" i="2" s="1"/>
  <c r="T23" i="2"/>
  <c r="R23" i="2"/>
  <c r="K23" i="2"/>
  <c r="S5" i="2"/>
  <c r="S23" i="2" s="1"/>
  <c r="I7" i="2"/>
  <c r="I23" i="2" s="1"/>
  <c r="M5" i="2"/>
  <c r="M7" i="2" s="1"/>
  <c r="M23" i="2" s="1"/>
  <c r="J5" i="2"/>
  <c r="J7" i="2" s="1"/>
  <c r="J23" i="2" s="1"/>
  <c r="J17" i="2"/>
  <c r="P17" i="2"/>
  <c r="P5" i="2"/>
  <c r="P7" i="2" s="1"/>
  <c r="P23" i="2" s="1"/>
  <c r="I17" i="2"/>
  <c r="O5" i="2"/>
  <c r="O7" i="2" s="1"/>
  <c r="O23" i="2" s="1"/>
  <c r="H17" i="2"/>
  <c r="H7" i="2"/>
  <c r="H23" i="2" s="1"/>
  <c r="L5" i="2"/>
  <c r="L7" i="2" s="1"/>
  <c r="L23" i="2" s="1"/>
  <c r="N5" i="2"/>
  <c r="N7" i="2" s="1"/>
  <c r="N23" i="2" s="1"/>
  <c r="I13" i="1"/>
  <c r="V3" i="2" l="1"/>
  <c r="AH17" i="2"/>
  <c r="AI5" i="2"/>
  <c r="AI7" i="2" s="1"/>
  <c r="AI15" i="2"/>
  <c r="AI17" i="2"/>
  <c r="AH5" i="2"/>
  <c r="AH7" i="2" s="1"/>
  <c r="V5" i="2"/>
  <c r="V22" i="2" s="1"/>
  <c r="AG5" i="2"/>
  <c r="AG7" i="2" s="1"/>
  <c r="AJ8" i="2"/>
  <c r="G13" i="2"/>
  <c r="O22" i="2"/>
  <c r="M22" i="2"/>
  <c r="N22" i="2"/>
  <c r="L22" i="2"/>
  <c r="T22" i="2"/>
  <c r="S22" i="2"/>
  <c r="R22" i="2"/>
  <c r="P22" i="2"/>
  <c r="AJ5" i="2" l="1"/>
  <c r="V7" i="2"/>
  <c r="G15" i="2"/>
  <c r="AG13" i="2"/>
  <c r="V13" i="2"/>
  <c r="G17" i="2" l="1"/>
  <c r="AG17" i="2" s="1"/>
  <c r="AG15" i="2"/>
  <c r="V15" i="2"/>
  <c r="V17" i="2" l="1"/>
  <c r="AK15" i="2" l="1"/>
  <c r="AK17" i="2" s="1"/>
  <c r="AL5" i="2" l="1"/>
  <c r="AL7" i="2" l="1"/>
  <c r="AL13" i="2" l="1"/>
  <c r="AL15" i="2"/>
  <c r="AL17" i="2" s="1"/>
  <c r="AJ6" i="2"/>
  <c r="AJ7" i="2" s="1"/>
  <c r="U7" i="2"/>
  <c r="U13" i="2" s="1"/>
  <c r="AJ13" i="2" l="1"/>
  <c r="U15" i="2"/>
  <c r="AJ15" i="2" l="1"/>
  <c r="AJ17" i="2" s="1"/>
  <c r="U17" i="2"/>
  <c r="Q23" i="2"/>
  <c r="U22" i="2" l="1"/>
  <c r="Q22" i="2"/>
</calcChain>
</file>

<file path=xl/sharedStrings.xml><?xml version="1.0" encoding="utf-8"?>
<sst xmlns="http://schemas.openxmlformats.org/spreadsheetml/2006/main" count="117" uniqueCount="113">
  <si>
    <t>Price</t>
  </si>
  <si>
    <t>MC</t>
  </si>
  <si>
    <t>Cash</t>
  </si>
  <si>
    <t>Debt</t>
  </si>
  <si>
    <t>EV</t>
  </si>
  <si>
    <t>Shares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</si>
  <si>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</si>
  <si>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</si>
  <si>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</si>
  <si>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</si>
  <si>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</si>
  <si>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</si>
  <si>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</si>
  <si>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</si>
  <si>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</si>
  <si>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</si>
  <si>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</si>
  <si>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</si>
  <si>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TTWO</t>
  </si>
  <si>
    <t>Products:</t>
  </si>
  <si>
    <t>Game</t>
  </si>
  <si>
    <t>Advertising</t>
  </si>
  <si>
    <t>Rockstar Games</t>
  </si>
  <si>
    <t>2K</t>
  </si>
  <si>
    <t>Zynga</t>
  </si>
  <si>
    <t>Revenue share:</t>
  </si>
  <si>
    <t>Total Revenue</t>
  </si>
  <si>
    <t>Cost of revenue</t>
  </si>
  <si>
    <t>Gross Profit</t>
  </si>
  <si>
    <t>R&amp;D</t>
  </si>
  <si>
    <t>G&amp;A</t>
  </si>
  <si>
    <t>D&amp;A</t>
  </si>
  <si>
    <t>Goodwill</t>
  </si>
  <si>
    <t>Interest and other</t>
  </si>
  <si>
    <t>Taxes</t>
  </si>
  <si>
    <t>Q124</t>
  </si>
  <si>
    <t>Q224</t>
  </si>
  <si>
    <t>Q324</t>
  </si>
  <si>
    <t>Q424</t>
  </si>
  <si>
    <t>Net income</t>
  </si>
  <si>
    <t>S&amp;M</t>
  </si>
  <si>
    <t>Q125</t>
  </si>
  <si>
    <t>Q225</t>
  </si>
  <si>
    <t>Q325</t>
  </si>
  <si>
    <t>Q425</t>
  </si>
  <si>
    <t>Revenue Y/Y</t>
  </si>
  <si>
    <t>Gross Margin</t>
  </si>
  <si>
    <t>Accounts Receivable</t>
  </si>
  <si>
    <t>Inventory</t>
  </si>
  <si>
    <t>Prepaid expenses</t>
  </si>
  <si>
    <t>PP&amp;E</t>
  </si>
  <si>
    <t>Long-term investments</t>
  </si>
  <si>
    <t>Intangible assets</t>
  </si>
  <si>
    <t>Other long-term assets</t>
  </si>
  <si>
    <t>Accounts Payable</t>
  </si>
  <si>
    <t>Accrued Expenses</t>
  </si>
  <si>
    <t>Short-Term Debt</t>
  </si>
  <si>
    <t>Leases</t>
  </si>
  <si>
    <t>Income taxes payable</t>
  </si>
  <si>
    <t>Unearned revenue</t>
  </si>
  <si>
    <t>Long-term debt</t>
  </si>
  <si>
    <t>Long-term leases</t>
  </si>
  <si>
    <t>Long-term unearned revenue</t>
  </si>
  <si>
    <t>Other receivables</t>
  </si>
  <si>
    <t>Long term Deferred Tax Assets</t>
  </si>
  <si>
    <t>Total:</t>
  </si>
  <si>
    <t>Other current liabilities</t>
  </si>
  <si>
    <t>Total liabilities</t>
  </si>
  <si>
    <t>Other long term liabilities</t>
  </si>
  <si>
    <t>Q126</t>
  </si>
  <si>
    <t>Q227</t>
  </si>
  <si>
    <t>Q326</t>
  </si>
  <si>
    <t>Q226</t>
  </si>
  <si>
    <t>Q426</t>
  </si>
  <si>
    <t>Q127</t>
  </si>
  <si>
    <t>Q327</t>
  </si>
  <si>
    <t>Q427</t>
  </si>
  <si>
    <t>CEO Strauss Zelnick</t>
  </si>
  <si>
    <t xml:space="preserve"> Founded 1993</t>
  </si>
  <si>
    <t>Before GTA releases it has volatile price movements if something goes bad.</t>
  </si>
  <si>
    <t>Future releases:</t>
  </si>
  <si>
    <t>GTA6</t>
  </si>
  <si>
    <t>CIV7</t>
  </si>
  <si>
    <t>Former Chariman of CBS</t>
  </si>
  <si>
    <t>Private Division</t>
  </si>
  <si>
    <t>Fall 2025</t>
  </si>
  <si>
    <t>Employees:</t>
  </si>
  <si>
    <t>Game Developments - 9639</t>
  </si>
  <si>
    <t>Grand Theft Auto</t>
  </si>
  <si>
    <t>LA Noire</t>
  </si>
  <si>
    <t>Max Payne</t>
  </si>
  <si>
    <t>Midnight Club</t>
  </si>
  <si>
    <t>Read Dead Redemption</t>
  </si>
  <si>
    <t>Grand Theft Auto Series sold 420 million copies worldwide</t>
  </si>
  <si>
    <t>Read Dead Redemption 2 sold 60 million units worldwide</t>
  </si>
  <si>
    <t>Very many mobile games</t>
  </si>
  <si>
    <t>GTA, RDR2</t>
  </si>
  <si>
    <t>Kerbal Space Program, OlliOlli World</t>
  </si>
  <si>
    <t>NBA, WWE</t>
  </si>
  <si>
    <t>Acquired GearBox March 27, 2024</t>
  </si>
  <si>
    <t>Take Two is a leading developer, publisher and marketer of video games.</t>
  </si>
  <si>
    <t>GearBox</t>
  </si>
  <si>
    <t>Borderlands series</t>
  </si>
  <si>
    <t>Feb-11+</t>
  </si>
  <si>
    <t>Almost always buggy when released</t>
  </si>
  <si>
    <t>Main</t>
  </si>
  <si>
    <t>OpEx</t>
  </si>
  <si>
    <t>OpInc</t>
  </si>
  <si>
    <t>Pretax</t>
  </si>
  <si>
    <t>EPS</t>
  </si>
  <si>
    <r>
      <t>“For Fiscal 2025, we are reiterating our Net Bookings guidance range of $5.55 to $5.65 billion and our outlook for operating performance. Our projections for the fourth quarter balance strength in </t>
    </r>
    <r>
      <rPr>
        <i/>
        <sz val="10"/>
        <color rgb="FF000000"/>
        <rFont val="Arial"/>
        <family val="2"/>
        <charset val="186"/>
      </rPr>
      <t>NBA 2K</t>
    </r>
    <r>
      <rPr>
        <sz val="10"/>
        <color rgb="FF000000"/>
        <rFont val="Arial"/>
        <family val="2"/>
        <charset val="186"/>
      </rPr>
      <t> with a continuation of the current mobile trends, and the shift of some operating expenses into the period.”</t>
    </r>
  </si>
  <si>
    <t>S/E</t>
  </si>
  <si>
    <t>L + 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</si>
</sst>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b/>
      <u/>
      <sz val="10"/>
      <color theme="1"/>
      <name val="Arial"/>
      <family val="2"/>
      <charset val="186"/>
    </font>
    <font>
      <u/>
      <sz val="10"/>
      <color theme="10"/>
      <name val="Arial"/>
      <family val="2"/>
      <charset val="186"/>
    </font>
    <font>
      <sz val="10"/>
      <color rgb="FF000000"/>
      <name val="Arial"/>
      <family val="2"/>
      <charset val="186"/>
    </font>
    <font>
      <i/>
      <sz val="10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Alignment="1">
      <alignment horizontal="right"/>
    </xf>
    <xf numFmtId="0" fontId="3" fillId="0" borderId="0" xfId="0" applyFont="1" applyFill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9" fontId="2" fillId="0" borderId="0" xfId="0" applyNumberFormat="1" applyFont="1"/>
    <xf numFmtId="0" fontId="5" fillId="0" borderId="0" xfId="1" applyFont="1"/>
    <xf numFmtId="1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Border="1"/>
    <xf numFmtId="8" fontId="2" fillId="0" borderId="0" xfId="0" applyNumberFormat="1" applyFont="1"/>
    <xf numFmtId="6" fontId="2" fillId="0" borderId="0" xfId="0" applyNumberFormat="1" applyFont="1"/>
    <xf numFmtId="8" fontId="3" fillId="0" borderId="0" xfId="0" applyNumberFormat="1" applyFont="1"/>
    <xf numFmtId="9" fontId="3" fillId="0" borderId="0" xfId="0" applyNumberFormat="1" applyFont="1"/>
    <xf numFmtId="0" fontId="3" fillId="0" borderId="0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17052</xdr:colOff>
      <xdr:row>0</xdr:row>
      <xdr:rowOff>16565</xdr:rowOff>
    </xdr:from>
    <xdr:to>
      <xdr:col>20</xdr:col>
      <xdr:colOff>17052</xdr:colOff>
      <xdr:row>36</xdr:row>
      <xdr:rowOff>121340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A2FD7F-E732-1411-6A0E-2E45927812D6}"/>
            </a:ext>
          </a:extLst>
        </xdr:cNvPr>
        <xdr:cNvCxnSpPr/>
      </xdr:nvCxnSpPr>
      <xdr:spPr>
        <a:xfrm>
          <a:off x="14760095" y="16565"/>
          <a:ext cx="0" cy="63995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8283</xdr:colOff>
      <xdr:row>0</xdr:row>
      <xdr:rowOff>24848</xdr:rowOff>
    </xdr:from>
    <xdr:to>
      <xdr:col>35</xdr:col>
      <xdr:colOff>24848</xdr:colOff>
      <xdr:row>29</xdr:row>
      <xdr:rowOff>132522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7133E4E-8413-374A-91E9-1C962C443940}"/>
            </a:ext>
          </a:extLst>
        </xdr:cNvPr>
        <xdr:cNvCxnSpPr/>
      </xdr:nvCxnSpPr>
      <xdr:spPr>
        <a:xfrm>
          <a:off x="24193500" y="24848"/>
          <a:ext cx="16565" cy="52428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Stock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59D1-5C9C-4FC0-822C-21DD23B47162}">
  <sheetPr codeName="Sheet1"/>
  <dimension ref="A1:K34"/>
  <sheetViews>
    <sheetView topLeftCell="A13" workbookViewId="0">
      <selection activeCell="B20" sqref="B20"/>
    </sheetView>
  </sheetViews>
  <sheetFormatPr defaultRowHeight="12.75" x14ac:dyDescent="0.2"/>
  <cols>
    <col min="1" max="1" width="6.140625" style="1" bestFit="1" customWidth="1"/>
    <col min="2" max="2" width="43.28515625" style="1" bestFit="1" customWidth="1"/>
    <col min="3" max="7" width="9.140625" style="1"/>
    <col min="8" max="8" width="11" style="1" bestFit="1" customWidth="1"/>
    <col min="9" max="9" width="13.85546875" style="1" bestFit="1" customWidth="1"/>
    <col min="10" max="16384" width="9.140625" style="1"/>
  </cols>
  <sheetData>
    <row r="1" spans="1:11" x14ac:dyDescent="0.2">
      <c r="A1" s="1" t="s">
        <v>18</v>
      </c>
    </row>
    <row r="2" spans="1:11" x14ac:dyDescent="0.2">
      <c r="B2" s="2" t="s">
        <v>19</v>
      </c>
      <c r="K2" s="3"/>
    </row>
    <row r="3" spans="1:11" x14ac:dyDescent="0.2">
      <c r="B3" s="1" t="s">
        <v>22</v>
      </c>
      <c r="C3" s="1" t="s">
        <v>96</v>
      </c>
      <c r="D3" s="2"/>
    </row>
    <row r="4" spans="1:11" x14ac:dyDescent="0.2">
      <c r="B4" s="1" t="s">
        <v>23</v>
      </c>
      <c r="C4" s="1" t="s">
        <v>98</v>
      </c>
    </row>
    <row r="5" spans="1:11" x14ac:dyDescent="0.2">
      <c r="B5" s="1" t="s">
        <v>84</v>
      </c>
      <c r="C5" s="1" t="s">
        <v>97</v>
      </c>
      <c r="I5" s="4"/>
    </row>
    <row r="6" spans="1:11" x14ac:dyDescent="0.2">
      <c r="B6" s="1" t="s">
        <v>101</v>
      </c>
      <c r="C6" s="1" t="s">
        <v>102</v>
      </c>
      <c r="I6" s="4"/>
    </row>
    <row r="7" spans="1:11" x14ac:dyDescent="0.2">
      <c r="B7" s="1" t="s">
        <v>24</v>
      </c>
      <c r="C7" s="1" t="s">
        <v>95</v>
      </c>
      <c r="I7" s="4"/>
    </row>
    <row r="8" spans="1:11" x14ac:dyDescent="0.2">
      <c r="B8" s="1" t="s">
        <v>89</v>
      </c>
      <c r="I8" s="4"/>
    </row>
    <row r="9" spans="1:11" x14ac:dyDescent="0.2">
      <c r="B9" s="1" t="s">
        <v>90</v>
      </c>
      <c r="I9" s="4"/>
    </row>
    <row r="10" spans="1:11" x14ac:dyDescent="0.2">
      <c r="B10" s="1" t="s">
        <v>91</v>
      </c>
      <c r="I10" s="4"/>
    </row>
    <row r="11" spans="1:11" x14ac:dyDescent="0.2">
      <c r="B11" s="1" t="s">
        <v>92</v>
      </c>
      <c r="H11" s="1" t="s">
        <v>0</v>
      </c>
      <c r="I11" s="4">
        <v>195</v>
      </c>
    </row>
    <row r="12" spans="1:11" x14ac:dyDescent="0.2">
      <c r="B12" s="1" t="s">
        <v>88</v>
      </c>
      <c r="H12" s="1" t="s">
        <v>5</v>
      </c>
      <c r="I12" s="5">
        <v>175</v>
      </c>
    </row>
    <row r="13" spans="1:11" x14ac:dyDescent="0.2">
      <c r="B13" s="2" t="s">
        <v>80</v>
      </c>
      <c r="H13" s="1" t="s">
        <v>1</v>
      </c>
      <c r="I13" s="5">
        <f>I12*I11</f>
        <v>34125</v>
      </c>
    </row>
    <row r="14" spans="1:11" x14ac:dyDescent="0.2">
      <c r="B14" s="1" t="s">
        <v>81</v>
      </c>
      <c r="C14" s="6" t="s">
        <v>85</v>
      </c>
      <c r="H14" s="1" t="s">
        <v>2</v>
      </c>
      <c r="I14" s="5">
        <f>1206.8+3.3+14.9</f>
        <v>1225</v>
      </c>
    </row>
    <row r="15" spans="1:11" x14ac:dyDescent="0.2">
      <c r="B15" s="1" t="s">
        <v>82</v>
      </c>
      <c r="C15" s="7" t="s">
        <v>103</v>
      </c>
      <c r="D15" s="1" t="s">
        <v>104</v>
      </c>
      <c r="H15" s="1" t="s">
        <v>3</v>
      </c>
      <c r="I15" s="5">
        <f>599.6+3058.3</f>
        <v>3657.9</v>
      </c>
    </row>
    <row r="16" spans="1:11" s="8" customFormat="1" x14ac:dyDescent="0.2">
      <c r="H16" s="2" t="s">
        <v>4</v>
      </c>
      <c r="I16" s="9">
        <f>+I13-I14+I15</f>
        <v>36557.9</v>
      </c>
    </row>
    <row r="17" spans="2:9" x14ac:dyDescent="0.2">
      <c r="B17" s="10" t="s">
        <v>99</v>
      </c>
      <c r="I17" s="5"/>
    </row>
    <row r="18" spans="2:9" s="8" customFormat="1" x14ac:dyDescent="0.2">
      <c r="H18" s="8" t="s">
        <v>86</v>
      </c>
      <c r="I18" s="11"/>
    </row>
    <row r="19" spans="2:9" ht="17.25" customHeight="1" x14ac:dyDescent="0.2">
      <c r="H19" s="12" t="s">
        <v>87</v>
      </c>
    </row>
    <row r="23" spans="2:9" x14ac:dyDescent="0.2">
      <c r="B23" s="2" t="s">
        <v>77</v>
      </c>
    </row>
    <row r="24" spans="2:9" x14ac:dyDescent="0.2">
      <c r="B24" s="1" t="s">
        <v>78</v>
      </c>
      <c r="C24" s="1" t="s">
        <v>83</v>
      </c>
    </row>
    <row r="25" spans="2:9" x14ac:dyDescent="0.2">
      <c r="B25" s="2" t="s">
        <v>25</v>
      </c>
    </row>
    <row r="26" spans="2:9" x14ac:dyDescent="0.2">
      <c r="B26" s="1" t="s">
        <v>20</v>
      </c>
      <c r="C26" s="13">
        <v>0.9</v>
      </c>
    </row>
    <row r="27" spans="2:9" x14ac:dyDescent="0.2">
      <c r="B27" s="1" t="s">
        <v>21</v>
      </c>
      <c r="C27" s="13">
        <v>0.1</v>
      </c>
    </row>
    <row r="29" spans="2:9" x14ac:dyDescent="0.2">
      <c r="B29" s="1" t="s">
        <v>100</v>
      </c>
    </row>
    <row r="31" spans="2:9" x14ac:dyDescent="0.2">
      <c r="B31" s="1" t="s">
        <v>79</v>
      </c>
    </row>
    <row r="33" spans="2:2" x14ac:dyDescent="0.2">
      <c r="B33" s="1" t="s">
        <v>93</v>
      </c>
    </row>
    <row r="34" spans="2:2" x14ac:dyDescent="0.2">
      <c r="B34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5FD-B2CE-40F3-9CBA-5B051E2FF6AD}">
  <sheetPr codeName="Sheet2"/>
  <dimension ref="A1:AY51"/>
  <sheetViews>
    <sheetView tabSelected="1" zoomScaleNormal="100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B52" sqref="B52"/>
    </sheetView>
  </sheetViews>
  <sheetFormatPr defaultRowHeight="12.75" x14ac:dyDescent="0.2"/>
  <cols>
    <col min="1" max="1" width="5" style="1" bestFit="1" customWidth="1"/>
    <col min="2" max="2" width="27.28515625" style="1" bestFit="1" customWidth="1"/>
    <col min="3" max="6" width="9.140625" style="1"/>
    <col min="7" max="7" width="10.140625" style="1" bestFit="1" customWidth="1"/>
    <col min="8" max="8" width="10.28515625" style="1" bestFit="1" customWidth="1"/>
    <col min="9" max="9" width="11.28515625" style="1" bestFit="1" customWidth="1"/>
    <col min="10" max="12" width="10.140625" style="1" bestFit="1" customWidth="1"/>
    <col min="13" max="13" width="11.28515625" style="1" bestFit="1" customWidth="1"/>
    <col min="14" max="16" width="10.140625" style="1" bestFit="1" customWidth="1"/>
    <col min="17" max="17" width="11.28515625" style="1" bestFit="1" customWidth="1"/>
    <col min="18" max="20" width="10.140625" style="1" bestFit="1" customWidth="1"/>
    <col min="21" max="21" width="11.28515625" style="1" bestFit="1" customWidth="1"/>
    <col min="22" max="22" width="9.28515625" style="1" bestFit="1" customWidth="1"/>
    <col min="23" max="23" width="9.28515625" style="1" customWidth="1"/>
    <col min="24" max="29" width="9.28515625" style="1" bestFit="1" customWidth="1"/>
    <col min="30" max="30" width="9.28515625" style="8" bestFit="1" customWidth="1"/>
    <col min="31" max="31" width="9.140625" style="1"/>
    <col min="32" max="101" width="9.28515625" style="1" bestFit="1" customWidth="1"/>
    <col min="102" max="16384" width="9.140625" style="1"/>
  </cols>
  <sheetData>
    <row r="1" spans="1:44" x14ac:dyDescent="0.2">
      <c r="A1" s="14" t="s">
        <v>105</v>
      </c>
      <c r="G1" s="15">
        <v>44377</v>
      </c>
      <c r="H1" s="15">
        <v>44469</v>
      </c>
      <c r="I1" s="15">
        <v>44561</v>
      </c>
      <c r="J1" s="15">
        <v>44651</v>
      </c>
      <c r="K1" s="15">
        <v>44742</v>
      </c>
      <c r="L1" s="15">
        <v>44834</v>
      </c>
      <c r="M1" s="15">
        <v>45291</v>
      </c>
      <c r="N1" s="15">
        <v>45016</v>
      </c>
      <c r="O1" s="15">
        <v>45107</v>
      </c>
      <c r="P1" s="15">
        <v>45199</v>
      </c>
      <c r="Q1" s="15">
        <v>45291</v>
      </c>
      <c r="R1" s="15">
        <v>45382</v>
      </c>
      <c r="S1" s="15">
        <v>45473</v>
      </c>
      <c r="T1" s="15">
        <v>45565</v>
      </c>
      <c r="U1" s="15">
        <v>45657</v>
      </c>
    </row>
    <row r="2" spans="1:44" x14ac:dyDescent="0.2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69</v>
      </c>
      <c r="X2" s="1" t="s">
        <v>72</v>
      </c>
      <c r="Y2" s="1" t="s">
        <v>71</v>
      </c>
      <c r="Z2" s="1" t="s">
        <v>73</v>
      </c>
      <c r="AA2" s="1" t="s">
        <v>74</v>
      </c>
      <c r="AB2" s="1" t="s">
        <v>70</v>
      </c>
      <c r="AC2" s="1" t="s">
        <v>75</v>
      </c>
      <c r="AD2" s="1" t="s">
        <v>76</v>
      </c>
      <c r="AF2" s="1">
        <v>2021</v>
      </c>
      <c r="AG2" s="1">
        <v>2022</v>
      </c>
      <c r="AH2" s="1">
        <v>2023</v>
      </c>
      <c r="AI2" s="1">
        <v>2024</v>
      </c>
      <c r="AJ2" s="1">
        <v>2025</v>
      </c>
      <c r="AK2" s="1">
        <v>2026</v>
      </c>
      <c r="AL2" s="1">
        <v>2027</v>
      </c>
      <c r="AM2" s="1">
        <v>2028</v>
      </c>
      <c r="AN2" s="1">
        <v>2029</v>
      </c>
    </row>
    <row r="3" spans="1:44" x14ac:dyDescent="0.2">
      <c r="B3" s="1" t="s">
        <v>20</v>
      </c>
      <c r="G3" s="16"/>
      <c r="H3" s="17"/>
      <c r="I3" s="16"/>
      <c r="J3" s="16">
        <v>1019</v>
      </c>
      <c r="K3" s="16"/>
      <c r="L3" s="16">
        <v>1218</v>
      </c>
      <c r="M3" s="16">
        <v>1231</v>
      </c>
      <c r="N3" s="16">
        <v>1233</v>
      </c>
      <c r="O3" s="16">
        <v>1096</v>
      </c>
      <c r="P3" s="16">
        <v>1128</v>
      </c>
      <c r="Q3" s="16">
        <v>1243</v>
      </c>
      <c r="S3" s="16">
        <v>1216</v>
      </c>
      <c r="T3" s="16">
        <v>1216</v>
      </c>
      <c r="U3" s="16">
        <f>T3*1.2</f>
        <v>1459.2</v>
      </c>
      <c r="V3" s="16">
        <f>U3*1.1</f>
        <v>1605.1200000000001</v>
      </c>
      <c r="W3" s="16"/>
      <c r="X3" s="16"/>
      <c r="Y3" s="16"/>
      <c r="Z3" s="16"/>
      <c r="AA3" s="16"/>
      <c r="AB3" s="16"/>
      <c r="AC3" s="16"/>
      <c r="AD3" s="16"/>
    </row>
    <row r="4" spans="1:44" x14ac:dyDescent="0.2">
      <c r="B4" s="1" t="s">
        <v>21</v>
      </c>
      <c r="H4" s="17"/>
      <c r="J4" s="1">
        <v>83</v>
      </c>
      <c r="L4" s="1">
        <v>174</v>
      </c>
      <c r="M4" s="1">
        <v>176</v>
      </c>
      <c r="N4" s="1">
        <v>119</v>
      </c>
      <c r="O4" s="1">
        <v>188</v>
      </c>
      <c r="P4" s="1">
        <v>170</v>
      </c>
      <c r="Q4" s="16">
        <v>116.7</v>
      </c>
      <c r="S4" s="1">
        <v>121</v>
      </c>
      <c r="U4" s="16">
        <v>120</v>
      </c>
      <c r="V4" s="16">
        <f>U4*0.8</f>
        <v>96</v>
      </c>
      <c r="W4" s="16"/>
      <c r="X4" s="16"/>
      <c r="Y4" s="16"/>
      <c r="Z4" s="16"/>
      <c r="AA4" s="16"/>
      <c r="AB4" s="16"/>
      <c r="AC4" s="16"/>
      <c r="AD4" s="16"/>
    </row>
    <row r="5" spans="1:44" s="2" customFormat="1" x14ac:dyDescent="0.2">
      <c r="B5" s="2" t="s">
        <v>26</v>
      </c>
      <c r="G5" s="18">
        <v>813</v>
      </c>
      <c r="H5" s="18">
        <v>858</v>
      </c>
      <c r="I5" s="18">
        <v>903</v>
      </c>
      <c r="J5" s="18">
        <f t="shared" ref="J5:P5" si="0">J3+J4</f>
        <v>1102</v>
      </c>
      <c r="K5" s="18">
        <v>1102</v>
      </c>
      <c r="L5" s="18">
        <f t="shared" si="0"/>
        <v>1392</v>
      </c>
      <c r="M5" s="18">
        <f>M3+M4</f>
        <v>1407</v>
      </c>
      <c r="N5" s="18">
        <f t="shared" si="0"/>
        <v>1352</v>
      </c>
      <c r="O5" s="18">
        <f t="shared" si="0"/>
        <v>1284</v>
      </c>
      <c r="P5" s="18">
        <f t="shared" si="0"/>
        <v>1298</v>
      </c>
      <c r="Q5" s="18">
        <f>+Q3+Q4</f>
        <v>1359.7</v>
      </c>
      <c r="R5" s="18">
        <v>1299</v>
      </c>
      <c r="S5" s="18">
        <f t="shared" ref="S5" si="1">S3+S4</f>
        <v>1337</v>
      </c>
      <c r="T5" s="18">
        <v>1353</v>
      </c>
      <c r="U5" s="18">
        <f t="shared" ref="U5" si="2">U3+U4</f>
        <v>1579.2</v>
      </c>
      <c r="V5" s="18">
        <f>V3+V4</f>
        <v>1701.1200000000001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>
        <f>SUM(G5:J5)</f>
        <v>3676</v>
      </c>
      <c r="AH5" s="18">
        <f>SUM(K5:N5)</f>
        <v>5253</v>
      </c>
      <c r="AI5" s="18">
        <f>SUM(L5:O5)</f>
        <v>5435</v>
      </c>
      <c r="AJ5" s="18">
        <f>SUM(S5:V5)</f>
        <v>5970.32</v>
      </c>
      <c r="AK5" s="18">
        <f>SUM(W5:Z5)</f>
        <v>0</v>
      </c>
      <c r="AL5" s="18">
        <f>SUM(AA5:AD5)</f>
        <v>0</v>
      </c>
      <c r="AM5" s="18"/>
      <c r="AN5" s="18"/>
      <c r="AO5" s="18"/>
      <c r="AP5" s="18"/>
      <c r="AQ5" s="18"/>
      <c r="AR5" s="18"/>
    </row>
    <row r="6" spans="1:44" x14ac:dyDescent="0.2">
      <c r="B6" s="1" t="s">
        <v>27</v>
      </c>
      <c r="G6" s="16">
        <v>329</v>
      </c>
      <c r="H6" s="16">
        <v>456</v>
      </c>
      <c r="I6" s="16">
        <v>350</v>
      </c>
      <c r="J6" s="16">
        <v>435</v>
      </c>
      <c r="K6" s="16">
        <v>415</v>
      </c>
      <c r="L6" s="1">
        <v>713</v>
      </c>
      <c r="M6" s="1">
        <v>691</v>
      </c>
      <c r="N6" s="1">
        <v>625</v>
      </c>
      <c r="O6" s="1">
        <v>605</v>
      </c>
      <c r="P6" s="1">
        <v>883</v>
      </c>
      <c r="Q6" s="16">
        <v>599.9</v>
      </c>
      <c r="R6" s="16">
        <v>660</v>
      </c>
      <c r="S6" s="1">
        <v>567</v>
      </c>
      <c r="T6" s="16">
        <v>613</v>
      </c>
      <c r="U6" s="16">
        <f>T6*1.05</f>
        <v>643.65</v>
      </c>
      <c r="V6" s="16">
        <f t="shared" ref="V6" si="3">U6*1.05</f>
        <v>675.83249999999998</v>
      </c>
      <c r="W6" s="16"/>
      <c r="X6" s="16"/>
      <c r="Y6" s="16"/>
      <c r="Z6" s="16"/>
      <c r="AA6" s="16"/>
      <c r="AB6" s="16"/>
      <c r="AC6" s="16"/>
      <c r="AD6" s="16"/>
      <c r="AG6" s="16">
        <f t="shared" ref="AG6:AG11" si="4">SUM(G6:J6)</f>
        <v>1570</v>
      </c>
      <c r="AH6" s="16">
        <f t="shared" ref="AH6:AH11" si="5">SUM(K6:N6)</f>
        <v>2444</v>
      </c>
      <c r="AI6" s="16">
        <f>SUM(L6:O6)</f>
        <v>2634</v>
      </c>
      <c r="AJ6" s="16">
        <f>SUM(S6:V6)</f>
        <v>2499.4825000000001</v>
      </c>
      <c r="AK6" s="16">
        <f t="shared" ref="AK6:AK11" si="6">SUM(W6:Z6)</f>
        <v>0</v>
      </c>
      <c r="AL6" s="16">
        <f>SUM(AA6:AD6)</f>
        <v>0</v>
      </c>
    </row>
    <row r="7" spans="1:44" s="2" customFormat="1" x14ac:dyDescent="0.2">
      <c r="B7" s="2" t="s">
        <v>28</v>
      </c>
      <c r="G7" s="18">
        <f t="shared" ref="G7" si="7">G5-G6</f>
        <v>484</v>
      </c>
      <c r="H7" s="18">
        <f t="shared" ref="H7:M7" si="8">H5-H6</f>
        <v>402</v>
      </c>
      <c r="I7" s="18">
        <f>I5-I6</f>
        <v>553</v>
      </c>
      <c r="J7" s="18">
        <f t="shared" si="8"/>
        <v>667</v>
      </c>
      <c r="K7" s="2">
        <v>686</v>
      </c>
      <c r="L7" s="2">
        <f t="shared" si="8"/>
        <v>679</v>
      </c>
      <c r="M7" s="2">
        <f t="shared" si="8"/>
        <v>716</v>
      </c>
      <c r="N7" s="2">
        <f>N5-N6</f>
        <v>727</v>
      </c>
      <c r="O7" s="2">
        <f>O5-O6</f>
        <v>679</v>
      </c>
      <c r="P7" s="2">
        <f>P5-P6</f>
        <v>415</v>
      </c>
      <c r="Q7" s="18">
        <f>+Q5-Q6</f>
        <v>759.80000000000007</v>
      </c>
      <c r="R7" s="18">
        <v>638</v>
      </c>
      <c r="S7" s="2">
        <v>771</v>
      </c>
      <c r="T7" s="18">
        <v>739</v>
      </c>
      <c r="U7" s="18">
        <f>U5-U6</f>
        <v>935.55000000000007</v>
      </c>
      <c r="V7" s="18">
        <f t="shared" ref="V7" si="9">V5-V6</f>
        <v>1025.2875000000001</v>
      </c>
      <c r="W7" s="18"/>
      <c r="X7" s="18"/>
      <c r="Y7" s="18"/>
      <c r="Z7" s="18"/>
      <c r="AA7" s="18"/>
      <c r="AB7" s="18"/>
      <c r="AC7" s="18"/>
      <c r="AD7" s="18"/>
      <c r="AG7" s="18">
        <f>AG5-AG6</f>
        <v>2106</v>
      </c>
      <c r="AH7" s="18">
        <f t="shared" ref="AH7:AJ7" si="10">AH5-AH6</f>
        <v>2809</v>
      </c>
      <c r="AI7" s="18">
        <f t="shared" si="10"/>
        <v>2801</v>
      </c>
      <c r="AJ7" s="18">
        <f t="shared" si="10"/>
        <v>3470.8374999999996</v>
      </c>
      <c r="AK7" s="18">
        <f t="shared" ref="AK7" si="11">AK5-AK6</f>
        <v>0</v>
      </c>
      <c r="AL7" s="18">
        <f t="shared" ref="AL7" si="12">AL5-AL6</f>
        <v>0</v>
      </c>
    </row>
    <row r="8" spans="1:44" x14ac:dyDescent="0.2">
      <c r="B8" s="1" t="s">
        <v>40</v>
      </c>
      <c r="G8" s="16">
        <v>103.854</v>
      </c>
      <c r="H8" s="16">
        <v>136</v>
      </c>
      <c r="I8" s="16">
        <v>135</v>
      </c>
      <c r="J8" s="16">
        <v>272</v>
      </c>
      <c r="K8" s="16">
        <v>509</v>
      </c>
      <c r="L8" s="1">
        <v>444</v>
      </c>
      <c r="M8" s="1">
        <v>446</v>
      </c>
      <c r="N8" s="1">
        <v>461</v>
      </c>
      <c r="O8" s="1">
        <v>399</v>
      </c>
      <c r="P8" s="1">
        <v>334</v>
      </c>
      <c r="Q8" s="16">
        <v>388.9</v>
      </c>
      <c r="R8" s="16">
        <v>512</v>
      </c>
      <c r="S8" s="1">
        <v>431</v>
      </c>
      <c r="T8" s="16">
        <v>713</v>
      </c>
      <c r="U8" s="16">
        <f>T8*1.02</f>
        <v>727.26</v>
      </c>
      <c r="V8" s="16">
        <f t="shared" ref="V8" si="13">U8*1.02</f>
        <v>741.80520000000001</v>
      </c>
      <c r="W8" s="16"/>
      <c r="X8" s="16"/>
      <c r="Y8" s="16"/>
      <c r="Z8" s="16"/>
      <c r="AA8" s="16"/>
      <c r="AB8" s="16"/>
      <c r="AC8" s="16"/>
      <c r="AD8" s="16"/>
      <c r="AG8" s="16">
        <f t="shared" si="4"/>
        <v>646.85400000000004</v>
      </c>
      <c r="AH8" s="16">
        <f>SUM(K8:N8)</f>
        <v>1860</v>
      </c>
      <c r="AI8" s="16">
        <f t="shared" ref="AI8:AI11" si="14">SUM(L8:O8)</f>
        <v>1750</v>
      </c>
      <c r="AJ8" s="16">
        <f t="shared" ref="AJ8:AJ11" si="15">SUM(S8:V8)</f>
        <v>2613.0652</v>
      </c>
      <c r="AK8" s="16">
        <f t="shared" si="6"/>
        <v>0</v>
      </c>
      <c r="AL8" s="16">
        <f t="shared" ref="AL8:AL11" si="16">SUM(AA8:AD8)</f>
        <v>0</v>
      </c>
    </row>
    <row r="9" spans="1:44" x14ac:dyDescent="0.2">
      <c r="B9" s="1" t="s">
        <v>29</v>
      </c>
      <c r="G9" s="16">
        <v>92.293999999999997</v>
      </c>
      <c r="H9" s="16">
        <v>101</v>
      </c>
      <c r="I9" s="16">
        <v>116</v>
      </c>
      <c r="J9" s="16">
        <v>172</v>
      </c>
      <c r="K9" s="16">
        <v>172</v>
      </c>
      <c r="L9" s="1">
        <v>243</v>
      </c>
      <c r="M9" s="1">
        <v>238</v>
      </c>
      <c r="N9" s="1">
        <v>246</v>
      </c>
      <c r="O9" s="1">
        <v>238</v>
      </c>
      <c r="P9" s="1">
        <v>232</v>
      </c>
      <c r="Q9" s="16">
        <v>240.9</v>
      </c>
      <c r="R9" s="16">
        <v>232</v>
      </c>
      <c r="S9" s="1">
        <v>219</v>
      </c>
      <c r="T9" s="18">
        <v>246</v>
      </c>
      <c r="U9" s="16">
        <v>220</v>
      </c>
      <c r="V9" s="16">
        <v>220</v>
      </c>
      <c r="W9" s="16"/>
      <c r="X9" s="16"/>
      <c r="Y9" s="16"/>
      <c r="Z9" s="16"/>
      <c r="AA9" s="16"/>
      <c r="AB9" s="16"/>
      <c r="AC9" s="16"/>
      <c r="AD9" s="16"/>
      <c r="AG9" s="16">
        <f t="shared" si="4"/>
        <v>481.29399999999998</v>
      </c>
      <c r="AH9" s="16">
        <f t="shared" si="5"/>
        <v>899</v>
      </c>
      <c r="AI9" s="16">
        <f t="shared" si="14"/>
        <v>965</v>
      </c>
      <c r="AJ9" s="16">
        <f t="shared" si="15"/>
        <v>905</v>
      </c>
      <c r="AK9" s="16">
        <f t="shared" si="6"/>
        <v>0</v>
      </c>
      <c r="AL9" s="16">
        <f t="shared" si="16"/>
        <v>0</v>
      </c>
    </row>
    <row r="10" spans="1:44" x14ac:dyDescent="0.2">
      <c r="B10" s="1" t="s">
        <v>30</v>
      </c>
      <c r="G10" s="16">
        <v>104.447</v>
      </c>
      <c r="H10" s="16">
        <v>127</v>
      </c>
      <c r="I10" s="16">
        <v>130</v>
      </c>
      <c r="J10" s="16">
        <v>237</v>
      </c>
      <c r="L10" s="1">
        <v>214</v>
      </c>
      <c r="M10" s="1">
        <v>169</v>
      </c>
      <c r="N10" s="1">
        <v>253</v>
      </c>
      <c r="O10" s="1">
        <v>197</v>
      </c>
      <c r="P10" s="1">
        <v>178</v>
      </c>
      <c r="Q10" s="16">
        <v>189.9</v>
      </c>
      <c r="R10" s="16"/>
      <c r="S10" s="1">
        <v>210</v>
      </c>
      <c r="T10" s="16"/>
      <c r="U10" s="16">
        <v>200</v>
      </c>
      <c r="V10" s="16">
        <v>200</v>
      </c>
      <c r="W10" s="16"/>
      <c r="X10" s="16"/>
      <c r="Y10" s="16"/>
      <c r="Z10" s="16"/>
      <c r="AA10" s="16"/>
      <c r="AB10" s="16"/>
      <c r="AC10" s="16"/>
      <c r="AD10" s="16"/>
      <c r="AG10" s="16">
        <f t="shared" si="4"/>
        <v>598.447</v>
      </c>
      <c r="AH10" s="16">
        <f t="shared" si="5"/>
        <v>636</v>
      </c>
      <c r="AI10" s="16">
        <f t="shared" si="14"/>
        <v>833</v>
      </c>
      <c r="AJ10" s="16">
        <f t="shared" si="15"/>
        <v>610</v>
      </c>
      <c r="AK10" s="16">
        <f t="shared" si="6"/>
        <v>0</v>
      </c>
      <c r="AL10" s="16">
        <f t="shared" si="16"/>
        <v>0</v>
      </c>
    </row>
    <row r="11" spans="1:44" x14ac:dyDescent="0.2">
      <c r="B11" s="1" t="s">
        <v>31</v>
      </c>
      <c r="G11" s="16">
        <v>12</v>
      </c>
      <c r="H11" s="16">
        <v>16</v>
      </c>
      <c r="I11" s="16">
        <v>159</v>
      </c>
      <c r="J11" s="16">
        <v>22</v>
      </c>
      <c r="L11" s="1">
        <v>30</v>
      </c>
      <c r="M11" s="1">
        <v>35</v>
      </c>
      <c r="N11" s="1">
        <v>47</v>
      </c>
      <c r="O11" s="1">
        <v>40</v>
      </c>
      <c r="P11" s="1">
        <v>45</v>
      </c>
      <c r="Q11" s="16">
        <v>49.5</v>
      </c>
      <c r="R11" s="16"/>
      <c r="S11" s="1">
        <v>45</v>
      </c>
      <c r="T11" s="16"/>
      <c r="U11" s="16">
        <v>30</v>
      </c>
      <c r="V11" s="16">
        <v>30</v>
      </c>
      <c r="W11" s="16"/>
      <c r="X11" s="16"/>
      <c r="Y11" s="16"/>
      <c r="Z11" s="16"/>
      <c r="AA11" s="16"/>
      <c r="AB11" s="16"/>
      <c r="AC11" s="16"/>
      <c r="AD11" s="16"/>
      <c r="AG11" s="16">
        <f t="shared" si="4"/>
        <v>209</v>
      </c>
      <c r="AH11" s="16">
        <f t="shared" si="5"/>
        <v>112</v>
      </c>
      <c r="AI11" s="16">
        <f t="shared" si="14"/>
        <v>152</v>
      </c>
      <c r="AJ11" s="16">
        <f t="shared" si="15"/>
        <v>105</v>
      </c>
      <c r="AK11" s="16">
        <f t="shared" si="6"/>
        <v>0</v>
      </c>
      <c r="AL11" s="16">
        <f t="shared" si="16"/>
        <v>0</v>
      </c>
    </row>
    <row r="12" spans="1:44" x14ac:dyDescent="0.2">
      <c r="B12" s="1" t="s">
        <v>106</v>
      </c>
      <c r="G12" s="16">
        <f>+G11+G10+G9+G8</f>
        <v>312.59499999999997</v>
      </c>
      <c r="H12" s="16">
        <f t="shared" ref="H12:V12" si="17">+H11+H10+H9+H8</f>
        <v>380</v>
      </c>
      <c r="I12" s="16">
        <f t="shared" si="17"/>
        <v>540</v>
      </c>
      <c r="J12" s="16">
        <f t="shared" si="17"/>
        <v>703</v>
      </c>
      <c r="K12" s="16">
        <f t="shared" si="17"/>
        <v>681</v>
      </c>
      <c r="L12" s="16">
        <f t="shared" si="17"/>
        <v>931</v>
      </c>
      <c r="M12" s="16">
        <f t="shared" si="17"/>
        <v>888</v>
      </c>
      <c r="N12" s="16">
        <f t="shared" si="17"/>
        <v>1007</v>
      </c>
      <c r="O12" s="16">
        <f t="shared" si="17"/>
        <v>874</v>
      </c>
      <c r="P12" s="16">
        <f t="shared" si="17"/>
        <v>789</v>
      </c>
      <c r="Q12" s="16">
        <f t="shared" si="17"/>
        <v>869.2</v>
      </c>
      <c r="R12" s="16">
        <f t="shared" si="17"/>
        <v>744</v>
      </c>
      <c r="S12" s="16">
        <f t="shared" si="17"/>
        <v>905</v>
      </c>
      <c r="T12" s="16">
        <f t="shared" si="17"/>
        <v>959</v>
      </c>
      <c r="U12" s="16">
        <f t="shared" si="17"/>
        <v>1177.26</v>
      </c>
      <c r="V12" s="16">
        <f t="shared" si="17"/>
        <v>1191.8052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f>+AG11+AG10+AG9+AG8</f>
        <v>1935.595</v>
      </c>
      <c r="AH12" s="16">
        <f t="shared" ref="AH12:AL12" si="18">+AH11+AH10+AH9+AH8</f>
        <v>3507</v>
      </c>
      <c r="AI12" s="16">
        <f t="shared" si="18"/>
        <v>3700</v>
      </c>
      <c r="AJ12" s="16">
        <f t="shared" si="18"/>
        <v>4233.0652</v>
      </c>
      <c r="AK12" s="16">
        <f t="shared" si="18"/>
        <v>0</v>
      </c>
      <c r="AL12" s="16">
        <f t="shared" si="18"/>
        <v>0</v>
      </c>
      <c r="AM12" s="16"/>
      <c r="AN12" s="16"/>
      <c r="AO12" s="16"/>
      <c r="AP12" s="16"/>
      <c r="AQ12" s="16"/>
      <c r="AR12" s="16"/>
    </row>
    <row r="13" spans="1:44" s="2" customFormat="1" x14ac:dyDescent="0.2">
      <c r="B13" s="2" t="s">
        <v>107</v>
      </c>
      <c r="G13" s="18">
        <f>G7-G12</f>
        <v>171.40500000000003</v>
      </c>
      <c r="H13" s="18">
        <v>20</v>
      </c>
      <c r="I13" s="18">
        <v>154</v>
      </c>
      <c r="J13" s="18">
        <v>-37</v>
      </c>
      <c r="K13" s="18">
        <v>-17</v>
      </c>
      <c r="L13" s="2">
        <v>-252</v>
      </c>
      <c r="M13" s="2">
        <v>-172</v>
      </c>
      <c r="N13" s="2">
        <v>-297</v>
      </c>
      <c r="O13" s="2">
        <v>-204</v>
      </c>
      <c r="P13" s="2">
        <v>-543</v>
      </c>
      <c r="Q13" s="18">
        <f>+Q7-Q12</f>
        <v>-109.39999999999998</v>
      </c>
      <c r="R13" s="18">
        <v>-151</v>
      </c>
      <c r="S13" s="2">
        <v>-185</v>
      </c>
      <c r="T13" s="18">
        <v>-268</v>
      </c>
      <c r="U13" s="18">
        <f>U7-U12</f>
        <v>-241.70999999999992</v>
      </c>
      <c r="V13" s="18">
        <f>V7-V12</f>
        <v>-166.51769999999988</v>
      </c>
      <c r="W13" s="18"/>
      <c r="X13" s="18"/>
      <c r="Y13" s="18"/>
      <c r="Z13" s="18"/>
      <c r="AA13" s="18"/>
      <c r="AB13" s="18"/>
      <c r="AC13" s="18"/>
      <c r="AD13" s="18"/>
      <c r="AG13" s="18">
        <f t="shared" ref="AG13:AG16" si="19">SUM(G13:J13)</f>
        <v>308.40500000000003</v>
      </c>
      <c r="AH13" s="18">
        <f t="shared" ref="AH13:AH17" si="20">SUM(K13:N13)</f>
        <v>-738</v>
      </c>
      <c r="AI13" s="18">
        <f t="shared" ref="AI13:AI17" si="21">SUM(L13:O13)</f>
        <v>-925</v>
      </c>
      <c r="AJ13" s="18">
        <f t="shared" ref="AJ13:AJ16" si="22">SUM(S13:V13)</f>
        <v>-861.2276999999998</v>
      </c>
      <c r="AK13" s="18">
        <f t="shared" ref="AK13:AK16" si="23">SUM(W13:Z13)</f>
        <v>0</v>
      </c>
      <c r="AL13" s="18">
        <f>SUM(AA13:AD13)</f>
        <v>0</v>
      </c>
    </row>
    <row r="14" spans="1:44" x14ac:dyDescent="0.2">
      <c r="B14" s="1" t="s">
        <v>33</v>
      </c>
      <c r="G14" s="16">
        <v>-1</v>
      </c>
      <c r="H14" s="16">
        <v>-572</v>
      </c>
      <c r="I14" s="16">
        <v>-560</v>
      </c>
      <c r="J14" s="16">
        <v>-29</v>
      </c>
      <c r="K14" s="16">
        <v>-21</v>
      </c>
      <c r="L14" s="1">
        <v>-50</v>
      </c>
      <c r="M14" s="1">
        <v>-28</v>
      </c>
      <c r="N14" s="1">
        <v>-26</v>
      </c>
      <c r="O14" s="1">
        <v>-25</v>
      </c>
      <c r="P14" s="1">
        <v>-31</v>
      </c>
      <c r="Q14" s="16">
        <v>-21</v>
      </c>
      <c r="R14" s="16"/>
      <c r="S14" s="1">
        <v>-24</v>
      </c>
      <c r="T14" s="16"/>
      <c r="U14" s="1">
        <v>-50</v>
      </c>
      <c r="V14" s="1">
        <v>-28</v>
      </c>
      <c r="AD14" s="1"/>
      <c r="AG14" s="16">
        <f t="shared" si="19"/>
        <v>-1162</v>
      </c>
      <c r="AH14" s="16">
        <f t="shared" si="20"/>
        <v>-125</v>
      </c>
      <c r="AI14" s="16">
        <f t="shared" si="21"/>
        <v>-129</v>
      </c>
      <c r="AJ14" s="16">
        <f t="shared" si="22"/>
        <v>-102</v>
      </c>
      <c r="AK14" s="16">
        <f t="shared" si="23"/>
        <v>0</v>
      </c>
      <c r="AL14" s="16">
        <f t="shared" ref="AL14:AL16" si="24">SUM(AA14:AD14)</f>
        <v>0</v>
      </c>
    </row>
    <row r="15" spans="1:44" x14ac:dyDescent="0.2">
      <c r="B15" s="1" t="s">
        <v>108</v>
      </c>
      <c r="G15" s="16">
        <f>G13+G14</f>
        <v>170.40500000000003</v>
      </c>
      <c r="H15" s="16">
        <f t="shared" ref="H15:U15" si="25">H13+H14</f>
        <v>-552</v>
      </c>
      <c r="I15" s="16">
        <f t="shared" si="25"/>
        <v>-406</v>
      </c>
      <c r="J15" s="16">
        <f t="shared" si="25"/>
        <v>-66</v>
      </c>
      <c r="K15" s="16">
        <f t="shared" si="25"/>
        <v>-38</v>
      </c>
      <c r="L15" s="16">
        <f t="shared" si="25"/>
        <v>-302</v>
      </c>
      <c r="M15" s="16">
        <f t="shared" si="25"/>
        <v>-200</v>
      </c>
      <c r="N15" s="16">
        <f t="shared" si="25"/>
        <v>-323</v>
      </c>
      <c r="O15" s="16">
        <f t="shared" si="25"/>
        <v>-229</v>
      </c>
      <c r="P15" s="16">
        <f t="shared" si="25"/>
        <v>-574</v>
      </c>
      <c r="Q15" s="16">
        <f t="shared" si="25"/>
        <v>-130.39999999999998</v>
      </c>
      <c r="R15" s="16">
        <f t="shared" si="25"/>
        <v>-151</v>
      </c>
      <c r="S15" s="16">
        <f t="shared" si="25"/>
        <v>-209</v>
      </c>
      <c r="T15" s="16">
        <v>-324</v>
      </c>
      <c r="U15" s="16">
        <f t="shared" si="25"/>
        <v>-291.70999999999992</v>
      </c>
      <c r="V15" s="16">
        <f t="shared" ref="V15" si="26">V13+V14</f>
        <v>-194.51769999999988</v>
      </c>
      <c r="W15" s="16"/>
      <c r="X15" s="16"/>
      <c r="Y15" s="16"/>
      <c r="Z15" s="16"/>
      <c r="AA15" s="16"/>
      <c r="AB15" s="16"/>
      <c r="AC15" s="16"/>
      <c r="AD15" s="16"/>
      <c r="AG15" s="16">
        <f t="shared" si="19"/>
        <v>-853.59500000000003</v>
      </c>
      <c r="AH15" s="16">
        <f t="shared" si="20"/>
        <v>-863</v>
      </c>
      <c r="AI15" s="16">
        <f t="shared" si="21"/>
        <v>-1054</v>
      </c>
      <c r="AJ15" s="16">
        <f t="shared" si="22"/>
        <v>-1019.2276999999998</v>
      </c>
      <c r="AK15" s="16">
        <f t="shared" si="23"/>
        <v>0</v>
      </c>
      <c r="AL15" s="16">
        <f t="shared" si="24"/>
        <v>0</v>
      </c>
    </row>
    <row r="16" spans="1:44" x14ac:dyDescent="0.2">
      <c r="B16" s="1" t="s">
        <v>34</v>
      </c>
      <c r="G16" s="16">
        <v>19</v>
      </c>
      <c r="H16" s="16">
        <v>9</v>
      </c>
      <c r="I16" s="16">
        <v>7</v>
      </c>
      <c r="J16" s="16">
        <v>-2</v>
      </c>
      <c r="K16" s="16">
        <v>-2</v>
      </c>
      <c r="L16" s="1">
        <v>-44</v>
      </c>
      <c r="M16" s="1">
        <v>-46</v>
      </c>
      <c r="N16" s="1">
        <v>41</v>
      </c>
      <c r="O16" s="1">
        <v>-23</v>
      </c>
      <c r="P16" s="1">
        <v>-33</v>
      </c>
      <c r="Q16" s="16">
        <v>-27.7</v>
      </c>
      <c r="R16" s="16">
        <v>-33</v>
      </c>
      <c r="S16" s="1">
        <v>50</v>
      </c>
      <c r="T16" s="16">
        <v>41</v>
      </c>
      <c r="U16" s="1">
        <v>-44</v>
      </c>
      <c r="V16" s="1">
        <v>-46</v>
      </c>
      <c r="AA16" s="16"/>
      <c r="AD16" s="1"/>
      <c r="AG16" s="16">
        <f t="shared" si="19"/>
        <v>33</v>
      </c>
      <c r="AH16" s="16">
        <f t="shared" si="20"/>
        <v>-51</v>
      </c>
      <c r="AI16" s="16">
        <f t="shared" si="21"/>
        <v>-72</v>
      </c>
      <c r="AJ16" s="16">
        <f t="shared" si="22"/>
        <v>1</v>
      </c>
      <c r="AK16" s="16">
        <f t="shared" si="23"/>
        <v>0</v>
      </c>
      <c r="AL16" s="16">
        <f t="shared" si="24"/>
        <v>0</v>
      </c>
    </row>
    <row r="17" spans="2:51" s="18" customFormat="1" x14ac:dyDescent="0.2">
      <c r="B17" s="18" t="s">
        <v>39</v>
      </c>
      <c r="G17" s="18">
        <f>G15-G16</f>
        <v>151.40500000000003</v>
      </c>
      <c r="H17" s="18">
        <f>H15-H16</f>
        <v>-561</v>
      </c>
      <c r="I17" s="18">
        <f>I15-I16</f>
        <v>-413</v>
      </c>
      <c r="J17" s="18">
        <f>J15-J16</f>
        <v>-64</v>
      </c>
      <c r="K17" s="18">
        <v>-104</v>
      </c>
      <c r="L17" s="18">
        <f>L15-L16</f>
        <v>-258</v>
      </c>
      <c r="M17" s="18">
        <f>M15-M16</f>
        <v>-154</v>
      </c>
      <c r="N17" s="18">
        <f>N15-N16</f>
        <v>-364</v>
      </c>
      <c r="O17" s="18">
        <f>O15-O16</f>
        <v>-206</v>
      </c>
      <c r="P17" s="18">
        <f>P15-P16</f>
        <v>-541</v>
      </c>
      <c r="Q17" s="18">
        <f>Q15-Q16</f>
        <v>-102.69999999999997</v>
      </c>
      <c r="R17" s="18">
        <v>-543</v>
      </c>
      <c r="S17" s="18">
        <f>S15-S16</f>
        <v>-259</v>
      </c>
      <c r="T17" s="18">
        <v>-365</v>
      </c>
      <c r="U17" s="18">
        <f>U15-U16</f>
        <v>-247.70999999999992</v>
      </c>
      <c r="V17" s="18">
        <f>V15-V16</f>
        <v>-148.51769999999988</v>
      </c>
      <c r="AG17" s="18">
        <f>SUM(G17:J17)</f>
        <v>-886.59500000000003</v>
      </c>
      <c r="AH17" s="18">
        <f t="shared" si="20"/>
        <v>-880</v>
      </c>
      <c r="AI17" s="18">
        <f t="shared" si="21"/>
        <v>-982</v>
      </c>
      <c r="AJ17" s="18">
        <f>AJ15-AJ16</f>
        <v>-1020.2276999999998</v>
      </c>
      <c r="AK17" s="18">
        <f>AK15-AK16</f>
        <v>0</v>
      </c>
      <c r="AL17" s="18">
        <f>AL15-AL16</f>
        <v>0</v>
      </c>
    </row>
    <row r="18" spans="2:51" s="16" customFormat="1" x14ac:dyDescent="0.2">
      <c r="B18" s="16" t="s">
        <v>109</v>
      </c>
      <c r="M18" s="17">
        <f t="shared" ref="M18:P18" si="27">+M17/M19</f>
        <v>-0.875</v>
      </c>
      <c r="N18" s="17">
        <f t="shared" si="27"/>
        <v>-2.0681818181818183</v>
      </c>
      <c r="O18" s="17">
        <f t="shared" si="27"/>
        <v>-1.1704545454545454</v>
      </c>
      <c r="P18" s="17">
        <f t="shared" si="27"/>
        <v>-3.0738636363636362</v>
      </c>
      <c r="Q18" s="17">
        <f>+Q17/Q19</f>
        <v>-0.58352272727272714</v>
      </c>
      <c r="R18" s="17">
        <f t="shared" ref="R18:V18" si="28">+R17/R19</f>
        <v>-3.0852272727272729</v>
      </c>
      <c r="S18" s="17">
        <f t="shared" si="28"/>
        <v>-1.4715909090909092</v>
      </c>
      <c r="T18" s="17">
        <f t="shared" si="28"/>
        <v>-2.0738636363636362</v>
      </c>
      <c r="U18" s="17">
        <f t="shared" si="28"/>
        <v>-1.4074431818181814</v>
      </c>
      <c r="V18" s="17">
        <f t="shared" si="28"/>
        <v>-0.84385056818181747</v>
      </c>
    </row>
    <row r="19" spans="2:51" x14ac:dyDescent="0.2">
      <c r="B19" s="1" t="s">
        <v>5</v>
      </c>
      <c r="M19" s="1">
        <v>176</v>
      </c>
      <c r="N19" s="1">
        <v>176</v>
      </c>
      <c r="O19" s="1">
        <v>176</v>
      </c>
      <c r="P19" s="1">
        <v>176</v>
      </c>
      <c r="Q19" s="1">
        <v>176</v>
      </c>
      <c r="R19" s="1">
        <v>176</v>
      </c>
      <c r="S19" s="1">
        <v>176</v>
      </c>
      <c r="T19" s="1">
        <v>176</v>
      </c>
      <c r="U19" s="1">
        <v>176</v>
      </c>
      <c r="V19" s="1">
        <v>176</v>
      </c>
      <c r="W19" s="16"/>
      <c r="X19" s="16"/>
      <c r="Y19" s="16"/>
      <c r="Z19" s="16"/>
      <c r="AA19" s="16"/>
      <c r="AB19" s="16"/>
      <c r="AC19" s="16"/>
      <c r="AD19" s="19"/>
      <c r="AY19" s="2"/>
    </row>
    <row r="20" spans="2:51" x14ac:dyDescent="0.2">
      <c r="U20" s="16"/>
      <c r="V20" s="16"/>
      <c r="W20" s="16"/>
      <c r="X20" s="16"/>
      <c r="Y20" s="16"/>
      <c r="Z20" s="16"/>
      <c r="AA20" s="16"/>
      <c r="AB20" s="16"/>
      <c r="AC20" s="16"/>
      <c r="AD20" s="19"/>
    </row>
    <row r="21" spans="2:51" x14ac:dyDescent="0.2">
      <c r="G21" s="13"/>
      <c r="K21" s="16"/>
      <c r="L21" s="16"/>
      <c r="U21" s="16"/>
      <c r="V21" s="16"/>
      <c r="W21" s="16"/>
      <c r="X21" s="16"/>
      <c r="Y21" s="16"/>
      <c r="Z21" s="16"/>
      <c r="AA21" s="16"/>
      <c r="AB21" s="16"/>
      <c r="AC21" s="16"/>
      <c r="AD21" s="19"/>
    </row>
    <row r="22" spans="2:51" x14ac:dyDescent="0.2">
      <c r="B22" s="1" t="s">
        <v>45</v>
      </c>
      <c r="H22" s="13"/>
      <c r="I22" s="13"/>
      <c r="J22" s="13"/>
      <c r="K22" s="13"/>
      <c r="L22" s="13">
        <f>L5/H5-1</f>
        <v>0.62237762237762229</v>
      </c>
      <c r="M22" s="13">
        <f>M5/I5-1</f>
        <v>0.55813953488372103</v>
      </c>
      <c r="N22" s="13">
        <f>N5/J5-1</f>
        <v>0.22686025408348454</v>
      </c>
      <c r="O22" s="13">
        <f>O5/K5-1</f>
        <v>0.16515426497277685</v>
      </c>
      <c r="P22" s="13">
        <f>P5/L5-1</f>
        <v>-6.7528735632183867E-2</v>
      </c>
      <c r="Q22" s="13">
        <f>Q5/M5-1</f>
        <v>-3.3617626154939573E-2</v>
      </c>
      <c r="R22" s="13">
        <f>R5/N5-1</f>
        <v>-3.9201183431952669E-2</v>
      </c>
      <c r="S22" s="13">
        <f>S5/O5-1</f>
        <v>4.1277258566978281E-2</v>
      </c>
      <c r="T22" s="13">
        <f>T5/P5-1</f>
        <v>4.2372881355932313E-2</v>
      </c>
      <c r="U22" s="13">
        <f>U5/Q5-1</f>
        <v>0.16143266897109654</v>
      </c>
      <c r="V22" s="13">
        <f>V5/R5-1</f>
        <v>0.30956120092378758</v>
      </c>
      <c r="W22" s="13"/>
      <c r="X22" s="13"/>
      <c r="Y22" s="13"/>
      <c r="Z22" s="13"/>
      <c r="AA22" s="13"/>
      <c r="AB22" s="13"/>
      <c r="AC22" s="13"/>
      <c r="AD22" s="13"/>
      <c r="AL22" s="13"/>
    </row>
    <row r="23" spans="2:51" x14ac:dyDescent="0.2">
      <c r="B23" s="1" t="s">
        <v>46</v>
      </c>
      <c r="H23" s="13">
        <f t="shared" ref="H23:T23" si="29">H7/H5</f>
        <v>0.46853146853146854</v>
      </c>
      <c r="I23" s="13">
        <f t="shared" si="29"/>
        <v>0.61240310077519378</v>
      </c>
      <c r="J23" s="13">
        <f t="shared" si="29"/>
        <v>0.60526315789473684</v>
      </c>
      <c r="K23" s="13">
        <f t="shared" si="29"/>
        <v>0.6225045372050817</v>
      </c>
      <c r="L23" s="13">
        <f t="shared" si="29"/>
        <v>0.48778735632183906</v>
      </c>
      <c r="M23" s="13">
        <f t="shared" si="29"/>
        <v>0.50888415067519543</v>
      </c>
      <c r="N23" s="13">
        <f t="shared" si="29"/>
        <v>0.53772189349112431</v>
      </c>
      <c r="O23" s="13">
        <f t="shared" si="29"/>
        <v>0.52881619937694702</v>
      </c>
      <c r="P23" s="13">
        <f t="shared" si="29"/>
        <v>0.31972265023112478</v>
      </c>
      <c r="Q23" s="13">
        <f t="shared" si="29"/>
        <v>0.5587997352357138</v>
      </c>
      <c r="R23" s="13">
        <f t="shared" si="29"/>
        <v>0.49114703618167821</v>
      </c>
      <c r="S23" s="13">
        <f t="shared" si="29"/>
        <v>0.5766641735228123</v>
      </c>
      <c r="T23" s="13">
        <f t="shared" si="29"/>
        <v>0.54619364375461932</v>
      </c>
      <c r="U23" s="13">
        <v>0.5</v>
      </c>
      <c r="V23" s="13">
        <v>0.5</v>
      </c>
      <c r="W23" s="13"/>
      <c r="X23" s="13"/>
      <c r="Y23" s="13"/>
      <c r="Z23" s="13"/>
      <c r="AA23" s="13"/>
      <c r="AB23" s="13"/>
      <c r="AC23" s="13"/>
      <c r="AD23" s="13"/>
    </row>
    <row r="24" spans="2:51" x14ac:dyDescent="0.2">
      <c r="X24" s="20"/>
    </row>
    <row r="25" spans="2:51" x14ac:dyDescent="0.2">
      <c r="B25" s="1" t="s">
        <v>2</v>
      </c>
      <c r="K25" s="2"/>
      <c r="L25" s="2"/>
      <c r="AF25" s="18">
        <f>1423+1309+538</f>
        <v>3270</v>
      </c>
      <c r="AG25" s="18">
        <f>1732+820+359</f>
        <v>2911</v>
      </c>
      <c r="AH25" s="18">
        <f>827+187+307</f>
        <v>1321</v>
      </c>
      <c r="AI25" s="18">
        <f>754+22+252</f>
        <v>1028</v>
      </c>
    </row>
    <row r="26" spans="2:51" x14ac:dyDescent="0.2">
      <c r="B26" s="1" t="s">
        <v>47</v>
      </c>
      <c r="AF26" s="16">
        <v>658</v>
      </c>
      <c r="AG26" s="16">
        <v>684</v>
      </c>
      <c r="AH26" s="16">
        <v>843</v>
      </c>
      <c r="AI26" s="16">
        <v>968</v>
      </c>
    </row>
    <row r="27" spans="2:51" x14ac:dyDescent="0.2">
      <c r="B27" s="1" t="s">
        <v>63</v>
      </c>
      <c r="AF27" s="16">
        <v>0</v>
      </c>
      <c r="AG27" s="16">
        <v>10</v>
      </c>
      <c r="AH27" s="16">
        <v>0</v>
      </c>
      <c r="AI27" s="16">
        <v>0</v>
      </c>
    </row>
    <row r="28" spans="2:51" x14ac:dyDescent="0.2">
      <c r="B28" s="1" t="s">
        <v>48</v>
      </c>
      <c r="AF28" s="16">
        <v>17</v>
      </c>
      <c r="AG28" s="16">
        <v>0</v>
      </c>
      <c r="AH28" s="16">
        <v>0</v>
      </c>
      <c r="AI28" s="16">
        <v>0</v>
      </c>
    </row>
    <row r="29" spans="2:51" x14ac:dyDescent="0.2">
      <c r="B29" s="1" t="s">
        <v>49</v>
      </c>
      <c r="W29" s="13"/>
      <c r="AF29" s="16">
        <v>215</v>
      </c>
      <c r="AG29" s="16">
        <v>183</v>
      </c>
      <c r="AH29" s="16">
        <v>277</v>
      </c>
      <c r="AI29" s="16">
        <v>180</v>
      </c>
    </row>
    <row r="30" spans="2:51" x14ac:dyDescent="0.2">
      <c r="B30" s="1" t="s">
        <v>50</v>
      </c>
      <c r="W30" s="13"/>
      <c r="AF30" s="16">
        <v>314</v>
      </c>
      <c r="AG30" s="16">
        <v>459</v>
      </c>
      <c r="AH30" s="16">
        <v>685</v>
      </c>
      <c r="AI30" s="16">
        <v>736</v>
      </c>
    </row>
    <row r="31" spans="2:51" x14ac:dyDescent="0.2">
      <c r="B31" s="1" t="s">
        <v>51</v>
      </c>
      <c r="W31" s="21"/>
      <c r="AF31" s="16">
        <v>7</v>
      </c>
      <c r="AG31" s="16">
        <v>36</v>
      </c>
      <c r="AH31" s="16">
        <v>34</v>
      </c>
      <c r="AI31" s="16">
        <v>34</v>
      </c>
    </row>
    <row r="32" spans="2:51" x14ac:dyDescent="0.2">
      <c r="B32" s="1" t="s">
        <v>32</v>
      </c>
      <c r="K32" s="2"/>
      <c r="L32" s="2"/>
      <c r="W32" s="22"/>
      <c r="AF32" s="16">
        <v>535</v>
      </c>
      <c r="AG32" s="16">
        <v>674</v>
      </c>
      <c r="AH32" s="16">
        <v>6767</v>
      </c>
      <c r="AI32" s="16">
        <v>4426</v>
      </c>
    </row>
    <row r="33" spans="2:35" x14ac:dyDescent="0.2">
      <c r="B33" s="1" t="s">
        <v>52</v>
      </c>
      <c r="K33" s="2"/>
      <c r="L33" s="2"/>
      <c r="W33" s="16"/>
      <c r="AF33" s="16">
        <v>612</v>
      </c>
      <c r="AG33" s="16">
        <v>1022</v>
      </c>
      <c r="AH33" s="16">
        <v>5525</v>
      </c>
      <c r="AI33" s="16">
        <v>4507</v>
      </c>
    </row>
    <row r="34" spans="2:35" x14ac:dyDescent="0.2">
      <c r="B34" s="1" t="s">
        <v>64</v>
      </c>
      <c r="W34" s="23"/>
      <c r="AF34" s="16">
        <v>90</v>
      </c>
      <c r="AG34" s="16">
        <v>73</v>
      </c>
      <c r="AH34" s="16">
        <v>45</v>
      </c>
      <c r="AI34" s="16">
        <v>2</v>
      </c>
    </row>
    <row r="35" spans="2:35" x14ac:dyDescent="0.2">
      <c r="B35" s="1" t="s">
        <v>53</v>
      </c>
      <c r="AF35" s="16">
        <v>248</v>
      </c>
      <c r="AG35" s="16">
        <v>409</v>
      </c>
      <c r="AH35" s="16">
        <v>296</v>
      </c>
      <c r="AI35" s="16">
        <v>249</v>
      </c>
    </row>
    <row r="36" spans="2:35" s="2" customFormat="1" x14ac:dyDescent="0.2">
      <c r="B36" s="2" t="s">
        <v>65</v>
      </c>
      <c r="AD36" s="24"/>
      <c r="AF36" s="18">
        <f>SUM(AF25:AF35)+59</f>
        <v>6025</v>
      </c>
      <c r="AG36" s="18">
        <f t="shared" ref="AG36:AI36" si="30">SUM(AG25:AG35)+59</f>
        <v>6520</v>
      </c>
      <c r="AH36" s="18">
        <f t="shared" si="30"/>
        <v>15852</v>
      </c>
      <c r="AI36" s="18">
        <f t="shared" si="30"/>
        <v>12189</v>
      </c>
    </row>
    <row r="38" spans="2:35" x14ac:dyDescent="0.2">
      <c r="B38" s="1" t="s">
        <v>54</v>
      </c>
      <c r="AF38" s="16">
        <v>71</v>
      </c>
    </row>
    <row r="39" spans="2:35" x14ac:dyDescent="0.2">
      <c r="B39" s="1" t="s">
        <v>55</v>
      </c>
      <c r="AF39" s="16">
        <v>969</v>
      </c>
    </row>
    <row r="40" spans="2:35" x14ac:dyDescent="0.2">
      <c r="B40" s="1" t="s">
        <v>56</v>
      </c>
      <c r="K40" s="13"/>
      <c r="L40" s="13"/>
      <c r="AF40" s="16">
        <v>0</v>
      </c>
    </row>
    <row r="41" spans="2:35" x14ac:dyDescent="0.2">
      <c r="B41" s="1" t="s">
        <v>57</v>
      </c>
      <c r="K41" s="2"/>
      <c r="L41" s="2"/>
      <c r="AF41" s="16">
        <v>31</v>
      </c>
    </row>
    <row r="42" spans="2:35" x14ac:dyDescent="0.2">
      <c r="B42" s="1" t="s">
        <v>58</v>
      </c>
      <c r="AF42" s="16">
        <v>0</v>
      </c>
    </row>
    <row r="43" spans="2:35" x14ac:dyDescent="0.2">
      <c r="B43" s="1" t="s">
        <v>66</v>
      </c>
      <c r="AF43" s="16">
        <v>234</v>
      </c>
    </row>
    <row r="44" spans="2:35" x14ac:dyDescent="0.2">
      <c r="B44" s="1" t="s">
        <v>59</v>
      </c>
      <c r="AF44" s="16">
        <v>928</v>
      </c>
    </row>
    <row r="45" spans="2:35" x14ac:dyDescent="0.2">
      <c r="B45" s="1" t="s">
        <v>60</v>
      </c>
      <c r="AF45" s="16">
        <v>0</v>
      </c>
    </row>
    <row r="46" spans="2:35" x14ac:dyDescent="0.2">
      <c r="B46" s="1" t="s">
        <v>61</v>
      </c>
      <c r="AF46" s="16">
        <v>159</v>
      </c>
    </row>
    <row r="47" spans="2:35" x14ac:dyDescent="0.2">
      <c r="B47" s="1" t="s">
        <v>62</v>
      </c>
      <c r="AF47" s="16">
        <v>37</v>
      </c>
    </row>
    <row r="48" spans="2:35" x14ac:dyDescent="0.2">
      <c r="B48" s="1" t="s">
        <v>68</v>
      </c>
      <c r="AF48" s="16">
        <v>261</v>
      </c>
    </row>
    <row r="49" spans="2:32" s="2" customFormat="1" x14ac:dyDescent="0.2">
      <c r="B49" s="2" t="s">
        <v>67</v>
      </c>
      <c r="AD49" s="24"/>
      <c r="AF49" s="18">
        <f>SUM(AF38:AF48)</f>
        <v>2690</v>
      </c>
    </row>
    <row r="50" spans="2:32" x14ac:dyDescent="0.2">
      <c r="B50" s="1" t="s">
        <v>111</v>
      </c>
      <c r="AF50" s="16">
        <v>3332</v>
      </c>
    </row>
    <row r="51" spans="2:32" s="2" customFormat="1" x14ac:dyDescent="0.2">
      <c r="B51" s="2" t="s">
        <v>112</v>
      </c>
      <c r="AD51" s="24"/>
      <c r="AF51" s="18">
        <f>AF50+AF49</f>
        <v>6022</v>
      </c>
    </row>
  </sheetData>
  <hyperlinks>
    <hyperlink ref="A1" r:id="rId1" display="Stocklist" xr:uid="{ABE6AB11-3843-41EB-88BB-B8CFB3CFD43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7319-45C9-475E-9CF7-4F3135A27B79}">
  <dimension ref="C3"/>
  <sheetViews>
    <sheetView workbookViewId="0">
      <selection activeCell="G9" sqref="G9"/>
    </sheetView>
  </sheetViews>
  <sheetFormatPr defaultRowHeight="15" x14ac:dyDescent="0.25"/>
  <sheetData>
    <row r="3" spans="3:3" x14ac:dyDescent="0.25">
      <c r="C3" s="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Model</vt:lpstr>
      <vt:lpstr>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cp:lastPrinted>2024-11-22T13:10:42Z</cp:lastPrinted>
  <dcterms:created xsi:type="dcterms:W3CDTF">2024-11-16T21:19:32Z</dcterms:created>
  <dcterms:modified xsi:type="dcterms:W3CDTF">2025-02-07T00:48:34Z</dcterms:modified>
</cp:coreProperties>
</file>