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AFC4290F-F03D-4D00-B4A5-904ABE96B833}" xr6:coauthVersionLast="47" xr6:coauthVersionMax="47" xr10:uidLastSave="{00000000-0000-0000-0000-000000000000}"/>
  <bookViews>
    <workbookView xWindow="7215" yWindow="1110" windowWidth="17985" windowHeight="13365" activeTab="1" xr2:uid="{D1985DF7-E3B9-4CC5-8BC3-D2A55A1CFAFA}"/>
  </bookViews>
  <sheets>
    <sheet name="Main" sheetId="1" r:id="rId1"/>
    <sheet name="Model" sheetId="2" r:id="rId2"/>
    <sheet name="Partnershi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6" i="1"/>
  <c r="M40" i="2"/>
  <c r="M29" i="2"/>
  <c r="M28" i="2"/>
  <c r="M27" i="2"/>
  <c r="M8" i="2"/>
  <c r="M26" i="2" s="1"/>
  <c r="V21" i="2"/>
  <c r="V20" i="2"/>
  <c r="V17" i="2"/>
  <c r="V16" i="2"/>
  <c r="V15" i="2"/>
  <c r="V14" i="2"/>
  <c r="V13" i="2"/>
  <c r="V12" i="2"/>
  <c r="V11" i="2"/>
  <c r="V10" i="2"/>
  <c r="V9" i="2"/>
  <c r="V18" i="2" s="1"/>
  <c r="W21" i="2"/>
  <c r="W20" i="2"/>
  <c r="W9" i="2"/>
  <c r="X21" i="2"/>
  <c r="X20" i="2"/>
  <c r="X9" i="2"/>
  <c r="N17" i="2"/>
  <c r="O17" i="2" s="1"/>
  <c r="P17" i="2" s="1"/>
  <c r="Q17" i="2" s="1"/>
  <c r="R17" i="2" s="1"/>
  <c r="N16" i="2"/>
  <c r="O16" i="2" s="1"/>
  <c r="P16" i="2" s="1"/>
  <c r="Q16" i="2" s="1"/>
  <c r="R16" i="2" s="1"/>
  <c r="N15" i="2"/>
  <c r="O15" i="2" s="1"/>
  <c r="P15" i="2" s="1"/>
  <c r="Q15" i="2" s="1"/>
  <c r="R15" i="2" s="1"/>
  <c r="N14" i="2"/>
  <c r="O14" i="2" s="1"/>
  <c r="P14" i="2" s="1"/>
  <c r="Q14" i="2" s="1"/>
  <c r="R14" i="2" s="1"/>
  <c r="N13" i="2"/>
  <c r="O13" i="2" s="1"/>
  <c r="N12" i="2"/>
  <c r="O12" i="2" s="1"/>
  <c r="P12" i="2" s="1"/>
  <c r="Q12" i="2" s="1"/>
  <c r="R12" i="2" s="1"/>
  <c r="N11" i="2"/>
  <c r="W11" i="2" s="1"/>
  <c r="O10" i="2"/>
  <c r="P10" i="2" s="1"/>
  <c r="Q10" i="2" s="1"/>
  <c r="R10" i="2" s="1"/>
  <c r="N10" i="2"/>
  <c r="W10" i="2" s="1"/>
  <c r="P9" i="2"/>
  <c r="Q9" i="2" s="1"/>
  <c r="R9" i="2" s="1"/>
  <c r="O9" i="2"/>
  <c r="M18" i="2"/>
  <c r="V4" i="2"/>
  <c r="L9" i="1"/>
  <c r="I35" i="2"/>
  <c r="J35" i="2"/>
  <c r="V35" i="2"/>
  <c r="U35" i="2"/>
  <c r="W2" i="2"/>
  <c r="X2" i="2" s="1"/>
  <c r="Y2" i="2" s="1"/>
  <c r="Z2" i="2" s="1"/>
  <c r="AA2" i="2" s="1"/>
  <c r="AB2" i="2" s="1"/>
  <c r="AC2" i="2" s="1"/>
  <c r="K35" i="2"/>
  <c r="G35" i="2"/>
  <c r="H35" i="2"/>
  <c r="L35" i="2"/>
  <c r="E18" i="2"/>
  <c r="E8" i="2"/>
  <c r="E29" i="2" s="1"/>
  <c r="I18" i="2"/>
  <c r="I8" i="2"/>
  <c r="I28" i="2" s="1"/>
  <c r="F18" i="2"/>
  <c r="F8" i="2"/>
  <c r="F27" i="2" s="1"/>
  <c r="J18" i="2"/>
  <c r="J8" i="2"/>
  <c r="J29" i="2" s="1"/>
  <c r="G18" i="2"/>
  <c r="G8" i="2"/>
  <c r="G27" i="2" s="1"/>
  <c r="K18" i="2"/>
  <c r="K8" i="2"/>
  <c r="K27" i="2" s="1"/>
  <c r="H18" i="2"/>
  <c r="H8" i="2"/>
  <c r="H27" i="2" s="1"/>
  <c r="L18" i="2"/>
  <c r="L8" i="2"/>
  <c r="L27" i="2" s="1"/>
  <c r="L5" i="1"/>
  <c r="O11" i="2" l="1"/>
  <c r="P11" i="2" s="1"/>
  <c r="Q11" i="2" s="1"/>
  <c r="R11" i="2" s="1"/>
  <c r="V8" i="2"/>
  <c r="V19" i="2" s="1"/>
  <c r="L8" i="1"/>
  <c r="W17" i="2"/>
  <c r="X17" i="2"/>
  <c r="W16" i="2"/>
  <c r="X16" i="2"/>
  <c r="W15" i="2"/>
  <c r="X15" i="2"/>
  <c r="X14" i="2"/>
  <c r="W14" i="2"/>
  <c r="P13" i="2"/>
  <c r="Q13" i="2" s="1"/>
  <c r="R13" i="2" s="1"/>
  <c r="X13" i="2"/>
  <c r="W13" i="2"/>
  <c r="N18" i="2"/>
  <c r="W12" i="2"/>
  <c r="X12" i="2"/>
  <c r="X11" i="2"/>
  <c r="R18" i="2"/>
  <c r="X10" i="2"/>
  <c r="O18" i="2"/>
  <c r="P18" i="2"/>
  <c r="N8" i="2"/>
  <c r="L40" i="2"/>
  <c r="I40" i="2"/>
  <c r="J40" i="2"/>
  <c r="K40" i="2"/>
  <c r="K28" i="2"/>
  <c r="K29" i="2"/>
  <c r="L29" i="2"/>
  <c r="F26" i="2"/>
  <c r="L19" i="2"/>
  <c r="L22" i="2" s="1"/>
  <c r="L23" i="2" s="1"/>
  <c r="K26" i="2"/>
  <c r="L26" i="2"/>
  <c r="I27" i="2"/>
  <c r="J27" i="2"/>
  <c r="J28" i="2"/>
  <c r="E26" i="2"/>
  <c r="E27" i="2"/>
  <c r="L28" i="2"/>
  <c r="E28" i="2"/>
  <c r="F29" i="2"/>
  <c r="G26" i="2"/>
  <c r="F28" i="2"/>
  <c r="G29" i="2"/>
  <c r="H26" i="2"/>
  <c r="G28" i="2"/>
  <c r="H29" i="2"/>
  <c r="I26" i="2"/>
  <c r="H28" i="2"/>
  <c r="I29" i="2"/>
  <c r="J26" i="2"/>
  <c r="E19" i="2"/>
  <c r="I19" i="2"/>
  <c r="F19" i="2"/>
  <c r="J19" i="2"/>
  <c r="G19" i="2"/>
  <c r="K19" i="2"/>
  <c r="H19" i="2"/>
  <c r="V33" i="2" l="1"/>
  <c r="V22" i="2"/>
  <c r="V23" i="2" s="1"/>
  <c r="L13" i="1" s="1"/>
  <c r="L14" i="1"/>
  <c r="W18" i="2"/>
  <c r="Q18" i="2"/>
  <c r="X18" i="2"/>
  <c r="O8" i="2"/>
  <c r="W8" i="2"/>
  <c r="N19" i="2"/>
  <c r="N22" i="2" s="1"/>
  <c r="N23" i="2" s="1"/>
  <c r="M19" i="2"/>
  <c r="L33" i="2"/>
  <c r="H22" i="2"/>
  <c r="H23" i="2" s="1"/>
  <c r="H33" i="2"/>
  <c r="G22" i="2"/>
  <c r="G23" i="2" s="1"/>
  <c r="G33" i="2"/>
  <c r="F22" i="2"/>
  <c r="F23" i="2" s="1"/>
  <c r="F33" i="2"/>
  <c r="K22" i="2"/>
  <c r="K23" i="2" s="1"/>
  <c r="K33" i="2"/>
  <c r="I22" i="2"/>
  <c r="I23" i="2" s="1"/>
  <c r="I33" i="2"/>
  <c r="E22" i="2"/>
  <c r="E23" i="2" s="1"/>
  <c r="E33" i="2"/>
  <c r="J22" i="2"/>
  <c r="J23" i="2" s="1"/>
  <c r="J33" i="2"/>
  <c r="W40" i="2" l="1"/>
  <c r="W19" i="2"/>
  <c r="P8" i="2"/>
  <c r="O19" i="2"/>
  <c r="O22" i="2" s="1"/>
  <c r="O23" i="2" s="1"/>
  <c r="M33" i="2"/>
  <c r="M22" i="2"/>
  <c r="M23" i="2" s="1"/>
  <c r="W33" i="2" l="1"/>
  <c r="W22" i="2"/>
  <c r="Q8" i="2"/>
  <c r="P19" i="2"/>
  <c r="P22" i="2" s="1"/>
  <c r="P23" i="2" s="1"/>
  <c r="W23" i="2" l="1"/>
  <c r="R8" i="2"/>
  <c r="Q19" i="2"/>
  <c r="Q22" i="2" s="1"/>
  <c r="Q23" i="2" s="1"/>
  <c r="R19" i="2" l="1"/>
  <c r="R22" i="2" s="1"/>
  <c r="R23" i="2" s="1"/>
  <c r="X8" i="2"/>
  <c r="X19" i="2" l="1"/>
  <c r="X40" i="2"/>
  <c r="X22" i="2" l="1"/>
  <c r="X33" i="2"/>
  <c r="X23" i="2" l="1"/>
  <c r="Y22" i="2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AB29" i="2" l="1"/>
  <c r="AB31" i="2" s="1"/>
  <c r="AB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X8" authorId="0" shapeId="0" xr:uid="{CC4D2A01-3806-4EA9-B964-41BFA4F0E8A1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for 2026 &gt;66Bn</t>
        </r>
      </text>
    </comment>
    <comment ref="AA8" authorId="0" shapeId="0" xr:uid="{DFE3E404-98AA-417A-890E-9660FD2C3903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&gt;104Bn
</t>
        </r>
      </text>
    </comment>
  </commentList>
</comments>
</file>

<file path=xl/sharedStrings.xml><?xml version="1.0" encoding="utf-8"?>
<sst xmlns="http://schemas.openxmlformats.org/spreadsheetml/2006/main" count="86" uniqueCount="76">
  <si>
    <t>Price</t>
  </si>
  <si>
    <t>Shares</t>
  </si>
  <si>
    <t>MC</t>
  </si>
  <si>
    <t>Cash</t>
  </si>
  <si>
    <t>Debt</t>
  </si>
  <si>
    <t>EV</t>
  </si>
  <si>
    <t>Q125</t>
  </si>
  <si>
    <t>Q225</t>
  </si>
  <si>
    <t>Revenue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</si>
  <si>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</si>
  <si>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</si>
  <si>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</si>
  <si>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</si>
  <si>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</si>
  <si>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</si>
  <si>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</si>
  <si>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</si>
  <si>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</si>
  <si>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Q325</t>
  </si>
  <si>
    <t>Q425</t>
  </si>
  <si>
    <t>Cloud Services</t>
  </si>
  <si>
    <t>Cloud License</t>
  </si>
  <si>
    <t>Hardware</t>
  </si>
  <si>
    <t>Services</t>
  </si>
  <si>
    <t>Cloud</t>
  </si>
  <si>
    <t>S&amp;M</t>
  </si>
  <si>
    <t>R&amp;D</t>
  </si>
  <si>
    <t>G&amp;A</t>
  </si>
  <si>
    <t>Amortization</t>
  </si>
  <si>
    <t>Acquisition</t>
  </si>
  <si>
    <t>Restructuring</t>
  </si>
  <si>
    <t>Operating Income</t>
  </si>
  <si>
    <t>Expenses</t>
  </si>
  <si>
    <t>Taxes</t>
  </si>
  <si>
    <t>Interest</t>
  </si>
  <si>
    <t>Net Income</t>
  </si>
  <si>
    <t>EPS</t>
  </si>
  <si>
    <t>$m</t>
  </si>
  <si>
    <t>License</t>
  </si>
  <si>
    <t>Operating Margin</t>
  </si>
  <si>
    <t>FCF</t>
  </si>
  <si>
    <t>CFFO</t>
  </si>
  <si>
    <t>CapEx</t>
  </si>
  <si>
    <t>Revenue y/y</t>
  </si>
  <si>
    <t>NC</t>
  </si>
  <si>
    <t>Multicloud Partnerships</t>
  </si>
  <si>
    <t>Microsoft</t>
  </si>
  <si>
    <t>Sep. 2023</t>
  </si>
  <si>
    <t>Google</t>
  </si>
  <si>
    <t>June. 2024</t>
  </si>
  <si>
    <t>AWS</t>
  </si>
  <si>
    <t>Sep. 2024</t>
  </si>
  <si>
    <t>94% of Fortune 100 run on Oracle</t>
  </si>
  <si>
    <t>Customers</t>
  </si>
  <si>
    <t>Hardware &amp; Software</t>
  </si>
  <si>
    <t>Java</t>
  </si>
  <si>
    <t>Oracle Database</t>
  </si>
  <si>
    <t>MySQL</t>
  </si>
  <si>
    <t>Linux</t>
  </si>
  <si>
    <t>NoSQL</t>
  </si>
  <si>
    <t>CEO</t>
  </si>
  <si>
    <t>MS. Safra Ada Catz</t>
  </si>
  <si>
    <t>Q126</t>
  </si>
  <si>
    <t>Q226</t>
  </si>
  <si>
    <t>Q326</t>
  </si>
  <si>
    <t>Q426</t>
  </si>
  <si>
    <t>ROIC</t>
  </si>
  <si>
    <t>Discount</t>
  </si>
  <si>
    <t>Terminal</t>
  </si>
  <si>
    <t>NPV</t>
  </si>
  <si>
    <t>Share</t>
  </si>
  <si>
    <t>Current</t>
  </si>
  <si>
    <t>Upside</t>
  </si>
  <si>
    <t>P/E</t>
  </si>
  <si>
    <t>EV/E</t>
  </si>
  <si>
    <t>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</si>
</sst>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u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9" fontId="0" fillId="0" borderId="0" xfId="0" applyNumberFormat="1"/>
    <xf numFmtId="0" fontId="4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Border="1"/>
    <xf numFmtId="3" fontId="5" fillId="0" borderId="0" xfId="0" applyNumberFormat="1" applyFont="1"/>
    <xf numFmtId="38" fontId="0" fillId="0" borderId="0" xfId="0" applyNumberFormat="1"/>
    <xf numFmtId="4" fontId="0" fillId="0" borderId="0" xfId="0" applyNumberFormat="1"/>
    <xf numFmtId="9" fontId="6" fillId="2" borderId="0" xfId="0" applyNumberFormat="1" applyFont="1" applyFill="1"/>
    <xf numFmtId="0" fontId="7" fillId="0" borderId="0" xfId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6569</xdr:rowOff>
    </xdr:from>
    <xdr:to>
      <xdr:col>12</xdr:col>
      <xdr:colOff>6569</xdr:colOff>
      <xdr:row>46</xdr:row>
      <xdr:rowOff>24848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2E1EF4-BB13-B8FE-FF6C-127E3FAEA20E}"/>
            </a:ext>
          </a:extLst>
        </xdr:cNvPr>
        <xdr:cNvCxnSpPr/>
      </xdr:nvCxnSpPr>
      <xdr:spPr>
        <a:xfrm flipH="1">
          <a:off x="10411239" y="6569"/>
          <a:ext cx="6569" cy="69756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oftware-ALL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F06E-1717-4182-A316-268A7E68242D}">
  <dimension ref="B3:M15"/>
  <sheetViews>
    <sheetView topLeftCell="D1" zoomScale="160" zoomScaleNormal="160" workbookViewId="0">
      <selection activeCell="L15" sqref="L15"/>
    </sheetView>
  </sheetViews>
  <sheetFormatPr defaultRowHeight="12.75" x14ac:dyDescent="0.2"/>
  <sheetData>
    <row r="3" spans="2:13" x14ac:dyDescent="0.2">
      <c r="B3" t="s">
        <v>52</v>
      </c>
      <c r="K3" t="s">
        <v>0</v>
      </c>
      <c r="L3">
        <v>151.37</v>
      </c>
    </row>
    <row r="4" spans="2:13" x14ac:dyDescent="0.2">
      <c r="K4" t="s">
        <v>1</v>
      </c>
      <c r="L4" s="1">
        <v>2874</v>
      </c>
      <c r="M4" t="s">
        <v>18</v>
      </c>
    </row>
    <row r="5" spans="2:13" x14ac:dyDescent="0.2">
      <c r="K5" t="s">
        <v>2</v>
      </c>
      <c r="L5" s="1">
        <f>+L3*L4</f>
        <v>435037.38</v>
      </c>
    </row>
    <row r="6" spans="2:13" x14ac:dyDescent="0.2">
      <c r="B6" s="9" t="s">
        <v>54</v>
      </c>
      <c r="K6" t="s">
        <v>3</v>
      </c>
      <c r="L6" s="1">
        <f>17406+417</f>
        <v>17823</v>
      </c>
      <c r="M6" t="s">
        <v>18</v>
      </c>
    </row>
    <row r="7" spans="2:13" x14ac:dyDescent="0.2">
      <c r="B7" t="s">
        <v>55</v>
      </c>
      <c r="K7" t="s">
        <v>4</v>
      </c>
      <c r="L7" s="1">
        <v>0</v>
      </c>
      <c r="M7" t="s">
        <v>18</v>
      </c>
    </row>
    <row r="8" spans="2:13" x14ac:dyDescent="0.2">
      <c r="B8" t="s">
        <v>56</v>
      </c>
      <c r="K8" t="s">
        <v>5</v>
      </c>
      <c r="L8" s="1">
        <f>+L5-L6+L7</f>
        <v>417214.38</v>
      </c>
    </row>
    <row r="9" spans="2:13" x14ac:dyDescent="0.2">
      <c r="B9" t="s">
        <v>57</v>
      </c>
      <c r="K9" t="s">
        <v>44</v>
      </c>
      <c r="L9" s="1">
        <f>+L6-L7</f>
        <v>17823</v>
      </c>
    </row>
    <row r="10" spans="2:13" x14ac:dyDescent="0.2">
      <c r="B10" t="s">
        <v>58</v>
      </c>
    </row>
    <row r="11" spans="2:13" x14ac:dyDescent="0.2">
      <c r="B11" t="s">
        <v>59</v>
      </c>
      <c r="K11" t="s">
        <v>60</v>
      </c>
      <c r="L11" t="s">
        <v>61</v>
      </c>
    </row>
    <row r="13" spans="2:13" x14ac:dyDescent="0.2">
      <c r="K13" t="s">
        <v>73</v>
      </c>
      <c r="L13" s="1">
        <f>+L3/Model!V23</f>
        <v>41.587621861152144</v>
      </c>
    </row>
    <row r="14" spans="2:13" x14ac:dyDescent="0.2">
      <c r="K14" t="s">
        <v>74</v>
      </c>
      <c r="L14" s="1">
        <f>+L8/Model!V22</f>
        <v>41.084626292466766</v>
      </c>
    </row>
    <row r="15" spans="2:13" x14ac:dyDescent="0.2">
      <c r="L15" s="2">
        <f>141/4</f>
        <v>35.25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1BA1-8EF7-4F5A-A312-B3953285440C}">
  <dimension ref="A1:DQ40"/>
  <sheetViews>
    <sheetView tabSelected="1" zoomScale="115" zoomScaleNormal="11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RowHeight="12.75" x14ac:dyDescent="0.2"/>
  <cols>
    <col min="1" max="1" width="5" bestFit="1" customWidth="1"/>
    <col min="2" max="2" width="17.5703125" bestFit="1" customWidth="1"/>
    <col min="5" max="7" width="9.5703125" bestFit="1" customWidth="1"/>
    <col min="8" max="8" width="10.5703125" bestFit="1" customWidth="1"/>
    <col min="9" max="11" width="9.5703125" bestFit="1" customWidth="1"/>
    <col min="12" max="12" width="10.5703125" bestFit="1" customWidth="1"/>
    <col min="28" max="28" width="11.7109375" bestFit="1" customWidth="1"/>
  </cols>
  <sheetData>
    <row r="1" spans="1:29" x14ac:dyDescent="0.2">
      <c r="A1" s="18" t="s">
        <v>9</v>
      </c>
      <c r="E1" s="7">
        <v>44985</v>
      </c>
      <c r="F1" s="7">
        <v>45077</v>
      </c>
      <c r="G1" s="7">
        <v>45169</v>
      </c>
      <c r="H1" s="7">
        <v>45260</v>
      </c>
      <c r="I1" s="7">
        <v>45351</v>
      </c>
      <c r="J1" s="7">
        <v>45443</v>
      </c>
      <c r="K1" s="7">
        <v>45535</v>
      </c>
      <c r="L1" s="7">
        <v>45626</v>
      </c>
      <c r="M1" s="7">
        <v>45716</v>
      </c>
    </row>
    <row r="2" spans="1:29" x14ac:dyDescent="0.2">
      <c r="B2" s="3" t="s">
        <v>37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6</v>
      </c>
      <c r="L2" s="4" t="s">
        <v>7</v>
      </c>
      <c r="M2" s="4" t="s">
        <v>18</v>
      </c>
      <c r="N2" s="13" t="s">
        <v>19</v>
      </c>
      <c r="O2" s="10" t="s">
        <v>62</v>
      </c>
      <c r="P2" s="11" t="s">
        <v>63</v>
      </c>
      <c r="Q2" s="11" t="s">
        <v>64</v>
      </c>
      <c r="R2" s="12" t="s">
        <v>65</v>
      </c>
      <c r="U2">
        <v>2023</v>
      </c>
      <c r="V2">
        <v>2024</v>
      </c>
      <c r="W2">
        <f>+V2+1</f>
        <v>2025</v>
      </c>
      <c r="X2">
        <f t="shared" ref="X2:AC2" si="0">+W2+1</f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</row>
    <row r="3" spans="1:29" x14ac:dyDescent="0.2">
      <c r="B3" s="19" t="s">
        <v>75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1">
        <v>0.63</v>
      </c>
      <c r="N3" s="19"/>
      <c r="O3" s="20"/>
      <c r="P3" s="20"/>
      <c r="Q3" s="20"/>
      <c r="R3" s="20"/>
    </row>
    <row r="4" spans="1:29" x14ac:dyDescent="0.2">
      <c r="B4" t="s">
        <v>20</v>
      </c>
      <c r="E4" s="1">
        <v>8923</v>
      </c>
      <c r="F4" s="1">
        <v>9370</v>
      </c>
      <c r="G4" s="1">
        <v>9547</v>
      </c>
      <c r="H4" s="1">
        <v>9639</v>
      </c>
      <c r="I4" s="1">
        <v>9963</v>
      </c>
      <c r="J4" s="1">
        <v>10234</v>
      </c>
      <c r="K4" s="1">
        <v>10519</v>
      </c>
      <c r="L4" s="1">
        <v>10806</v>
      </c>
      <c r="M4" s="1">
        <v>11007</v>
      </c>
      <c r="V4" s="1">
        <f>+SUM(G4:J4)</f>
        <v>39383</v>
      </c>
    </row>
    <row r="5" spans="1:29" x14ac:dyDescent="0.2">
      <c r="B5" t="s">
        <v>21</v>
      </c>
      <c r="E5" s="1">
        <v>1288</v>
      </c>
      <c r="F5" s="1">
        <v>2152</v>
      </c>
      <c r="G5" s="1">
        <v>809</v>
      </c>
      <c r="H5" s="1">
        <v>1178</v>
      </c>
      <c r="I5" s="1">
        <v>1256</v>
      </c>
      <c r="J5" s="1">
        <v>1838</v>
      </c>
      <c r="K5" s="1">
        <v>870</v>
      </c>
      <c r="L5" s="1">
        <v>1195</v>
      </c>
      <c r="M5" s="1">
        <v>1129</v>
      </c>
    </row>
    <row r="6" spans="1:29" x14ac:dyDescent="0.2">
      <c r="B6" t="s">
        <v>22</v>
      </c>
      <c r="E6" s="1">
        <v>811</v>
      </c>
      <c r="F6" s="1">
        <v>850</v>
      </c>
      <c r="G6" s="1">
        <v>714</v>
      </c>
      <c r="H6" s="1">
        <v>756</v>
      </c>
      <c r="I6" s="1">
        <v>754</v>
      </c>
      <c r="J6" s="1">
        <v>842</v>
      </c>
      <c r="K6" s="1">
        <v>655</v>
      </c>
      <c r="L6" s="1">
        <v>728</v>
      </c>
      <c r="M6" s="1">
        <v>703</v>
      </c>
    </row>
    <row r="7" spans="1:29" x14ac:dyDescent="0.2">
      <c r="B7" t="s">
        <v>23</v>
      </c>
      <c r="E7" s="1">
        <v>1376</v>
      </c>
      <c r="F7" s="1">
        <v>1465</v>
      </c>
      <c r="G7" s="1">
        <v>1383</v>
      </c>
      <c r="H7" s="1">
        <v>1368</v>
      </c>
      <c r="I7" s="1">
        <v>1307</v>
      </c>
      <c r="J7" s="1">
        <v>1373</v>
      </c>
      <c r="K7" s="1">
        <v>1263</v>
      </c>
      <c r="L7" s="1">
        <v>1330</v>
      </c>
      <c r="M7" s="1">
        <v>1291</v>
      </c>
    </row>
    <row r="8" spans="1:29" s="2" customFormat="1" x14ac:dyDescent="0.2">
      <c r="B8" s="2" t="s">
        <v>8</v>
      </c>
      <c r="E8" s="6">
        <f t="shared" ref="E8:M8" si="1">+SUM(E4:E7)</f>
        <v>12398</v>
      </c>
      <c r="F8" s="6">
        <f t="shared" si="1"/>
        <v>13837</v>
      </c>
      <c r="G8" s="6">
        <f t="shared" si="1"/>
        <v>12453</v>
      </c>
      <c r="H8" s="6">
        <f t="shared" si="1"/>
        <v>12941</v>
      </c>
      <c r="I8" s="6">
        <f t="shared" si="1"/>
        <v>13280</v>
      </c>
      <c r="J8" s="6">
        <f t="shared" si="1"/>
        <v>14287</v>
      </c>
      <c r="K8" s="6">
        <f t="shared" si="1"/>
        <v>13307</v>
      </c>
      <c r="L8" s="6">
        <f t="shared" si="1"/>
        <v>14059</v>
      </c>
      <c r="M8" s="6">
        <f t="shared" si="1"/>
        <v>14130</v>
      </c>
      <c r="N8" s="6">
        <f>+M8*1.02</f>
        <v>14412.6</v>
      </c>
      <c r="O8" s="6">
        <f>+N8*1.03</f>
        <v>14844.978000000001</v>
      </c>
      <c r="P8" s="6">
        <f>+O8*1.01</f>
        <v>14993.427780000002</v>
      </c>
      <c r="Q8" s="6">
        <f>+P8*1.01</f>
        <v>15143.362057800003</v>
      </c>
      <c r="R8" s="6">
        <f>+Q8*1.01</f>
        <v>15294.795678378003</v>
      </c>
      <c r="V8" s="6">
        <f>+SUM(G8:J8)</f>
        <v>52961</v>
      </c>
      <c r="W8" s="6">
        <f>+SUM(K8:N8)</f>
        <v>55908.6</v>
      </c>
      <c r="X8" s="6">
        <f>+SUM(O8:R8)</f>
        <v>60276.563516178008</v>
      </c>
      <c r="Y8" s="6"/>
      <c r="Z8" s="6"/>
      <c r="AA8" s="6">
        <v>104000</v>
      </c>
    </row>
    <row r="9" spans="1:29" x14ac:dyDescent="0.2">
      <c r="B9" t="s">
        <v>24</v>
      </c>
      <c r="E9" s="1">
        <v>1980</v>
      </c>
      <c r="F9" s="1">
        <v>2157</v>
      </c>
      <c r="G9" s="1">
        <v>2179</v>
      </c>
      <c r="H9" s="1">
        <v>2274</v>
      </c>
      <c r="I9" s="1">
        <v>2452</v>
      </c>
      <c r="J9" s="1">
        <v>2522</v>
      </c>
      <c r="K9" s="1">
        <v>2597</v>
      </c>
      <c r="L9" s="1">
        <v>2746</v>
      </c>
      <c r="M9" s="1">
        <v>2882</v>
      </c>
      <c r="N9" s="1">
        <v>2746</v>
      </c>
      <c r="O9" s="1">
        <f>+N9*1.02</f>
        <v>2800.92</v>
      </c>
      <c r="P9" s="1">
        <f t="shared" ref="P9:R9" si="2">+O9*1.02</f>
        <v>2856.9384</v>
      </c>
      <c r="Q9" s="1">
        <f t="shared" si="2"/>
        <v>2914.0771680000003</v>
      </c>
      <c r="R9" s="1">
        <f t="shared" si="2"/>
        <v>2972.3587113600001</v>
      </c>
      <c r="V9" s="1">
        <f>+SUM(G9:J9)</f>
        <v>9427</v>
      </c>
      <c r="W9" s="1">
        <f>+SUM(K9:N9)</f>
        <v>10971</v>
      </c>
      <c r="X9" s="14">
        <f>+SUM(O9:R9)</f>
        <v>11544.294279360001</v>
      </c>
    </row>
    <row r="10" spans="1:29" x14ac:dyDescent="0.2">
      <c r="B10" t="s">
        <v>22</v>
      </c>
      <c r="E10" s="1">
        <v>244</v>
      </c>
      <c r="F10" s="1">
        <v>261</v>
      </c>
      <c r="G10" s="1">
        <v>219</v>
      </c>
      <c r="H10" s="1">
        <v>213</v>
      </c>
      <c r="I10" s="1">
        <v>217</v>
      </c>
      <c r="J10" s="1">
        <v>241</v>
      </c>
      <c r="K10" s="1">
        <v>162</v>
      </c>
      <c r="L10" s="1">
        <v>172</v>
      </c>
      <c r="M10" s="1">
        <v>197</v>
      </c>
      <c r="N10" s="1">
        <f>+M10*1.05</f>
        <v>206.85000000000002</v>
      </c>
      <c r="O10" s="1">
        <f t="shared" ref="O10:R10" si="3">+N10*1.05</f>
        <v>217.19250000000002</v>
      </c>
      <c r="P10" s="1">
        <f t="shared" si="3"/>
        <v>228.05212500000005</v>
      </c>
      <c r="Q10" s="1">
        <f t="shared" si="3"/>
        <v>239.45473125000007</v>
      </c>
      <c r="R10" s="1">
        <f t="shared" si="3"/>
        <v>251.42746781250008</v>
      </c>
      <c r="V10" s="1">
        <f t="shared" ref="V10:V17" si="4">+SUM(G10:J10)</f>
        <v>890</v>
      </c>
      <c r="W10" s="1">
        <f t="shared" ref="W10:W17" si="5">+SUM(K10:N10)</f>
        <v>737.85</v>
      </c>
      <c r="X10" s="14">
        <f t="shared" ref="X10:X17" si="6">+SUM(O10:R10)</f>
        <v>936.12682406250019</v>
      </c>
    </row>
    <row r="11" spans="1:29" x14ac:dyDescent="0.2">
      <c r="B11" t="s">
        <v>23</v>
      </c>
      <c r="E11" s="1">
        <v>1215</v>
      </c>
      <c r="F11" s="1">
        <v>1312</v>
      </c>
      <c r="G11" s="1">
        <v>1212</v>
      </c>
      <c r="H11" s="1">
        <v>1253</v>
      </c>
      <c r="I11" s="1">
        <v>1200</v>
      </c>
      <c r="J11" s="1">
        <v>1160</v>
      </c>
      <c r="K11" s="1">
        <v>1147</v>
      </c>
      <c r="L11" s="1">
        <v>1167</v>
      </c>
      <c r="M11" s="1">
        <v>1116</v>
      </c>
      <c r="N11" s="1">
        <f>+M11*1.01</f>
        <v>1127.1600000000001</v>
      </c>
      <c r="O11" s="1">
        <f t="shared" ref="O11:R11" si="7">+N11*1.01</f>
        <v>1138.4316000000001</v>
      </c>
      <c r="P11" s="1">
        <f t="shared" si="7"/>
        <v>1149.815916</v>
      </c>
      <c r="Q11" s="1">
        <f t="shared" si="7"/>
        <v>1161.3140751600001</v>
      </c>
      <c r="R11" s="1">
        <f t="shared" si="7"/>
        <v>1172.9272159116001</v>
      </c>
      <c r="V11" s="1">
        <f t="shared" si="4"/>
        <v>4825</v>
      </c>
      <c r="W11" s="1">
        <f t="shared" si="5"/>
        <v>4557.16</v>
      </c>
      <c r="X11" s="14">
        <f t="shared" si="6"/>
        <v>4622.4888070716006</v>
      </c>
    </row>
    <row r="12" spans="1:29" x14ac:dyDescent="0.2">
      <c r="B12" t="s">
        <v>25</v>
      </c>
      <c r="E12" s="1">
        <v>2150</v>
      </c>
      <c r="F12" s="1">
        <v>2289</v>
      </c>
      <c r="G12" s="1">
        <v>2026</v>
      </c>
      <c r="H12" s="1">
        <v>2093</v>
      </c>
      <c r="I12" s="1">
        <v>2042</v>
      </c>
      <c r="J12" s="1">
        <v>2114</v>
      </c>
      <c r="K12" s="1">
        <v>2036</v>
      </c>
      <c r="L12" s="1">
        <v>2190</v>
      </c>
      <c r="M12" s="1">
        <v>2119</v>
      </c>
      <c r="N12" s="1">
        <f t="shared" ref="N12:R12" si="8">+M12*1.01</f>
        <v>2140.19</v>
      </c>
      <c r="O12" s="1">
        <f t="shared" si="8"/>
        <v>2161.5918999999999</v>
      </c>
      <c r="P12" s="1">
        <f t="shared" si="8"/>
        <v>2183.2078189999997</v>
      </c>
      <c r="Q12" s="1">
        <f t="shared" si="8"/>
        <v>2205.0398971899999</v>
      </c>
      <c r="R12" s="1">
        <f t="shared" si="8"/>
        <v>2227.0902961618999</v>
      </c>
      <c r="V12" s="1">
        <f t="shared" si="4"/>
        <v>8275</v>
      </c>
      <c r="W12" s="1">
        <f t="shared" si="5"/>
        <v>8485.19</v>
      </c>
      <c r="X12" s="14">
        <f t="shared" si="6"/>
        <v>8776.9299123518995</v>
      </c>
    </row>
    <row r="13" spans="1:29" x14ac:dyDescent="0.2">
      <c r="B13" t="s">
        <v>26</v>
      </c>
      <c r="E13" s="1">
        <v>2146</v>
      </c>
      <c r="F13" s="1">
        <v>2226</v>
      </c>
      <c r="G13" s="1">
        <v>2216</v>
      </c>
      <c r="H13" s="1">
        <v>2226</v>
      </c>
      <c r="I13" s="1">
        <v>2248</v>
      </c>
      <c r="J13" s="1">
        <v>2226</v>
      </c>
      <c r="K13" s="1">
        <v>2306</v>
      </c>
      <c r="L13" s="1">
        <v>2471</v>
      </c>
      <c r="M13" s="1">
        <v>2429</v>
      </c>
      <c r="N13" s="1">
        <f t="shared" ref="N13:R13" si="9">+M13*1.01</f>
        <v>2453.29</v>
      </c>
      <c r="O13" s="1">
        <f t="shared" si="9"/>
        <v>2477.8229000000001</v>
      </c>
      <c r="P13" s="1">
        <f t="shared" si="9"/>
        <v>2502.6011290000001</v>
      </c>
      <c r="Q13" s="1">
        <f t="shared" si="9"/>
        <v>2527.6271402900002</v>
      </c>
      <c r="R13" s="1">
        <f t="shared" si="9"/>
        <v>2552.9034116929001</v>
      </c>
      <c r="V13" s="1">
        <f t="shared" si="4"/>
        <v>8916</v>
      </c>
      <c r="W13" s="1">
        <f t="shared" si="5"/>
        <v>9659.2900000000009</v>
      </c>
      <c r="X13" s="14">
        <f t="shared" si="6"/>
        <v>10060.9545809829</v>
      </c>
    </row>
    <row r="14" spans="1:29" x14ac:dyDescent="0.2">
      <c r="B14" t="s">
        <v>27</v>
      </c>
      <c r="E14" s="1">
        <v>402</v>
      </c>
      <c r="F14" s="1">
        <v>400</v>
      </c>
      <c r="G14" s="1">
        <v>393</v>
      </c>
      <c r="H14" s="1">
        <v>375</v>
      </c>
      <c r="I14" s="1">
        <v>377</v>
      </c>
      <c r="J14" s="1">
        <v>402</v>
      </c>
      <c r="K14" s="1">
        <v>358</v>
      </c>
      <c r="L14" s="1">
        <v>387</v>
      </c>
      <c r="M14" s="1">
        <v>390</v>
      </c>
      <c r="N14" s="1">
        <f t="shared" ref="N14:R14" si="10">+M14*1.01</f>
        <v>393.9</v>
      </c>
      <c r="O14" s="1">
        <f t="shared" si="10"/>
        <v>397.839</v>
      </c>
      <c r="P14" s="1">
        <f t="shared" si="10"/>
        <v>401.81738999999999</v>
      </c>
      <c r="Q14" s="1">
        <f t="shared" si="10"/>
        <v>405.83556390000001</v>
      </c>
      <c r="R14" s="1">
        <f t="shared" si="10"/>
        <v>409.89391953900002</v>
      </c>
      <c r="V14" s="1">
        <f t="shared" si="4"/>
        <v>1547</v>
      </c>
      <c r="W14" s="1">
        <f t="shared" si="5"/>
        <v>1528.9</v>
      </c>
      <c r="X14" s="14">
        <f t="shared" si="6"/>
        <v>1615.3858734390001</v>
      </c>
    </row>
    <row r="15" spans="1:29" x14ac:dyDescent="0.2">
      <c r="B15" t="s">
        <v>28</v>
      </c>
      <c r="E15" s="1">
        <v>886</v>
      </c>
      <c r="F15" s="1">
        <v>870</v>
      </c>
      <c r="G15" s="1">
        <v>763</v>
      </c>
      <c r="H15" s="1">
        <v>755</v>
      </c>
      <c r="I15" s="1">
        <v>749</v>
      </c>
      <c r="J15" s="1">
        <v>743</v>
      </c>
      <c r="K15" s="1">
        <v>624</v>
      </c>
      <c r="L15" s="1">
        <v>591</v>
      </c>
      <c r="M15" s="1">
        <v>548</v>
      </c>
      <c r="N15" s="1">
        <f t="shared" ref="N15:R15" si="11">+M15*1.01</f>
        <v>553.48</v>
      </c>
      <c r="O15" s="1">
        <f t="shared" si="11"/>
        <v>559.01480000000004</v>
      </c>
      <c r="P15" s="1">
        <f t="shared" si="11"/>
        <v>564.60494800000004</v>
      </c>
      <c r="Q15" s="1">
        <f t="shared" si="11"/>
        <v>570.25099748000002</v>
      </c>
      <c r="R15" s="1">
        <f t="shared" si="11"/>
        <v>575.95350745480005</v>
      </c>
      <c r="V15" s="1">
        <f t="shared" si="4"/>
        <v>3010</v>
      </c>
      <c r="W15" s="1">
        <f t="shared" si="5"/>
        <v>2316.48</v>
      </c>
      <c r="X15" s="14">
        <f t="shared" si="6"/>
        <v>2269.8242529347999</v>
      </c>
    </row>
    <row r="16" spans="1:29" x14ac:dyDescent="0.2">
      <c r="B16" t="s">
        <v>29</v>
      </c>
      <c r="E16" s="1">
        <v>37</v>
      </c>
      <c r="F16" s="1">
        <v>51</v>
      </c>
      <c r="G16" s="1">
        <v>11</v>
      </c>
      <c r="H16" s="1">
        <v>47</v>
      </c>
      <c r="I16" s="1">
        <v>155</v>
      </c>
      <c r="J16" s="1">
        <v>101</v>
      </c>
      <c r="K16" s="1">
        <v>13</v>
      </c>
      <c r="L16" s="1">
        <v>31</v>
      </c>
      <c r="M16" s="1">
        <v>28</v>
      </c>
      <c r="N16" s="1">
        <f t="shared" ref="N16:R16" si="12">+M16*1.01</f>
        <v>28.28</v>
      </c>
      <c r="O16" s="1">
        <f t="shared" si="12"/>
        <v>28.562800000000003</v>
      </c>
      <c r="P16" s="1">
        <f t="shared" si="12"/>
        <v>28.848428000000002</v>
      </c>
      <c r="Q16" s="1">
        <f t="shared" si="12"/>
        <v>29.136912280000001</v>
      </c>
      <c r="R16" s="1">
        <f t="shared" si="12"/>
        <v>29.4282814028</v>
      </c>
      <c r="V16" s="1">
        <f t="shared" si="4"/>
        <v>314</v>
      </c>
      <c r="W16" s="1">
        <f t="shared" si="5"/>
        <v>100.28</v>
      </c>
      <c r="X16" s="14">
        <f t="shared" si="6"/>
        <v>115.97642168280001</v>
      </c>
    </row>
    <row r="17" spans="2:121" x14ac:dyDescent="0.2">
      <c r="B17" t="s">
        <v>30</v>
      </c>
      <c r="E17" s="1">
        <v>78</v>
      </c>
      <c r="F17" s="1">
        <v>131</v>
      </c>
      <c r="G17" s="1">
        <v>138</v>
      </c>
      <c r="H17" s="1">
        <v>83</v>
      </c>
      <c r="I17" s="1">
        <v>90</v>
      </c>
      <c r="J17" s="1">
        <v>92</v>
      </c>
      <c r="K17" s="1">
        <v>73</v>
      </c>
      <c r="L17" s="1">
        <v>84</v>
      </c>
      <c r="M17" s="1">
        <v>63</v>
      </c>
      <c r="N17" s="1">
        <f t="shared" ref="N17:R17" si="13">+M17*1.01</f>
        <v>63.63</v>
      </c>
      <c r="O17" s="1">
        <f t="shared" si="13"/>
        <v>64.266300000000001</v>
      </c>
      <c r="P17" s="1">
        <f t="shared" si="13"/>
        <v>64.908963</v>
      </c>
      <c r="Q17" s="1">
        <f t="shared" si="13"/>
        <v>65.558052630000006</v>
      </c>
      <c r="R17" s="1">
        <f t="shared" si="13"/>
        <v>66.213633156300006</v>
      </c>
      <c r="V17" s="1">
        <f t="shared" si="4"/>
        <v>403</v>
      </c>
      <c r="W17" s="1">
        <f t="shared" si="5"/>
        <v>283.63</v>
      </c>
      <c r="X17" s="14">
        <f t="shared" si="6"/>
        <v>260.94694878630003</v>
      </c>
    </row>
    <row r="18" spans="2:121" x14ac:dyDescent="0.2">
      <c r="B18" t="s">
        <v>32</v>
      </c>
      <c r="E18" s="1">
        <f t="shared" ref="E18:M18" si="14">+SUM(E9:E17)</f>
        <v>9138</v>
      </c>
      <c r="F18" s="1">
        <f t="shared" si="14"/>
        <v>9697</v>
      </c>
      <c r="G18" s="1">
        <f t="shared" si="14"/>
        <v>9157</v>
      </c>
      <c r="H18" s="1">
        <f t="shared" si="14"/>
        <v>9319</v>
      </c>
      <c r="I18" s="1">
        <f t="shared" si="14"/>
        <v>9530</v>
      </c>
      <c r="J18" s="1">
        <f t="shared" si="14"/>
        <v>9601</v>
      </c>
      <c r="K18" s="1">
        <f t="shared" si="14"/>
        <v>9316</v>
      </c>
      <c r="L18" s="1">
        <f t="shared" si="14"/>
        <v>9839</v>
      </c>
      <c r="M18" s="1">
        <f t="shared" si="14"/>
        <v>9772</v>
      </c>
      <c r="N18" s="1">
        <f t="shared" ref="N18:R18" si="15">+SUM(N9:N17)</f>
        <v>9712.7800000000007</v>
      </c>
      <c r="O18" s="1">
        <f t="shared" si="15"/>
        <v>9845.6418000000012</v>
      </c>
      <c r="P18" s="1">
        <f t="shared" si="15"/>
        <v>9980.795118</v>
      </c>
      <c r="Q18" s="1">
        <f t="shared" si="15"/>
        <v>10118.29453818</v>
      </c>
      <c r="R18" s="1">
        <f t="shared" si="15"/>
        <v>10258.196444491799</v>
      </c>
      <c r="V18" s="1">
        <f>+SUM(V9:V17)</f>
        <v>37607</v>
      </c>
      <c r="W18" s="1">
        <f>+SUM(W9:W17)</f>
        <v>38639.780000000006</v>
      </c>
      <c r="X18" s="1">
        <f>+SUM(X9:X17)</f>
        <v>40202.927900671799</v>
      </c>
    </row>
    <row r="19" spans="2:121" s="2" customFormat="1" x14ac:dyDescent="0.2">
      <c r="B19" s="2" t="s">
        <v>31</v>
      </c>
      <c r="E19" s="6">
        <f t="shared" ref="E19:M19" si="16">+E8-E18</f>
        <v>3260</v>
      </c>
      <c r="F19" s="6">
        <f t="shared" si="16"/>
        <v>4140</v>
      </c>
      <c r="G19" s="6">
        <f t="shared" si="16"/>
        <v>3296</v>
      </c>
      <c r="H19" s="6">
        <f t="shared" si="16"/>
        <v>3622</v>
      </c>
      <c r="I19" s="6">
        <f t="shared" si="16"/>
        <v>3750</v>
      </c>
      <c r="J19" s="6">
        <f t="shared" si="16"/>
        <v>4686</v>
      </c>
      <c r="K19" s="6">
        <f t="shared" si="16"/>
        <v>3991</v>
      </c>
      <c r="L19" s="6">
        <f t="shared" si="16"/>
        <v>4220</v>
      </c>
      <c r="M19" s="6">
        <f t="shared" si="16"/>
        <v>4358</v>
      </c>
      <c r="N19" s="6">
        <f t="shared" ref="N19:R19" si="17">+N8-N18</f>
        <v>4699.82</v>
      </c>
      <c r="O19" s="6">
        <f t="shared" si="17"/>
        <v>4999.3361999999997</v>
      </c>
      <c r="P19" s="6">
        <f t="shared" si="17"/>
        <v>5012.6326620000018</v>
      </c>
      <c r="Q19" s="6">
        <f t="shared" si="17"/>
        <v>5025.0675196200027</v>
      </c>
      <c r="R19" s="6">
        <f t="shared" si="17"/>
        <v>5036.5992338862034</v>
      </c>
      <c r="V19" s="6">
        <f t="shared" ref="V19:X19" si="18">+V8-V18</f>
        <v>15354</v>
      </c>
      <c r="W19" s="6">
        <f t="shared" si="18"/>
        <v>17268.819999999992</v>
      </c>
      <c r="X19" s="6">
        <f t="shared" si="18"/>
        <v>20073.635615506209</v>
      </c>
    </row>
    <row r="20" spans="2:121" x14ac:dyDescent="0.2">
      <c r="B20" t="s">
        <v>34</v>
      </c>
      <c r="E20" s="1">
        <v>908</v>
      </c>
      <c r="F20" s="1">
        <v>955</v>
      </c>
      <c r="G20" s="1">
        <v>872</v>
      </c>
      <c r="H20" s="1">
        <v>888</v>
      </c>
      <c r="I20" s="1">
        <v>876</v>
      </c>
      <c r="J20" s="1">
        <v>878</v>
      </c>
      <c r="K20" s="1">
        <v>842</v>
      </c>
      <c r="L20" s="1">
        <v>866</v>
      </c>
      <c r="M20" s="1">
        <v>892</v>
      </c>
      <c r="N20" s="1">
        <v>865</v>
      </c>
      <c r="O20" s="1">
        <v>865</v>
      </c>
      <c r="P20" s="1">
        <v>865</v>
      </c>
      <c r="Q20" s="1">
        <v>865</v>
      </c>
      <c r="R20" s="1">
        <v>865</v>
      </c>
      <c r="V20" s="14">
        <f t="shared" ref="V20:X21" si="19">+SUM(M20:P20)</f>
        <v>3487</v>
      </c>
      <c r="W20" s="14">
        <f t="shared" si="19"/>
        <v>3460</v>
      </c>
      <c r="X20" s="14">
        <f t="shared" si="19"/>
        <v>3460</v>
      </c>
    </row>
    <row r="21" spans="2:121" x14ac:dyDescent="0.2">
      <c r="B21" t="s">
        <v>33</v>
      </c>
      <c r="E21" s="1">
        <v>322</v>
      </c>
      <c r="F21" s="1">
        <v>-210</v>
      </c>
      <c r="G21" s="1">
        <v>45</v>
      </c>
      <c r="H21" s="1">
        <v>217</v>
      </c>
      <c r="I21" s="1">
        <v>464</v>
      </c>
      <c r="J21" s="1">
        <v>639</v>
      </c>
      <c r="K21" s="1">
        <v>240</v>
      </c>
      <c r="L21" s="1">
        <v>239</v>
      </c>
      <c r="M21" s="1">
        <v>512</v>
      </c>
      <c r="N21" s="1">
        <v>400</v>
      </c>
      <c r="O21" s="1">
        <v>400</v>
      </c>
      <c r="P21" s="1">
        <v>400</v>
      </c>
      <c r="Q21" s="1">
        <v>400</v>
      </c>
      <c r="R21" s="1">
        <v>400</v>
      </c>
      <c r="V21" s="14">
        <f t="shared" si="19"/>
        <v>1712</v>
      </c>
      <c r="W21" s="14">
        <f t="shared" si="19"/>
        <v>1600</v>
      </c>
      <c r="X21" s="14">
        <f t="shared" si="19"/>
        <v>1600</v>
      </c>
    </row>
    <row r="22" spans="2:121" s="2" customFormat="1" x14ac:dyDescent="0.2">
      <c r="B22" s="2" t="s">
        <v>35</v>
      </c>
      <c r="E22" s="6">
        <f t="shared" ref="E22:M22" si="20">+E19-E20-E21</f>
        <v>2030</v>
      </c>
      <c r="F22" s="6">
        <f t="shared" si="20"/>
        <v>3395</v>
      </c>
      <c r="G22" s="6">
        <f t="shared" si="20"/>
        <v>2379</v>
      </c>
      <c r="H22" s="6">
        <f t="shared" si="20"/>
        <v>2517</v>
      </c>
      <c r="I22" s="6">
        <f t="shared" si="20"/>
        <v>2410</v>
      </c>
      <c r="J22" s="6">
        <f t="shared" si="20"/>
        <v>3169</v>
      </c>
      <c r="K22" s="6">
        <f t="shared" si="20"/>
        <v>2909</v>
      </c>
      <c r="L22" s="6">
        <f t="shared" si="20"/>
        <v>3115</v>
      </c>
      <c r="M22" s="6">
        <f t="shared" si="20"/>
        <v>2954</v>
      </c>
      <c r="N22" s="6">
        <f t="shared" ref="N22:R22" si="21">+N19-N20-N21</f>
        <v>3434.8199999999997</v>
      </c>
      <c r="O22" s="6">
        <f t="shared" si="21"/>
        <v>3734.3361999999997</v>
      </c>
      <c r="P22" s="6">
        <f t="shared" si="21"/>
        <v>3747.6326620000018</v>
      </c>
      <c r="Q22" s="6">
        <f t="shared" si="21"/>
        <v>3760.0675196200027</v>
      </c>
      <c r="R22" s="6">
        <f t="shared" si="21"/>
        <v>3771.5992338862034</v>
      </c>
      <c r="V22" s="6">
        <f t="shared" ref="V22:X22" si="22">+V19-V20-V21</f>
        <v>10155</v>
      </c>
      <c r="W22" s="6">
        <f t="shared" si="22"/>
        <v>12208.819999999992</v>
      </c>
      <c r="X22" s="6">
        <f t="shared" si="22"/>
        <v>15013.635615506209</v>
      </c>
      <c r="Y22" s="6">
        <f>+X22*1.1</f>
        <v>16514.99917705683</v>
      </c>
      <c r="Z22" s="6">
        <f t="shared" ref="Z22:AC22" si="23">+Y22*1.1</f>
        <v>18166.499094762516</v>
      </c>
      <c r="AA22" s="6">
        <f t="shared" si="23"/>
        <v>19983.14900423877</v>
      </c>
      <c r="AB22" s="6">
        <f t="shared" si="23"/>
        <v>21981.463904662651</v>
      </c>
      <c r="AC22" s="6">
        <f t="shared" si="23"/>
        <v>24179.610295128918</v>
      </c>
      <c r="AD22" s="6">
        <f t="shared" ref="AD22" si="24">+AC22*1.05</f>
        <v>25388.590809885365</v>
      </c>
      <c r="AE22" s="6">
        <f t="shared" ref="AE22:CK22" si="25">+AD22*(1+$AB28)</f>
        <v>25134.70490178651</v>
      </c>
      <c r="AF22" s="6">
        <f t="shared" si="25"/>
        <v>24883.357852768644</v>
      </c>
      <c r="AG22" s="6">
        <f t="shared" si="25"/>
        <v>24634.524274240957</v>
      </c>
      <c r="AH22" s="6">
        <f t="shared" si="25"/>
        <v>24388.179031498548</v>
      </c>
      <c r="AI22" s="6">
        <f t="shared" si="25"/>
        <v>24144.297241183562</v>
      </c>
      <c r="AJ22" s="6">
        <f t="shared" si="25"/>
        <v>23902.854268771727</v>
      </c>
      <c r="AK22" s="6">
        <f t="shared" si="25"/>
        <v>23663.825726084011</v>
      </c>
      <c r="AL22" s="6">
        <f t="shared" si="25"/>
        <v>23427.187468823169</v>
      </c>
      <c r="AM22" s="6">
        <f t="shared" si="25"/>
        <v>23192.915594134938</v>
      </c>
      <c r="AN22" s="6">
        <f t="shared" si="25"/>
        <v>22960.986438193588</v>
      </c>
      <c r="AO22" s="6">
        <f t="shared" si="25"/>
        <v>22731.376573811653</v>
      </c>
      <c r="AP22" s="6">
        <f t="shared" si="25"/>
        <v>22504.062808073537</v>
      </c>
      <c r="AQ22" s="6">
        <f t="shared" si="25"/>
        <v>22279.0221799928</v>
      </c>
      <c r="AR22" s="6">
        <f t="shared" si="25"/>
        <v>22056.231958192871</v>
      </c>
      <c r="AS22" s="6">
        <f t="shared" si="25"/>
        <v>21835.669638610943</v>
      </c>
      <c r="AT22" s="6">
        <f t="shared" si="25"/>
        <v>21617.312942224835</v>
      </c>
      <c r="AU22" s="6">
        <f t="shared" si="25"/>
        <v>21401.139812802587</v>
      </c>
      <c r="AV22" s="6">
        <f t="shared" si="25"/>
        <v>21187.12841467456</v>
      </c>
      <c r="AW22" s="6">
        <f t="shared" si="25"/>
        <v>20975.257130527814</v>
      </c>
      <c r="AX22" s="6">
        <f t="shared" si="25"/>
        <v>20765.504559222536</v>
      </c>
      <c r="AY22" s="6">
        <f t="shared" si="25"/>
        <v>20557.84951363031</v>
      </c>
      <c r="AZ22" s="6">
        <f t="shared" si="25"/>
        <v>20352.271018494008</v>
      </c>
      <c r="BA22" s="6">
        <f t="shared" si="25"/>
        <v>20148.748308309066</v>
      </c>
      <c r="BB22" s="6">
        <f t="shared" si="25"/>
        <v>19947.260825225974</v>
      </c>
      <c r="BC22" s="6">
        <f t="shared" si="25"/>
        <v>19747.788216973713</v>
      </c>
      <c r="BD22" s="6">
        <f t="shared" si="25"/>
        <v>19550.310334803977</v>
      </c>
      <c r="BE22" s="6">
        <f t="shared" si="25"/>
        <v>19354.807231455936</v>
      </c>
      <c r="BF22" s="6">
        <f t="shared" si="25"/>
        <v>19161.259159141377</v>
      </c>
      <c r="BG22" s="6">
        <f t="shared" si="25"/>
        <v>18969.646567549964</v>
      </c>
      <c r="BH22" s="6">
        <f t="shared" si="25"/>
        <v>18779.950101874463</v>
      </c>
      <c r="BI22" s="6">
        <f t="shared" si="25"/>
        <v>18592.150600855719</v>
      </c>
      <c r="BJ22" s="6">
        <f t="shared" si="25"/>
        <v>18406.22909484716</v>
      </c>
      <c r="BK22" s="6">
        <f t="shared" si="25"/>
        <v>18222.16680389869</v>
      </c>
      <c r="BL22" s="6">
        <f t="shared" si="25"/>
        <v>18039.945135859703</v>
      </c>
      <c r="BM22" s="6">
        <f t="shared" si="25"/>
        <v>17859.545684501107</v>
      </c>
      <c r="BN22" s="6">
        <f t="shared" si="25"/>
        <v>17680.950227656096</v>
      </c>
      <c r="BO22" s="6">
        <f t="shared" si="25"/>
        <v>17504.140725379533</v>
      </c>
      <c r="BP22" s="6">
        <f t="shared" si="25"/>
        <v>17329.099318125736</v>
      </c>
      <c r="BQ22" s="6">
        <f t="shared" si="25"/>
        <v>17155.808324944479</v>
      </c>
      <c r="BR22" s="6">
        <f t="shared" si="25"/>
        <v>16984.250241695034</v>
      </c>
      <c r="BS22" s="6">
        <f t="shared" si="25"/>
        <v>16814.407739278082</v>
      </c>
      <c r="BT22" s="6">
        <f t="shared" si="25"/>
        <v>16646.263661885299</v>
      </c>
      <c r="BU22" s="6">
        <f t="shared" si="25"/>
        <v>16479.801025266446</v>
      </c>
      <c r="BV22" s="6">
        <f t="shared" si="25"/>
        <v>16315.003015013781</v>
      </c>
      <c r="BW22" s="6">
        <f t="shared" si="25"/>
        <v>16151.852984863643</v>
      </c>
      <c r="BX22" s="6">
        <f t="shared" si="25"/>
        <v>15990.334455015007</v>
      </c>
      <c r="BY22" s="6">
        <f t="shared" si="25"/>
        <v>15830.431110464857</v>
      </c>
      <c r="BZ22" s="6">
        <f t="shared" si="25"/>
        <v>15672.126799360209</v>
      </c>
      <c r="CA22" s="6">
        <f t="shared" si="25"/>
        <v>15515.405531366607</v>
      </c>
      <c r="CB22" s="6">
        <f t="shared" si="25"/>
        <v>15360.251476052941</v>
      </c>
      <c r="CC22" s="6">
        <f t="shared" si="25"/>
        <v>15206.648961292412</v>
      </c>
      <c r="CD22" s="6">
        <f t="shared" si="25"/>
        <v>15054.582471679489</v>
      </c>
      <c r="CE22" s="6">
        <f t="shared" si="25"/>
        <v>14904.036646962693</v>
      </c>
      <c r="CF22" s="6">
        <f t="shared" si="25"/>
        <v>14754.996280493066</v>
      </c>
      <c r="CG22" s="6">
        <f t="shared" si="25"/>
        <v>14607.446317688135</v>
      </c>
      <c r="CH22" s="6">
        <f t="shared" si="25"/>
        <v>14461.371854511253</v>
      </c>
      <c r="CI22" s="6">
        <f t="shared" si="25"/>
        <v>14316.75813596614</v>
      </c>
      <c r="CJ22" s="6">
        <f t="shared" si="25"/>
        <v>14173.590554606479</v>
      </c>
      <c r="CK22" s="6">
        <f t="shared" si="25"/>
        <v>14031.854649060413</v>
      </c>
      <c r="CL22" s="6">
        <f t="shared" ref="CL22:DQ22" si="26">+CK22*(1+$AB28)</f>
        <v>13891.536102569809</v>
      </c>
      <c r="CM22" s="6">
        <f t="shared" si="26"/>
        <v>13752.620741544111</v>
      </c>
      <c r="CN22" s="6">
        <f t="shared" si="26"/>
        <v>13615.09453412867</v>
      </c>
      <c r="CO22" s="6">
        <f t="shared" si="26"/>
        <v>13478.943588787382</v>
      </c>
      <c r="CP22" s="6">
        <f t="shared" si="26"/>
        <v>13344.154152899508</v>
      </c>
      <c r="CQ22" s="6">
        <f t="shared" si="26"/>
        <v>13210.712611370513</v>
      </c>
      <c r="CR22" s="6">
        <f t="shared" si="26"/>
        <v>13078.605485256807</v>
      </c>
      <c r="CS22" s="6">
        <f t="shared" si="26"/>
        <v>12947.819430404239</v>
      </c>
      <c r="CT22" s="6">
        <f t="shared" si="26"/>
        <v>12818.341236100197</v>
      </c>
      <c r="CU22" s="6">
        <f t="shared" si="26"/>
        <v>12690.157823739195</v>
      </c>
      <c r="CV22" s="6">
        <f t="shared" si="26"/>
        <v>12563.256245501803</v>
      </c>
      <c r="CW22" s="6">
        <f t="shared" si="26"/>
        <v>12437.623683046786</v>
      </c>
      <c r="CX22" s="6">
        <f t="shared" si="26"/>
        <v>12313.247446216317</v>
      </c>
      <c r="CY22" s="6">
        <f t="shared" si="26"/>
        <v>12190.114971754154</v>
      </c>
      <c r="CZ22" s="6">
        <f t="shared" si="26"/>
        <v>12068.213822036612</v>
      </c>
      <c r="DA22" s="6">
        <f t="shared" si="26"/>
        <v>11947.531683816245</v>
      </c>
      <c r="DB22" s="6">
        <f t="shared" si="26"/>
        <v>11828.056366978082</v>
      </c>
      <c r="DC22" s="6">
        <f t="shared" si="26"/>
        <v>11709.775803308301</v>
      </c>
      <c r="DD22" s="6">
        <f t="shared" si="26"/>
        <v>11592.678045275217</v>
      </c>
      <c r="DE22" s="6">
        <f t="shared" si="26"/>
        <v>11476.751264822466</v>
      </c>
      <c r="DF22" s="6">
        <f t="shared" si="26"/>
        <v>11361.983752174241</v>
      </c>
      <c r="DG22" s="6">
        <f t="shared" si="26"/>
        <v>11248.363914652498</v>
      </c>
      <c r="DH22" s="6">
        <f t="shared" si="26"/>
        <v>11135.880275505973</v>
      </c>
      <c r="DI22" s="6">
        <f t="shared" si="26"/>
        <v>11024.521472750914</v>
      </c>
      <c r="DJ22" s="6">
        <f t="shared" si="26"/>
        <v>10914.276258023405</v>
      </c>
      <c r="DK22" s="6">
        <f t="shared" si="26"/>
        <v>10805.133495443171</v>
      </c>
      <c r="DL22" s="6">
        <f t="shared" si="26"/>
        <v>10697.082160488739</v>
      </c>
      <c r="DM22" s="6">
        <f t="shared" si="26"/>
        <v>10590.111338883851</v>
      </c>
      <c r="DN22" s="6">
        <f t="shared" si="26"/>
        <v>10484.210225495013</v>
      </c>
      <c r="DO22" s="6">
        <f t="shared" si="26"/>
        <v>10379.368123240063</v>
      </c>
      <c r="DP22" s="6">
        <f t="shared" si="26"/>
        <v>10275.574442007663</v>
      </c>
      <c r="DQ22" s="6">
        <f t="shared" si="26"/>
        <v>10172.818697587585</v>
      </c>
    </row>
    <row r="23" spans="2:121" x14ac:dyDescent="0.2">
      <c r="B23" t="s">
        <v>36</v>
      </c>
      <c r="E23" s="5">
        <f t="shared" ref="E23:M23" si="27">+E22/E24</f>
        <v>0.75240919199406964</v>
      </c>
      <c r="F23" s="5">
        <f t="shared" si="27"/>
        <v>1.2541558921315108</v>
      </c>
      <c r="G23" s="5">
        <f t="shared" si="27"/>
        <v>0.87206744868035191</v>
      </c>
      <c r="H23" s="5">
        <f t="shared" si="27"/>
        <v>0.91660597232337948</v>
      </c>
      <c r="I23" s="5">
        <f t="shared" si="27"/>
        <v>0.87700145560407572</v>
      </c>
      <c r="J23" s="5">
        <f t="shared" si="27"/>
        <v>1.151107882310207</v>
      </c>
      <c r="K23" s="5">
        <f t="shared" si="27"/>
        <v>1.0536037667511771</v>
      </c>
      <c r="L23" s="5">
        <f t="shared" si="27"/>
        <v>1.1164874551971327</v>
      </c>
      <c r="M23" s="5">
        <f t="shared" si="27"/>
        <v>1.0278357689631177</v>
      </c>
      <c r="N23" s="5">
        <f t="shared" ref="N23:R23" si="28">+N22/N24</f>
        <v>1.2311182795698923</v>
      </c>
      <c r="O23" s="5">
        <f t="shared" si="28"/>
        <v>1.3384717562724013</v>
      </c>
      <c r="P23" s="5">
        <f t="shared" si="28"/>
        <v>1.3432375132616494</v>
      </c>
      <c r="Q23" s="5">
        <f t="shared" si="28"/>
        <v>1.3476944514767035</v>
      </c>
      <c r="R23" s="5">
        <f t="shared" si="28"/>
        <v>1.3518276823964888</v>
      </c>
      <c r="V23" s="5">
        <f t="shared" ref="V23:X23" si="29">+V22/V24</f>
        <v>3.639784946236559</v>
      </c>
      <c r="W23" s="5">
        <f t="shared" si="29"/>
        <v>4.3759211469534023</v>
      </c>
      <c r="X23" s="5">
        <f t="shared" si="29"/>
        <v>5.3812314034072433</v>
      </c>
    </row>
    <row r="24" spans="2:121" x14ac:dyDescent="0.2">
      <c r="B24" t="s">
        <v>1</v>
      </c>
      <c r="E24" s="1">
        <v>2698</v>
      </c>
      <c r="F24" s="1">
        <v>2707</v>
      </c>
      <c r="G24" s="1">
        <v>2728</v>
      </c>
      <c r="H24" s="1">
        <v>2746</v>
      </c>
      <c r="I24" s="1">
        <v>2748</v>
      </c>
      <c r="J24" s="1">
        <v>2753</v>
      </c>
      <c r="K24" s="1">
        <v>2761</v>
      </c>
      <c r="L24" s="1">
        <v>2790</v>
      </c>
      <c r="M24" s="1">
        <v>2874</v>
      </c>
      <c r="N24" s="1">
        <v>2790</v>
      </c>
      <c r="O24" s="1">
        <v>2790</v>
      </c>
      <c r="P24" s="1">
        <v>2790</v>
      </c>
      <c r="Q24" s="1">
        <v>2790</v>
      </c>
      <c r="R24" s="1">
        <v>2790</v>
      </c>
      <c r="V24" s="1">
        <v>2790</v>
      </c>
      <c r="W24" s="1">
        <v>2790</v>
      </c>
      <c r="X24" s="1">
        <v>2790</v>
      </c>
    </row>
    <row r="26" spans="2:121" x14ac:dyDescent="0.2">
      <c r="B26" t="s">
        <v>24</v>
      </c>
      <c r="E26" s="8">
        <f>+E4/E8</f>
        <v>0.71971285691240527</v>
      </c>
      <c r="F26" s="8">
        <f t="shared" ref="F26:L26" si="30">+F4/F8</f>
        <v>0.67716990677169908</v>
      </c>
      <c r="G26" s="8">
        <f t="shared" si="30"/>
        <v>0.76664257608608366</v>
      </c>
      <c r="H26" s="8">
        <f t="shared" si="30"/>
        <v>0.74484197511784256</v>
      </c>
      <c r="I26" s="8">
        <f t="shared" si="30"/>
        <v>0.75022590361445785</v>
      </c>
      <c r="J26" s="8">
        <f t="shared" si="30"/>
        <v>0.71631553160215578</v>
      </c>
      <c r="K26" s="8">
        <f t="shared" si="30"/>
        <v>0.79048621026527388</v>
      </c>
      <c r="L26" s="8">
        <f t="shared" si="30"/>
        <v>0.76861796713848785</v>
      </c>
      <c r="M26" s="8">
        <f t="shared" ref="M26" si="31">+M4/M8</f>
        <v>0.77898089171974527</v>
      </c>
      <c r="AA26" t="s">
        <v>66</v>
      </c>
      <c r="AB26" s="8">
        <v>0.01</v>
      </c>
    </row>
    <row r="27" spans="2:121" x14ac:dyDescent="0.2">
      <c r="B27" t="s">
        <v>38</v>
      </c>
      <c r="E27" s="8">
        <f>+E5/E8</f>
        <v>0.10388772382642361</v>
      </c>
      <c r="F27" s="8">
        <f t="shared" ref="F27:L27" si="32">+F5/F8</f>
        <v>0.1555250415552504</v>
      </c>
      <c r="G27" s="8">
        <f t="shared" si="32"/>
        <v>6.4964265638801894E-2</v>
      </c>
      <c r="H27" s="8">
        <f t="shared" si="32"/>
        <v>9.1028514025191257E-2</v>
      </c>
      <c r="I27" s="8">
        <f t="shared" si="32"/>
        <v>9.4578313253012053E-2</v>
      </c>
      <c r="J27" s="8">
        <f t="shared" si="32"/>
        <v>0.1286484216420522</v>
      </c>
      <c r="K27" s="8">
        <f t="shared" si="32"/>
        <v>6.5379123769444658E-2</v>
      </c>
      <c r="L27" s="8">
        <f t="shared" si="32"/>
        <v>8.4998933067785762E-2</v>
      </c>
      <c r="M27" s="8">
        <f t="shared" ref="M27" si="33">+M5/M8</f>
        <v>7.9900920028308564E-2</v>
      </c>
      <c r="AA27" t="s">
        <v>67</v>
      </c>
      <c r="AB27" s="8">
        <v>0.06</v>
      </c>
    </row>
    <row r="28" spans="2:121" x14ac:dyDescent="0.2">
      <c r="B28" t="s">
        <v>22</v>
      </c>
      <c r="E28" s="8">
        <f>+E6/E8</f>
        <v>6.5413776415550892E-2</v>
      </c>
      <c r="F28" s="8">
        <f t="shared" ref="F28:L28" si="34">+F6/F8</f>
        <v>6.1429500614295009E-2</v>
      </c>
      <c r="G28" s="8">
        <f t="shared" si="34"/>
        <v>5.733558178752108E-2</v>
      </c>
      <c r="H28" s="8">
        <f t="shared" si="34"/>
        <v>5.8418978440615096E-2</v>
      </c>
      <c r="I28" s="8">
        <f t="shared" si="34"/>
        <v>5.6777108433734937E-2</v>
      </c>
      <c r="J28" s="8">
        <f t="shared" si="34"/>
        <v>5.8934695877371039E-2</v>
      </c>
      <c r="K28" s="8">
        <f t="shared" si="34"/>
        <v>4.9222213872397988E-2</v>
      </c>
      <c r="L28" s="8">
        <f t="shared" si="34"/>
        <v>5.1781776797780781E-2</v>
      </c>
      <c r="M28" s="8">
        <f t="shared" ref="M28" si="35">+M6/M8</f>
        <v>4.9752300070771409E-2</v>
      </c>
      <c r="AA28" t="s">
        <v>68</v>
      </c>
      <c r="AB28" s="8">
        <v>-0.01</v>
      </c>
    </row>
    <row r="29" spans="2:121" x14ac:dyDescent="0.2">
      <c r="B29" t="s">
        <v>23</v>
      </c>
      <c r="E29" s="8">
        <f>+E7/E8</f>
        <v>0.11098564284562026</v>
      </c>
      <c r="F29" s="8">
        <f t="shared" ref="F29:L29" si="36">+F7/F8</f>
        <v>0.10587555105875551</v>
      </c>
      <c r="G29" s="8">
        <f t="shared" si="36"/>
        <v>0.11105757648759335</v>
      </c>
      <c r="H29" s="8">
        <f t="shared" si="36"/>
        <v>0.10571053241635113</v>
      </c>
      <c r="I29" s="8">
        <f t="shared" si="36"/>
        <v>9.8418674698795186E-2</v>
      </c>
      <c r="J29" s="8">
        <f t="shared" si="36"/>
        <v>9.6101350878420935E-2</v>
      </c>
      <c r="K29" s="8">
        <f t="shared" si="36"/>
        <v>9.4912452092883445E-2</v>
      </c>
      <c r="L29" s="8">
        <f t="shared" si="36"/>
        <v>9.4601322995945661E-2</v>
      </c>
      <c r="M29" s="8">
        <f t="shared" ref="M29" si="37">+M7/M8</f>
        <v>9.1365888181174804E-2</v>
      </c>
      <c r="AA29" t="s">
        <v>69</v>
      </c>
      <c r="AB29" s="15">
        <f>+NPV(AB27,V22:DQ22)</f>
        <v>330719.84523958352</v>
      </c>
    </row>
    <row r="30" spans="2:121" x14ac:dyDescent="0.2">
      <c r="E30" s="8"/>
      <c r="F30" s="8"/>
      <c r="G30" s="8"/>
      <c r="H30" s="8"/>
      <c r="I30" s="8"/>
      <c r="J30" s="8"/>
      <c r="K30" s="8"/>
      <c r="L30" s="8"/>
      <c r="AA30" t="s">
        <v>44</v>
      </c>
    </row>
    <row r="31" spans="2:121" x14ac:dyDescent="0.2">
      <c r="B31" t="s">
        <v>53</v>
      </c>
      <c r="E31" s="8"/>
      <c r="F31" s="8"/>
      <c r="G31" s="8"/>
      <c r="H31" s="8"/>
      <c r="I31" s="8"/>
      <c r="J31" s="8"/>
      <c r="K31" s="8"/>
      <c r="L31" s="8"/>
      <c r="U31" s="1">
        <v>70000</v>
      </c>
      <c r="V31" s="1">
        <v>80000</v>
      </c>
      <c r="AA31" t="s">
        <v>70</v>
      </c>
      <c r="AB31" s="16">
        <f>+AB29/Main!L4</f>
        <v>115.07301504508821</v>
      </c>
    </row>
    <row r="32" spans="2:121" x14ac:dyDescent="0.2">
      <c r="AA32" t="s">
        <v>71</v>
      </c>
      <c r="AB32">
        <v>151.37</v>
      </c>
    </row>
    <row r="33" spans="2:28" x14ac:dyDescent="0.2">
      <c r="B33" t="s">
        <v>39</v>
      </c>
      <c r="E33" s="8">
        <f>+E19/E8</f>
        <v>0.26294563639296659</v>
      </c>
      <c r="F33" s="8">
        <f t="shared" ref="F33:M33" si="38">+F19/F8</f>
        <v>0.29919780299197801</v>
      </c>
      <c r="G33" s="8">
        <f t="shared" si="38"/>
        <v>0.26467517867180601</v>
      </c>
      <c r="H33" s="8">
        <f t="shared" si="38"/>
        <v>0.27988563480411094</v>
      </c>
      <c r="I33" s="8">
        <f t="shared" si="38"/>
        <v>0.28237951807228917</v>
      </c>
      <c r="J33" s="8">
        <f t="shared" si="38"/>
        <v>0.32799048085672289</v>
      </c>
      <c r="K33" s="8">
        <f t="shared" si="38"/>
        <v>0.2999173367400616</v>
      </c>
      <c r="L33" s="8">
        <f t="shared" si="38"/>
        <v>0.30016359627285011</v>
      </c>
      <c r="M33" s="8">
        <f t="shared" si="38"/>
        <v>0.30842179759377214</v>
      </c>
      <c r="V33" s="8">
        <f t="shared" ref="V33:X33" si="39">+V19/V8</f>
        <v>0.28991144427031212</v>
      </c>
      <c r="W33" s="8">
        <f t="shared" si="39"/>
        <v>0.30887591533324021</v>
      </c>
      <c r="X33" s="8">
        <f t="shared" si="39"/>
        <v>0.33302554831478604</v>
      </c>
      <c r="AA33" t="s">
        <v>72</v>
      </c>
      <c r="AB33" s="17">
        <f>+AB32/AB31-1</f>
        <v>0.31542568812236138</v>
      </c>
    </row>
    <row r="35" spans="2:28" s="6" customFormat="1" x14ac:dyDescent="0.2">
      <c r="B35" s="6" t="s">
        <v>40</v>
      </c>
      <c r="G35" s="6">
        <f t="shared" ref="G35:L35" si="40">+G36+G37</f>
        <v>5412</v>
      </c>
      <c r="H35" s="6">
        <f t="shared" si="40"/>
        <v>4723</v>
      </c>
      <c r="I35" s="6">
        <f t="shared" si="40"/>
        <v>8524</v>
      </c>
      <c r="J35" s="6">
        <f t="shared" si="40"/>
        <v>11807</v>
      </c>
      <c r="K35" s="6">
        <f t="shared" si="40"/>
        <v>4662</v>
      </c>
      <c r="L35" s="6">
        <f t="shared" si="40"/>
        <v>2458</v>
      </c>
      <c r="U35" s="6">
        <f>+U36+U37</f>
        <v>8470</v>
      </c>
      <c r="V35" s="6">
        <f>+V36+V37</f>
        <v>11807</v>
      </c>
    </row>
    <row r="36" spans="2:28" s="1" customFormat="1" x14ac:dyDescent="0.2">
      <c r="B36" s="1" t="s">
        <v>41</v>
      </c>
      <c r="G36" s="1">
        <v>6974</v>
      </c>
      <c r="H36" s="1">
        <v>7117</v>
      </c>
      <c r="I36" s="1">
        <v>12592</v>
      </c>
      <c r="J36" s="1">
        <v>18673</v>
      </c>
      <c r="K36" s="1">
        <v>7427</v>
      </c>
      <c r="L36" s="1">
        <v>8731</v>
      </c>
      <c r="U36" s="1">
        <v>17165</v>
      </c>
      <c r="V36" s="1">
        <v>18673</v>
      </c>
    </row>
    <row r="37" spans="2:28" s="1" customFormat="1" x14ac:dyDescent="0.2">
      <c r="B37" s="1" t="s">
        <v>42</v>
      </c>
      <c r="G37" s="1">
        <v>-1562</v>
      </c>
      <c r="H37" s="1">
        <v>-2394</v>
      </c>
      <c r="I37" s="1">
        <v>-4068</v>
      </c>
      <c r="J37" s="1">
        <v>-6866</v>
      </c>
      <c r="K37" s="1">
        <v>-2765</v>
      </c>
      <c r="L37" s="1">
        <v>-6273</v>
      </c>
      <c r="U37" s="1">
        <v>-8695</v>
      </c>
      <c r="V37" s="1">
        <v>-6866</v>
      </c>
      <c r="W37" s="1">
        <v>15000</v>
      </c>
    </row>
    <row r="38" spans="2:28" s="1" customFormat="1" x14ac:dyDescent="0.2"/>
    <row r="40" spans="2:28" x14ac:dyDescent="0.2">
      <c r="B40" t="s">
        <v>43</v>
      </c>
      <c r="G40" s="8"/>
      <c r="H40" s="8"/>
      <c r="I40" s="8">
        <f>+I8/E8-1</f>
        <v>7.114050653331172E-2</v>
      </c>
      <c r="J40" s="8">
        <f>+J8/F8-1</f>
        <v>3.2521500325215058E-2</v>
      </c>
      <c r="K40" s="8">
        <f>+K8/G8-1</f>
        <v>6.857785272625061E-2</v>
      </c>
      <c r="L40" s="8">
        <f>+L8/H8-1</f>
        <v>8.6392087164824938E-2</v>
      </c>
      <c r="M40" s="8">
        <f>+M8/I8-1</f>
        <v>6.4006024096385561E-2</v>
      </c>
      <c r="W40" s="8">
        <f>+W8/V8-1</f>
        <v>5.5656048790619472E-2</v>
      </c>
      <c r="X40" s="8">
        <f>+X8/W8-1</f>
        <v>7.8126862704092304E-2</v>
      </c>
    </row>
  </sheetData>
  <hyperlinks>
    <hyperlink ref="A1" r:id="rId1" xr:uid="{714A886F-5B2D-4036-B01F-D543C5FE8752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DB97-B469-4C56-8D96-0130B12905DC}">
  <dimension ref="B2:C6"/>
  <sheetViews>
    <sheetView workbookViewId="0">
      <selection activeCell="A10" sqref="A10"/>
    </sheetView>
  </sheetViews>
  <sheetFormatPr defaultRowHeight="12.75" x14ac:dyDescent="0.2"/>
  <sheetData>
    <row r="2" spans="2:3" x14ac:dyDescent="0.2">
      <c r="B2" s="9" t="s">
        <v>45</v>
      </c>
    </row>
    <row r="4" spans="2:3" x14ac:dyDescent="0.2">
      <c r="B4" t="s">
        <v>46</v>
      </c>
      <c r="C4" t="s">
        <v>47</v>
      </c>
    </row>
    <row r="5" spans="2:3" x14ac:dyDescent="0.2">
      <c r="B5" t="s">
        <v>48</v>
      </c>
      <c r="C5" t="s">
        <v>49</v>
      </c>
    </row>
    <row r="6" spans="2:3" x14ac:dyDescent="0.2">
      <c r="B6" t="s">
        <v>50</v>
      </c>
      <c r="C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Partnerships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2025-03-07T11:14:13Z</dcterms:created>
  <dcterms:modified xsi:type="dcterms:W3CDTF">2025-03-10T23:04:22Z</dcterms:modified>
</cp:coreProperties>
</file>