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dRichValueWebImage.xml" ContentType="application/vnd.ms-excel.rdrichvaluewebimage+xml"/>
  <Override PartName="/xl/richData/rdrichvalue.xml" ContentType="application/vnd.ms-excel.rdrichvalue+xml"/>
  <Override PartName="/xl/richData/rdrichvaluestructure.xml" ContentType="application/vnd.ms-excel.rdrichvaluestructure+xml"/>
  <Override PartName="/xl/richData/rdarray.xml" ContentType="application/vnd.ms-excel.rdarray+xml"/>
  <Override PartName="/xl/richData/richStyles.xml" ContentType="application/vnd.ms-excel.richstyles+xml"/>
  <Override PartName="/xl/richData/rdsupportingpropertybagstructure.xml" ContentType="application/vnd.ms-excel.rdsupportingpropertybagstructure+xml"/>
  <Override PartName="/xl/richData/rdsupportingpropertybag.xml" ContentType="application/vnd.ms-excel.rdsupportingpropertybag+xml"/>
  <Override PartName="/xl/richData/rdRichValueTypes.xml" ContentType="application/vnd.ms-excel.rdrichvaluetype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drawings/drawing2.xml" ContentType="application/vnd.openxmlformats-officedocument.drawing+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xl/webextensions/taskpanes.xml" ContentType="application/vnd.ms-office.webextensiontaskpanes+xml"/>
  <Override PartName="/xl/webextensions/webextension1.xml" ContentType="application/vnd.ms-office.webextension+xml"/>
  <Override PartName="/xl/webextensions/webextension2.xml" ContentType="application/vnd.ms-office.webextension+xml"/>
  <Override PartName="/xl/webextensions/webextension3.xml" ContentType="application/vnd.ms-office.webextension+xml"/>
  <Override PartName="/xl/webextensions/webextension4.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codeName="ThisWorkbook" defaultThemeVersion="166925"/>
  <mc:AlternateContent xmlns:mc="http://schemas.openxmlformats.org/markup-compatibility/2006">
    <mc:Choice Requires="x15">
      <x15ac:absPath xmlns:x15ac="http://schemas.microsoft.com/office/spreadsheetml/2010/11/ac" url="D:\Data D ALLE\PT.WIRATAMA GLOBALINDO JAYA\PROJECT\PROJECT 2023\1. Controlled Project 2023_Jonal\"/>
    </mc:Choice>
  </mc:AlternateContent>
  <xr:revisionPtr revIDLastSave="0" documentId="13_ncr:1_{1BDA674D-1CF4-4E34-9860-495EE6C98340}" xr6:coauthVersionLast="47" xr6:coauthVersionMax="47" xr10:uidLastSave="{00000000-0000-0000-0000-000000000000}"/>
  <bookViews>
    <workbookView xWindow="-108" yWindow="-108" windowWidth="23256" windowHeight="12456" tabRatio="599" firstSheet="3" activeTab="6" xr2:uid="{27914EF3-3C62-4524-A044-1398C565779B}"/>
  </bookViews>
  <sheets>
    <sheet name="LOGISTIK MASUK" sheetId="16" state="hidden" r:id="rId1"/>
    <sheet name="STATUS" sheetId="11" state="hidden" r:id="rId2"/>
    <sheet name="DASHBOARD FINAL" sheetId="45" r:id="rId3"/>
    <sheet name="PIVOT" sheetId="48" r:id="rId4"/>
    <sheet name="DATA MASTER" sheetId="9" r:id="rId5"/>
    <sheet name="DATA FABRIKASI" sheetId="10" r:id="rId6"/>
    <sheet name="Sheet1" sheetId="49" r:id="rId7"/>
    <sheet name="ISSUE PROJECT" sheetId="12" state="hidden" r:id="rId8"/>
    <sheet name="Data Aksesories" sheetId="14" r:id="rId9"/>
    <sheet name="Data Baut Jembatan" sheetId="15" r:id="rId10"/>
    <sheet name="DATA PACKING " sheetId="18" r:id="rId11"/>
    <sheet name="CONSUMABLE PACKING" sheetId="19" r:id="rId12"/>
    <sheet name="DATA TRIAL BAILEY" sheetId="24" r:id="rId13"/>
    <sheet name="Total" sheetId="25" r:id="rId14"/>
    <sheet name="Sheet2" sheetId="47" r:id="rId15"/>
  </sheets>
  <definedNames>
    <definedName name="_xlcn.WorksheetConnection_ControlledProject2023_byJonal.xlsxBNW1" hidden="1">BNW[]</definedName>
    <definedName name="_xlcn.WorksheetConnection_ControlledProject2023_byJonal.xlsxTable21" hidden="1">DATA_MASTER[]</definedName>
    <definedName name="_xlcn.WorksheetConnection_ControlledProject2023_byJonal.xlsxTable31" hidden="1">FABRIKASI[]</definedName>
    <definedName name="_xlcn.WorksheetConnection_ControlledProject2023_byJonal.xlsxTable3281" hidden="1">Table328[]</definedName>
    <definedName name="_xlcn.WorksheetConnection_ControlledProject2023_byJonal.xlsxTable41" hidden="1">Table4[]</definedName>
    <definedName name="_xlcn.WorksheetConnection_ControlledProject2023_byJonal.xlsxTable51" hidden="1">AKSESORIS[]</definedName>
    <definedName name="MASTER" localSheetId="11">DATA_MASTER[]</definedName>
    <definedName name="MASTER" localSheetId="10">DATA_MASTER[]</definedName>
    <definedName name="MASTER" localSheetId="12">DATA_MASTER[]</definedName>
    <definedName name="MASTER">DATA_MASTER[]</definedName>
    <definedName name="_xlnm.Print_Area" localSheetId="11">Table328[#All]</definedName>
    <definedName name="_xlnm.Print_Area" localSheetId="2">'DASHBOARD FINAL'!$C$1:$L$182</definedName>
    <definedName name="_xlnm.Print_Area" localSheetId="10">Table32[#All]</definedName>
    <definedName name="_xlnm.Print_Area" localSheetId="12">#REF!</definedName>
    <definedName name="_xlnm.Print_Titles" localSheetId="2">'DASHBOARD FINAL'!$1:$15</definedName>
  </definedNames>
  <calcPr calcId="191029" calcMode="autoNoTable" concurrentCalc="0"/>
  <pivotCaches>
    <pivotCache cacheId="7" r:id="rId16"/>
    <pivotCache cacheId="8" r:id="rId17"/>
    <pivotCache cacheId="9" r:id="rId18"/>
    <pivotCache cacheId="10" r:id="rId19"/>
    <pivotCache cacheId="11" r:id="rId20"/>
    <pivotCache cacheId="12" r:id="rId21"/>
  </pivotCaches>
  <extLs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5" name="Table5" connection="WorksheetConnection_Controlled Project 2023_by Jonal.xlsx!Table5"/>
          <x15:modelTable id="Table4" name="Table4" connection="WorksheetConnection_Controlled Project 2023_by Jonal.xlsx!Table4"/>
          <x15:modelTable id="Table328" name="Table328" connection="WorksheetConnection_Controlled Project 2023_by Jonal.xlsx!Table328"/>
          <x15:modelTable id="Table3" name="Table3" connection="WorksheetConnection_Controlled Project 2023_by Jonal.xlsx!Table3"/>
          <x15:modelTable id="Table2" name="Table2" connection="WorksheetConnection_Controlled Project 2023_by Jonal.xlsx!Table2"/>
          <x15:modelTable id="BNW" name="BNW" connection="WorksheetConnection_Controlled Project 2023_by Jonal.xlsx!BNW"/>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17" i="49" l="1"/>
  <c r="F100" i="49"/>
  <c r="B72" i="48"/>
  <c r="B71" i="48"/>
  <c r="H49" i="9"/>
  <c r="H47" i="9"/>
  <c r="B66" i="48"/>
  <c r="B67" i="48"/>
  <c r="H29" i="9"/>
  <c r="B59" i="48"/>
  <c r="H30" i="9"/>
  <c r="H31" i="9"/>
  <c r="B60" i="48"/>
  <c r="C130" i="10"/>
  <c r="D130" i="10"/>
  <c r="I130" i="10"/>
  <c r="J130" i="10"/>
  <c r="H124" i="9"/>
  <c r="S124" i="9"/>
  <c r="T124" i="9"/>
  <c r="U124" i="9"/>
  <c r="V124" i="9"/>
  <c r="B466" i="14"/>
  <c r="C466" i="14"/>
  <c r="L466" i="14"/>
  <c r="M466" i="14"/>
  <c r="N466" i="14"/>
  <c r="B465" i="14"/>
  <c r="C465" i="14"/>
  <c r="L465" i="14"/>
  <c r="M465" i="14"/>
  <c r="N465" i="14"/>
  <c r="C129" i="10"/>
  <c r="D129" i="10"/>
  <c r="I129" i="10"/>
  <c r="J129" i="10"/>
  <c r="S123" i="9"/>
  <c r="T123" i="9"/>
  <c r="U123" i="9"/>
  <c r="V123" i="9"/>
  <c r="B790" i="15"/>
  <c r="C790" i="15"/>
  <c r="I790" i="15"/>
  <c r="K790" i="15"/>
  <c r="B462" i="14"/>
  <c r="B463" i="14"/>
  <c r="B464" i="14"/>
  <c r="C462" i="14"/>
  <c r="C463" i="14"/>
  <c r="C464" i="14"/>
  <c r="L462" i="14"/>
  <c r="L463" i="14"/>
  <c r="L464" i="14"/>
  <c r="H123" i="9"/>
  <c r="M462" i="14"/>
  <c r="N462" i="14"/>
  <c r="M463" i="14"/>
  <c r="N463" i="14"/>
  <c r="M464" i="14"/>
  <c r="N464" i="14"/>
  <c r="L790" i="15"/>
  <c r="C128" i="10"/>
  <c r="D128" i="10"/>
  <c r="I128" i="10"/>
  <c r="J128" i="10"/>
  <c r="H122" i="9"/>
  <c r="S122" i="9"/>
  <c r="T122" i="9"/>
  <c r="U122" i="9"/>
  <c r="V122" i="9"/>
  <c r="B779" i="15"/>
  <c r="B780" i="15"/>
  <c r="B781" i="15"/>
  <c r="B782" i="15"/>
  <c r="B783" i="15"/>
  <c r="B784" i="15"/>
  <c r="B785" i="15"/>
  <c r="B786" i="15"/>
  <c r="B787" i="15"/>
  <c r="B788" i="15"/>
  <c r="B789" i="15"/>
  <c r="C779" i="15"/>
  <c r="C780" i="15"/>
  <c r="C781" i="15"/>
  <c r="C782" i="15"/>
  <c r="C783" i="15"/>
  <c r="C784" i="15"/>
  <c r="C785" i="15"/>
  <c r="C786" i="15"/>
  <c r="C787" i="15"/>
  <c r="C788" i="15"/>
  <c r="C789" i="15"/>
  <c r="I779" i="15"/>
  <c r="I780" i="15"/>
  <c r="I781" i="15"/>
  <c r="I782" i="15"/>
  <c r="I783" i="15"/>
  <c r="I784" i="15"/>
  <c r="I785" i="15"/>
  <c r="I786" i="15"/>
  <c r="I787" i="15"/>
  <c r="I788" i="15"/>
  <c r="I789" i="15"/>
  <c r="K779" i="15"/>
  <c r="L779" i="15"/>
  <c r="K780" i="15"/>
  <c r="L780" i="15"/>
  <c r="K781" i="15"/>
  <c r="L781" i="15"/>
  <c r="K782" i="15"/>
  <c r="L782" i="15"/>
  <c r="K783" i="15"/>
  <c r="K784" i="15"/>
  <c r="L784" i="15"/>
  <c r="K785" i="15"/>
  <c r="K786" i="15"/>
  <c r="K787" i="15"/>
  <c r="K788" i="15"/>
  <c r="K789" i="15"/>
  <c r="B769" i="15"/>
  <c r="B770" i="15"/>
  <c r="B771" i="15"/>
  <c r="B772" i="15"/>
  <c r="B773" i="15"/>
  <c r="B774" i="15"/>
  <c r="B775" i="15"/>
  <c r="B776" i="15"/>
  <c r="B777" i="15"/>
  <c r="B778" i="15"/>
  <c r="C769" i="15"/>
  <c r="C770" i="15"/>
  <c r="C771" i="15"/>
  <c r="C772" i="15"/>
  <c r="C773" i="15"/>
  <c r="C774" i="15"/>
  <c r="C775" i="15"/>
  <c r="C776" i="15"/>
  <c r="C777" i="15"/>
  <c r="C778" i="15"/>
  <c r="I769" i="15"/>
  <c r="I770" i="15"/>
  <c r="I771" i="15"/>
  <c r="I772" i="15"/>
  <c r="I773" i="15"/>
  <c r="L773" i="15"/>
  <c r="I774" i="15"/>
  <c r="I775" i="15"/>
  <c r="I776" i="15"/>
  <c r="I777" i="15"/>
  <c r="I778" i="15"/>
  <c r="K769" i="15"/>
  <c r="K770" i="15"/>
  <c r="K771" i="15"/>
  <c r="K772" i="15"/>
  <c r="K773" i="15"/>
  <c r="K774" i="15"/>
  <c r="K775" i="15"/>
  <c r="K776" i="15"/>
  <c r="K777" i="15"/>
  <c r="K778" i="15"/>
  <c r="B458" i="14"/>
  <c r="B459" i="14"/>
  <c r="B460" i="14"/>
  <c r="B461" i="14"/>
  <c r="C458" i="14"/>
  <c r="C459" i="14"/>
  <c r="C460" i="14"/>
  <c r="C461" i="14"/>
  <c r="L458" i="14"/>
  <c r="L459" i="14"/>
  <c r="L460" i="14"/>
  <c r="L461" i="14"/>
  <c r="M458" i="14"/>
  <c r="N458" i="14"/>
  <c r="M459" i="14"/>
  <c r="N459" i="14"/>
  <c r="M460" i="14"/>
  <c r="N460" i="14"/>
  <c r="M461" i="14"/>
  <c r="N461" i="14"/>
  <c r="S120" i="9"/>
  <c r="T120" i="9"/>
  <c r="U120" i="9"/>
  <c r="V120" i="9"/>
  <c r="S121" i="9"/>
  <c r="T121" i="9"/>
  <c r="U121" i="9"/>
  <c r="V121" i="9"/>
  <c r="H121" i="9"/>
  <c r="L788" i="15"/>
  <c r="L787" i="15"/>
  <c r="L789" i="15"/>
  <c r="L786" i="15"/>
  <c r="L785" i="15"/>
  <c r="L783" i="15"/>
  <c r="L769" i="15"/>
  <c r="L770" i="15"/>
  <c r="L776" i="15"/>
  <c r="L775" i="15"/>
  <c r="L774" i="15"/>
  <c r="L771" i="15"/>
  <c r="L772" i="15"/>
  <c r="L778" i="15"/>
  <c r="L777" i="15"/>
  <c r="H120" i="9"/>
  <c r="B759" i="15"/>
  <c r="B760" i="15"/>
  <c r="B761" i="15"/>
  <c r="B762" i="15"/>
  <c r="B763" i="15"/>
  <c r="B764" i="15"/>
  <c r="B765" i="15"/>
  <c r="B766" i="15"/>
  <c r="B767" i="15"/>
  <c r="B768" i="15"/>
  <c r="C759" i="15"/>
  <c r="C760" i="15"/>
  <c r="C761" i="15"/>
  <c r="C762" i="15"/>
  <c r="C763" i="15"/>
  <c r="C764" i="15"/>
  <c r="C765" i="15"/>
  <c r="C766" i="15"/>
  <c r="C767" i="15"/>
  <c r="C768" i="15"/>
  <c r="I759" i="15"/>
  <c r="I760" i="15"/>
  <c r="I761" i="15"/>
  <c r="I762" i="15"/>
  <c r="I763" i="15"/>
  <c r="I764" i="15"/>
  <c r="I765" i="15"/>
  <c r="I766" i="15"/>
  <c r="I767" i="15"/>
  <c r="I768" i="15"/>
  <c r="K759" i="15"/>
  <c r="L759" i="15"/>
  <c r="K760" i="15"/>
  <c r="L760" i="15"/>
  <c r="K761" i="15"/>
  <c r="K762" i="15"/>
  <c r="K763" i="15"/>
  <c r="K764" i="15"/>
  <c r="K765" i="15"/>
  <c r="K766" i="15"/>
  <c r="K767" i="15"/>
  <c r="K768" i="15"/>
  <c r="B456" i="14"/>
  <c r="B457" i="14"/>
  <c r="C456" i="14"/>
  <c r="C457" i="14"/>
  <c r="L456" i="14"/>
  <c r="L457" i="14"/>
  <c r="M456" i="14"/>
  <c r="N456" i="14"/>
  <c r="M457" i="14"/>
  <c r="N457" i="14"/>
  <c r="S119" i="9"/>
  <c r="T119" i="9"/>
  <c r="U119" i="9"/>
  <c r="V119" i="9"/>
  <c r="L768" i="15"/>
  <c r="L765" i="15"/>
  <c r="L764" i="15"/>
  <c r="L763" i="15"/>
  <c r="L762" i="15"/>
  <c r="L767" i="15"/>
  <c r="L766" i="15"/>
  <c r="L761" i="15"/>
  <c r="H119" i="9"/>
  <c r="C127" i="10"/>
  <c r="D127" i="10"/>
  <c r="I127" i="10"/>
  <c r="J127" i="10"/>
  <c r="H118" i="9"/>
  <c r="S118" i="9"/>
  <c r="T118" i="9"/>
  <c r="U118" i="9"/>
  <c r="V118" i="9"/>
  <c r="D137" i="10"/>
  <c r="H9" i="9"/>
  <c r="S9" i="9"/>
  <c r="T9" i="9"/>
  <c r="U9" i="9"/>
  <c r="V9" i="9"/>
  <c r="B752" i="15"/>
  <c r="B753" i="15"/>
  <c r="B754" i="15"/>
  <c r="B755" i="15"/>
  <c r="B756" i="15"/>
  <c r="B757" i="15"/>
  <c r="B758" i="15"/>
  <c r="C752" i="15"/>
  <c r="C753" i="15"/>
  <c r="C754" i="15"/>
  <c r="C755" i="15"/>
  <c r="C756" i="15"/>
  <c r="C757" i="15"/>
  <c r="C758" i="15"/>
  <c r="I752" i="15"/>
  <c r="I753" i="15"/>
  <c r="I754" i="15"/>
  <c r="I755" i="15"/>
  <c r="I756" i="15"/>
  <c r="I757" i="15"/>
  <c r="I758" i="15"/>
  <c r="K752" i="15"/>
  <c r="K753" i="15"/>
  <c r="K754" i="15"/>
  <c r="L754" i="15"/>
  <c r="K755" i="15"/>
  <c r="L755" i="15"/>
  <c r="K756" i="15"/>
  <c r="L756" i="15"/>
  <c r="K757" i="15"/>
  <c r="L757" i="15"/>
  <c r="K758" i="15"/>
  <c r="L758" i="15"/>
  <c r="L455" i="14"/>
  <c r="L454" i="14"/>
  <c r="L453" i="14"/>
  <c r="L452" i="14"/>
  <c r="L451" i="14"/>
  <c r="L450" i="14"/>
  <c r="L449" i="14"/>
  <c r="L448" i="14"/>
  <c r="B455" i="14"/>
  <c r="C455" i="14"/>
  <c r="M455" i="14"/>
  <c r="N455" i="14"/>
  <c r="B454" i="14"/>
  <c r="C454" i="14"/>
  <c r="M454" i="14"/>
  <c r="N454" i="14"/>
  <c r="B453" i="14"/>
  <c r="C453" i="14"/>
  <c r="M453" i="14"/>
  <c r="N453" i="14"/>
  <c r="B452" i="14"/>
  <c r="C452" i="14"/>
  <c r="M452" i="14"/>
  <c r="N452" i="14"/>
  <c r="B451" i="14"/>
  <c r="C451" i="14"/>
  <c r="M451" i="14"/>
  <c r="N451" i="14"/>
  <c r="B450" i="14"/>
  <c r="C450" i="14"/>
  <c r="M450" i="14"/>
  <c r="N450" i="14"/>
  <c r="B449" i="14"/>
  <c r="C449" i="14"/>
  <c r="M449" i="14"/>
  <c r="N449" i="14"/>
  <c r="B448" i="14"/>
  <c r="C448" i="14"/>
  <c r="M448" i="14"/>
  <c r="N448" i="14"/>
  <c r="L753" i="15"/>
  <c r="L752" i="15"/>
  <c r="H117" i="9"/>
  <c r="S117" i="9"/>
  <c r="T117" i="9"/>
  <c r="U117" i="9"/>
  <c r="V117" i="9"/>
  <c r="K442" i="14"/>
  <c r="L442" i="14"/>
  <c r="B447" i="14"/>
  <c r="C447" i="14"/>
  <c r="L447" i="14"/>
  <c r="M447" i="14"/>
  <c r="N447" i="14"/>
  <c r="B446" i="14"/>
  <c r="C446" i="14"/>
  <c r="L446" i="14"/>
  <c r="M446" i="14"/>
  <c r="N446" i="14"/>
  <c r="B445" i="14"/>
  <c r="C445" i="14"/>
  <c r="L445" i="14"/>
  <c r="M445" i="14"/>
  <c r="N445" i="14"/>
  <c r="B444" i="14"/>
  <c r="C444" i="14"/>
  <c r="L444" i="14"/>
  <c r="M444" i="14"/>
  <c r="N444" i="14"/>
  <c r="B443" i="14"/>
  <c r="C443" i="14"/>
  <c r="L443" i="14"/>
  <c r="M443" i="14"/>
  <c r="N443" i="14"/>
  <c r="B442" i="14"/>
  <c r="C442" i="14"/>
  <c r="M442" i="14"/>
  <c r="N442" i="14"/>
  <c r="B441" i="14"/>
  <c r="C441" i="14"/>
  <c r="L441" i="14"/>
  <c r="M441" i="14"/>
  <c r="N441" i="14"/>
  <c r="B440" i="14"/>
  <c r="C440" i="14"/>
  <c r="L440" i="14"/>
  <c r="M440" i="14"/>
  <c r="N440" i="14"/>
  <c r="B439" i="14"/>
  <c r="C439" i="14"/>
  <c r="L439" i="14"/>
  <c r="M439" i="14"/>
  <c r="N439" i="14"/>
  <c r="B438" i="14"/>
  <c r="C438" i="14"/>
  <c r="L438" i="14"/>
  <c r="M438" i="14"/>
  <c r="N438" i="14"/>
  <c r="B437" i="14"/>
  <c r="C437" i="14"/>
  <c r="L437" i="14"/>
  <c r="M437" i="14"/>
  <c r="N437" i="14"/>
  <c r="B436" i="14"/>
  <c r="C436" i="14"/>
  <c r="L436" i="14"/>
  <c r="M436" i="14"/>
  <c r="N436" i="14"/>
  <c r="C126" i="10"/>
  <c r="D126" i="10"/>
  <c r="I126" i="10"/>
  <c r="J126" i="10"/>
  <c r="C125" i="10"/>
  <c r="D125" i="10"/>
  <c r="I125" i="10"/>
  <c r="J125" i="10"/>
  <c r="C124" i="10"/>
  <c r="D124" i="10"/>
  <c r="I124" i="10"/>
  <c r="J124" i="10"/>
  <c r="C123" i="10"/>
  <c r="D123" i="10"/>
  <c r="I123" i="10"/>
  <c r="J123" i="10"/>
  <c r="C122" i="10"/>
  <c r="D122" i="10"/>
  <c r="I122" i="10"/>
  <c r="J122" i="10"/>
  <c r="C121" i="10"/>
  <c r="D121" i="10"/>
  <c r="I121" i="10"/>
  <c r="J121" i="10"/>
  <c r="H114" i="9"/>
  <c r="S114" i="9"/>
  <c r="T114" i="9"/>
  <c r="U114" i="9"/>
  <c r="V114" i="9"/>
  <c r="C66" i="10"/>
  <c r="D66" i="10"/>
  <c r="I66" i="10"/>
  <c r="J66" i="10"/>
  <c r="B742" i="15"/>
  <c r="B743" i="15"/>
  <c r="B744" i="15"/>
  <c r="B745" i="15"/>
  <c r="B746" i="15"/>
  <c r="B747" i="15"/>
  <c r="B748" i="15"/>
  <c r="B749" i="15"/>
  <c r="B750" i="15"/>
  <c r="B751" i="15"/>
  <c r="C742" i="15"/>
  <c r="C743" i="15"/>
  <c r="C744" i="15"/>
  <c r="C745" i="15"/>
  <c r="C746" i="15"/>
  <c r="C747" i="15"/>
  <c r="C748" i="15"/>
  <c r="C749" i="15"/>
  <c r="C750" i="15"/>
  <c r="C751" i="15"/>
  <c r="I742" i="15"/>
  <c r="I743" i="15"/>
  <c r="I744" i="15"/>
  <c r="I745" i="15"/>
  <c r="I746" i="15"/>
  <c r="I747" i="15"/>
  <c r="I748" i="15"/>
  <c r="I749" i="15"/>
  <c r="I750" i="15"/>
  <c r="I751" i="15"/>
  <c r="K742" i="15"/>
  <c r="K743" i="15"/>
  <c r="K744" i="15"/>
  <c r="K745" i="15"/>
  <c r="K746" i="15"/>
  <c r="K747" i="15"/>
  <c r="K748" i="15"/>
  <c r="K749" i="15"/>
  <c r="K750" i="15"/>
  <c r="K751" i="15"/>
  <c r="B435" i="14"/>
  <c r="C435" i="14"/>
  <c r="L435" i="14"/>
  <c r="M435" i="14"/>
  <c r="N435" i="14"/>
  <c r="B434" i="14"/>
  <c r="C434" i="14"/>
  <c r="L434" i="14"/>
  <c r="M434" i="14"/>
  <c r="N434" i="14"/>
  <c r="B433" i="14"/>
  <c r="C433" i="14"/>
  <c r="L433" i="14"/>
  <c r="M433" i="14"/>
  <c r="N433" i="14"/>
  <c r="B432" i="14"/>
  <c r="C432" i="14"/>
  <c r="L432" i="14"/>
  <c r="M432" i="14"/>
  <c r="N432" i="14"/>
  <c r="B431" i="14"/>
  <c r="C431" i="14"/>
  <c r="L431" i="14"/>
  <c r="M431" i="14"/>
  <c r="N431" i="14"/>
  <c r="B430" i="14"/>
  <c r="C430" i="14"/>
  <c r="L430" i="14"/>
  <c r="M430" i="14"/>
  <c r="N430" i="14"/>
  <c r="B429" i="14"/>
  <c r="C429" i="14"/>
  <c r="L429" i="14"/>
  <c r="M429" i="14"/>
  <c r="N429" i="14"/>
  <c r="B428" i="14"/>
  <c r="C428" i="14"/>
  <c r="L428" i="14"/>
  <c r="M428" i="14"/>
  <c r="N428" i="14"/>
  <c r="B427" i="14"/>
  <c r="C427" i="14"/>
  <c r="L427" i="14"/>
  <c r="M427" i="14"/>
  <c r="N427" i="14"/>
  <c r="B426" i="14"/>
  <c r="C426" i="14"/>
  <c r="L426" i="14"/>
  <c r="M426" i="14"/>
  <c r="N426" i="14"/>
  <c r="B425" i="14"/>
  <c r="C425" i="14"/>
  <c r="L425" i="14"/>
  <c r="M425" i="14"/>
  <c r="N425" i="14"/>
  <c r="B424" i="14"/>
  <c r="C424" i="14"/>
  <c r="L424" i="14"/>
  <c r="M424" i="14"/>
  <c r="N424" i="14"/>
  <c r="L743" i="15"/>
  <c r="L742" i="15"/>
  <c r="L744" i="15"/>
  <c r="L749" i="15"/>
  <c r="L748" i="15"/>
  <c r="L747" i="15"/>
  <c r="L746" i="15"/>
  <c r="L745" i="15"/>
  <c r="L751" i="15"/>
  <c r="L750" i="15"/>
  <c r="B423" i="14"/>
  <c r="C423" i="14"/>
  <c r="L423" i="14"/>
  <c r="M423" i="14"/>
  <c r="N423" i="14"/>
  <c r="B422" i="14"/>
  <c r="C422" i="14"/>
  <c r="L422" i="14"/>
  <c r="M422" i="14"/>
  <c r="N422" i="14"/>
  <c r="B421" i="14"/>
  <c r="C421" i="14"/>
  <c r="L421" i="14"/>
  <c r="M421" i="14"/>
  <c r="N421" i="14"/>
  <c r="B420" i="14"/>
  <c r="C420" i="14"/>
  <c r="L420" i="14"/>
  <c r="M420" i="14"/>
  <c r="N420" i="14"/>
  <c r="B419" i="14"/>
  <c r="C419" i="14"/>
  <c r="L419" i="14"/>
  <c r="M419" i="14"/>
  <c r="N419" i="14"/>
  <c r="B418" i="14"/>
  <c r="C418" i="14"/>
  <c r="L418" i="14"/>
  <c r="M418" i="14"/>
  <c r="N418" i="14"/>
  <c r="B417" i="14"/>
  <c r="C417" i="14"/>
  <c r="L417" i="14"/>
  <c r="M417" i="14"/>
  <c r="N417" i="14"/>
  <c r="B416" i="14"/>
  <c r="C416" i="14"/>
  <c r="L416" i="14"/>
  <c r="M416" i="14"/>
  <c r="N416" i="14"/>
  <c r="B415" i="14"/>
  <c r="C415" i="14"/>
  <c r="L415" i="14"/>
  <c r="M415" i="14"/>
  <c r="N415" i="14"/>
  <c r="C118" i="10"/>
  <c r="D118" i="10"/>
  <c r="I118" i="10"/>
  <c r="J118" i="10"/>
  <c r="H113" i="9"/>
  <c r="S113" i="9"/>
  <c r="T113" i="9"/>
  <c r="U113" i="9"/>
  <c r="V113" i="9"/>
  <c r="B387" i="14"/>
  <c r="B388" i="14"/>
  <c r="B389" i="14"/>
  <c r="B390" i="14"/>
  <c r="C387" i="14"/>
  <c r="C388" i="14"/>
  <c r="C389" i="14"/>
  <c r="C390" i="14"/>
  <c r="L387" i="14"/>
  <c r="L388" i="14"/>
  <c r="L389" i="14"/>
  <c r="L390" i="14"/>
  <c r="M387" i="14"/>
  <c r="N387" i="14"/>
  <c r="M388" i="14"/>
  <c r="N388" i="14"/>
  <c r="M389" i="14"/>
  <c r="N389" i="14"/>
  <c r="M390" i="14"/>
  <c r="N390" i="14"/>
  <c r="E137" i="10"/>
  <c r="E136" i="10"/>
  <c r="B730" i="15"/>
  <c r="B731" i="15"/>
  <c r="B732" i="15"/>
  <c r="B733" i="15"/>
  <c r="B734" i="15"/>
  <c r="B735" i="15"/>
  <c r="B736" i="15"/>
  <c r="B737" i="15"/>
  <c r="B738" i="15"/>
  <c r="B739" i="15"/>
  <c r="B740" i="15"/>
  <c r="B741" i="15"/>
  <c r="C730" i="15"/>
  <c r="C731" i="15"/>
  <c r="C732" i="15"/>
  <c r="C733" i="15"/>
  <c r="C734" i="15"/>
  <c r="C735" i="15"/>
  <c r="C736" i="15"/>
  <c r="C737" i="15"/>
  <c r="C738" i="15"/>
  <c r="C739" i="15"/>
  <c r="C740" i="15"/>
  <c r="C741" i="15"/>
  <c r="I730" i="15"/>
  <c r="I731" i="15"/>
  <c r="I732" i="15"/>
  <c r="I733" i="15"/>
  <c r="I734" i="15"/>
  <c r="I735" i="15"/>
  <c r="I736" i="15"/>
  <c r="I737" i="15"/>
  <c r="I738" i="15"/>
  <c r="I739" i="15"/>
  <c r="I740" i="15"/>
  <c r="I741" i="15"/>
  <c r="K730" i="15"/>
  <c r="K731" i="15"/>
  <c r="K732" i="15"/>
  <c r="K733" i="15"/>
  <c r="K734" i="15"/>
  <c r="K735" i="15"/>
  <c r="K736" i="15"/>
  <c r="K737" i="15"/>
  <c r="K738" i="15"/>
  <c r="L738" i="15"/>
  <c r="K739" i="15"/>
  <c r="L739" i="15"/>
  <c r="K740" i="15"/>
  <c r="K741" i="15"/>
  <c r="B414" i="14"/>
  <c r="C414" i="14"/>
  <c r="L414" i="14"/>
  <c r="M414" i="14"/>
  <c r="N414" i="14"/>
  <c r="B413" i="14"/>
  <c r="C413" i="14"/>
  <c r="L413" i="14"/>
  <c r="M413" i="14"/>
  <c r="N413" i="14"/>
  <c r="C120" i="10"/>
  <c r="D120" i="10"/>
  <c r="I120" i="10"/>
  <c r="J120" i="10"/>
  <c r="S116" i="9"/>
  <c r="T116" i="9"/>
  <c r="U116" i="9"/>
  <c r="V116" i="9"/>
  <c r="B718" i="15"/>
  <c r="B719" i="15"/>
  <c r="B720" i="15"/>
  <c r="B721" i="15"/>
  <c r="B722" i="15"/>
  <c r="B723" i="15"/>
  <c r="B724" i="15"/>
  <c r="B725" i="15"/>
  <c r="B726" i="15"/>
  <c r="B727" i="15"/>
  <c r="B728" i="15"/>
  <c r="B729" i="15"/>
  <c r="C718" i="15"/>
  <c r="C719" i="15"/>
  <c r="C720" i="15"/>
  <c r="C721" i="15"/>
  <c r="C722" i="15"/>
  <c r="C723" i="15"/>
  <c r="C724" i="15"/>
  <c r="C725" i="15"/>
  <c r="C726" i="15"/>
  <c r="C727" i="15"/>
  <c r="C728" i="15"/>
  <c r="C729" i="15"/>
  <c r="I718" i="15"/>
  <c r="I719" i="15"/>
  <c r="I720" i="15"/>
  <c r="I721" i="15"/>
  <c r="I722" i="15"/>
  <c r="I723" i="15"/>
  <c r="I724" i="15"/>
  <c r="I725" i="15"/>
  <c r="I726" i="15"/>
  <c r="I727" i="15"/>
  <c r="I728" i="15"/>
  <c r="I729" i="15"/>
  <c r="K718" i="15"/>
  <c r="K719" i="15"/>
  <c r="K720" i="15"/>
  <c r="K721" i="15"/>
  <c r="K722" i="15"/>
  <c r="K723" i="15"/>
  <c r="K724" i="15"/>
  <c r="K725" i="15"/>
  <c r="K726" i="15"/>
  <c r="K727" i="15"/>
  <c r="K728" i="15"/>
  <c r="K729" i="15"/>
  <c r="B412" i="14"/>
  <c r="C412" i="14"/>
  <c r="L412" i="14"/>
  <c r="M412" i="14"/>
  <c r="N412" i="14"/>
  <c r="B411" i="14"/>
  <c r="C411" i="14"/>
  <c r="L411" i="14"/>
  <c r="M411" i="14"/>
  <c r="N411" i="14"/>
  <c r="L741" i="15"/>
  <c r="L740" i="15"/>
  <c r="I137" i="10"/>
  <c r="J134" i="10"/>
  <c r="H115" i="9"/>
  <c r="L720" i="15"/>
  <c r="H116" i="9"/>
  <c r="I136" i="10"/>
  <c r="J133" i="10"/>
  <c r="L737" i="15"/>
  <c r="L736" i="15"/>
  <c r="L735" i="15"/>
  <c r="L734" i="15"/>
  <c r="L733" i="15"/>
  <c r="L732" i="15"/>
  <c r="L731" i="15"/>
  <c r="L730" i="15"/>
  <c r="L727" i="15"/>
  <c r="L719" i="15"/>
  <c r="L729" i="15"/>
  <c r="L728" i="15"/>
  <c r="L726" i="15"/>
  <c r="L725" i="15"/>
  <c r="L723" i="15"/>
  <c r="L722" i="15"/>
  <c r="L724" i="15"/>
  <c r="L721" i="15"/>
  <c r="L718" i="15"/>
  <c r="J135" i="10"/>
  <c r="C119" i="10"/>
  <c r="D119" i="10"/>
  <c r="I119" i="10"/>
  <c r="J119" i="10"/>
  <c r="S115" i="9"/>
  <c r="T115" i="9"/>
  <c r="U115" i="9"/>
  <c r="V115" i="9"/>
  <c r="N5" i="45"/>
  <c r="B714" i="15"/>
  <c r="B715" i="15"/>
  <c r="B716" i="15"/>
  <c r="B717" i="15"/>
  <c r="C714" i="15"/>
  <c r="C715" i="15"/>
  <c r="C716" i="15"/>
  <c r="C717" i="15"/>
  <c r="I714" i="15"/>
  <c r="I715" i="15"/>
  <c r="I716" i="15"/>
  <c r="I717" i="15"/>
  <c r="K714" i="15"/>
  <c r="L714" i="15"/>
  <c r="K715" i="15"/>
  <c r="L715" i="15"/>
  <c r="K716" i="15"/>
  <c r="L716" i="15"/>
  <c r="K717" i="15"/>
  <c r="L717" i="15"/>
  <c r="B710" i="15"/>
  <c r="B711" i="15"/>
  <c r="B712" i="15"/>
  <c r="B713" i="15"/>
  <c r="C710" i="15"/>
  <c r="C711" i="15"/>
  <c r="C712" i="15"/>
  <c r="C713" i="15"/>
  <c r="I710" i="15"/>
  <c r="I711" i="15"/>
  <c r="I712" i="15"/>
  <c r="I713" i="15"/>
  <c r="K710" i="15"/>
  <c r="L710" i="15"/>
  <c r="K711" i="15"/>
  <c r="K712" i="15"/>
  <c r="K713" i="15"/>
  <c r="L712" i="15"/>
  <c r="L713" i="15"/>
  <c r="L711" i="15"/>
  <c r="B705" i="15"/>
  <c r="B706" i="15"/>
  <c r="B707" i="15"/>
  <c r="B708" i="15"/>
  <c r="B709" i="15"/>
  <c r="C705" i="15"/>
  <c r="C706" i="15"/>
  <c r="C707" i="15"/>
  <c r="C708" i="15"/>
  <c r="C709" i="15"/>
  <c r="I705" i="15"/>
  <c r="I706" i="15"/>
  <c r="I707" i="15"/>
  <c r="I708" i="15"/>
  <c r="I709" i="15"/>
  <c r="K705" i="15"/>
  <c r="K706" i="15"/>
  <c r="K707" i="15"/>
  <c r="K708" i="15"/>
  <c r="K709" i="15"/>
  <c r="L356" i="14"/>
  <c r="L705" i="15"/>
  <c r="L709" i="15"/>
  <c r="L706" i="15"/>
  <c r="L707" i="15"/>
  <c r="L708" i="15"/>
  <c r="B356" i="14"/>
  <c r="C356" i="14"/>
  <c r="M356" i="14"/>
  <c r="N356" i="14"/>
  <c r="B355" i="14"/>
  <c r="C355" i="14"/>
  <c r="L355" i="14"/>
  <c r="M355" i="14"/>
  <c r="N355" i="14"/>
  <c r="B354" i="14"/>
  <c r="C354" i="14"/>
  <c r="L354" i="14"/>
  <c r="M354" i="14"/>
  <c r="N354" i="14"/>
  <c r="B353" i="14"/>
  <c r="C353" i="14"/>
  <c r="L353" i="14"/>
  <c r="M353" i="14"/>
  <c r="N353" i="14"/>
  <c r="B352" i="14"/>
  <c r="C352" i="14"/>
  <c r="L352" i="14"/>
  <c r="M352" i="14"/>
  <c r="N352" i="14"/>
  <c r="B351" i="14"/>
  <c r="C351" i="14"/>
  <c r="L351" i="14"/>
  <c r="M351" i="14"/>
  <c r="N351" i="14"/>
  <c r="C100" i="10"/>
  <c r="D100" i="10"/>
  <c r="I100" i="10"/>
  <c r="J100" i="10"/>
  <c r="C99" i="10"/>
  <c r="D99" i="10"/>
  <c r="I99" i="10"/>
  <c r="J99" i="10"/>
  <c r="C98" i="10"/>
  <c r="D98" i="10"/>
  <c r="I98" i="10"/>
  <c r="J98" i="10"/>
  <c r="I704" i="15"/>
  <c r="I703" i="15"/>
  <c r="I702" i="15"/>
  <c r="I701" i="15"/>
  <c r="I700" i="15"/>
  <c r="I699" i="15"/>
  <c r="I698" i="15"/>
  <c r="I697" i="15"/>
  <c r="I696" i="15"/>
  <c r="I695" i="15"/>
  <c r="B695" i="15"/>
  <c r="B696" i="15"/>
  <c r="B697" i="15"/>
  <c r="B698" i="15"/>
  <c r="B699" i="15"/>
  <c r="B700" i="15"/>
  <c r="B701" i="15"/>
  <c r="B702" i="15"/>
  <c r="B703" i="15"/>
  <c r="B704" i="15"/>
  <c r="C695" i="15"/>
  <c r="C696" i="15"/>
  <c r="C697" i="15"/>
  <c r="C698" i="15"/>
  <c r="C699" i="15"/>
  <c r="C700" i="15"/>
  <c r="C701" i="15"/>
  <c r="C702" i="15"/>
  <c r="C703" i="15"/>
  <c r="C704" i="15"/>
  <c r="K695" i="15"/>
  <c r="L695" i="15"/>
  <c r="K696" i="15"/>
  <c r="L696" i="15"/>
  <c r="K697" i="15"/>
  <c r="K698" i="15"/>
  <c r="K699" i="15"/>
  <c r="K700" i="15"/>
  <c r="K701" i="15"/>
  <c r="K702" i="15"/>
  <c r="K703" i="15"/>
  <c r="K704" i="15"/>
  <c r="J400" i="14"/>
  <c r="L400" i="14"/>
  <c r="B400" i="14"/>
  <c r="C400" i="14"/>
  <c r="M400" i="14"/>
  <c r="C115" i="10"/>
  <c r="D115" i="10"/>
  <c r="I115" i="10"/>
  <c r="J115" i="10"/>
  <c r="S110" i="9"/>
  <c r="T110" i="9"/>
  <c r="U110" i="9"/>
  <c r="V110" i="9"/>
  <c r="L700" i="15"/>
  <c r="L698" i="15"/>
  <c r="L702" i="15"/>
  <c r="L703" i="15"/>
  <c r="L701" i="15"/>
  <c r="L704" i="15"/>
  <c r="L699" i="15"/>
  <c r="L697" i="15"/>
  <c r="N400" i="14"/>
  <c r="C65" i="10"/>
  <c r="D65" i="10"/>
  <c r="I65" i="10"/>
  <c r="J65" i="10"/>
  <c r="P97" i="9"/>
  <c r="P96" i="9"/>
  <c r="P95" i="9"/>
  <c r="C80" i="10"/>
  <c r="D80" i="10"/>
  <c r="I80" i="10"/>
  <c r="J80" i="10"/>
  <c r="P77" i="9"/>
  <c r="B237" i="14"/>
  <c r="C237" i="14"/>
  <c r="L237" i="14"/>
  <c r="M237" i="14"/>
  <c r="N237" i="14"/>
  <c r="B239" i="14"/>
  <c r="C239" i="14"/>
  <c r="L239" i="14"/>
  <c r="M239" i="14"/>
  <c r="N239" i="14"/>
  <c r="B241" i="14"/>
  <c r="C241" i="14"/>
  <c r="L241" i="14"/>
  <c r="M241" i="14"/>
  <c r="N241" i="14"/>
  <c r="B242" i="14"/>
  <c r="C242" i="14"/>
  <c r="L242" i="14"/>
  <c r="M242" i="14"/>
  <c r="N242" i="14"/>
  <c r="B399" i="14"/>
  <c r="C399" i="14"/>
  <c r="L399" i="14"/>
  <c r="H110" i="9"/>
  <c r="M399" i="14"/>
  <c r="N399" i="14"/>
  <c r="B240" i="14"/>
  <c r="C240" i="14"/>
  <c r="L240" i="14"/>
  <c r="M240" i="14"/>
  <c r="N240" i="14"/>
  <c r="B238" i="14"/>
  <c r="C238" i="14"/>
  <c r="L238" i="14"/>
  <c r="M238" i="14"/>
  <c r="N238" i="14"/>
  <c r="B236" i="14"/>
  <c r="C236" i="14"/>
  <c r="L236" i="14"/>
  <c r="M236" i="14"/>
  <c r="N236" i="14"/>
  <c r="B235" i="14"/>
  <c r="C235" i="14"/>
  <c r="L235" i="14"/>
  <c r="M235" i="14"/>
  <c r="N235" i="14"/>
  <c r="S77" i="9"/>
  <c r="T77" i="9"/>
  <c r="U77" i="9"/>
  <c r="V77" i="9"/>
  <c r="C79" i="10"/>
  <c r="D79" i="10"/>
  <c r="I79" i="10"/>
  <c r="J79" i="10"/>
  <c r="H97" i="9"/>
  <c r="S97" i="9"/>
  <c r="T97" i="9"/>
  <c r="U97" i="9"/>
  <c r="V97" i="9"/>
  <c r="H96" i="9"/>
  <c r="S96" i="9"/>
  <c r="T96" i="9"/>
  <c r="U96" i="9"/>
  <c r="V96" i="9"/>
  <c r="H95" i="9"/>
  <c r="S95" i="9"/>
  <c r="T95" i="9"/>
  <c r="U95" i="9"/>
  <c r="V95" i="9"/>
  <c r="B269" i="14"/>
  <c r="C269" i="14"/>
  <c r="L269" i="14"/>
  <c r="M269" i="14"/>
  <c r="N269" i="14"/>
  <c r="B268" i="14"/>
  <c r="C268" i="14"/>
  <c r="L268" i="14"/>
  <c r="M268" i="14"/>
  <c r="N268" i="14"/>
  <c r="B402" i="14"/>
  <c r="C402" i="14"/>
  <c r="L402" i="14"/>
  <c r="M402" i="14"/>
  <c r="N402" i="14"/>
  <c r="B401" i="14"/>
  <c r="C401" i="14"/>
  <c r="L401" i="14"/>
  <c r="M401" i="14"/>
  <c r="N401" i="14"/>
  <c r="C85" i="10"/>
  <c r="D85" i="10"/>
  <c r="I85" i="10"/>
  <c r="J85" i="10"/>
  <c r="H82" i="9"/>
  <c r="S82" i="9"/>
  <c r="T82" i="9"/>
  <c r="U82" i="9"/>
  <c r="V82" i="9"/>
  <c r="P111" i="9"/>
  <c r="B683" i="15"/>
  <c r="B684" i="15"/>
  <c r="B685" i="15"/>
  <c r="B686" i="15"/>
  <c r="B687" i="15"/>
  <c r="B688" i="15"/>
  <c r="B689" i="15"/>
  <c r="B690" i="15"/>
  <c r="B691" i="15"/>
  <c r="B692" i="15"/>
  <c r="B693" i="15"/>
  <c r="B694" i="15"/>
  <c r="C683" i="15"/>
  <c r="C684" i="15"/>
  <c r="C685" i="15"/>
  <c r="C686" i="15"/>
  <c r="C687" i="15"/>
  <c r="C688" i="15"/>
  <c r="C689" i="15"/>
  <c r="C690" i="15"/>
  <c r="C691" i="15"/>
  <c r="C692" i="15"/>
  <c r="C693" i="15"/>
  <c r="C694" i="15"/>
  <c r="I683" i="15"/>
  <c r="I684" i="15"/>
  <c r="I685" i="15"/>
  <c r="I686" i="15"/>
  <c r="I687" i="15"/>
  <c r="I688" i="15"/>
  <c r="I689" i="15"/>
  <c r="I690" i="15"/>
  <c r="I691" i="15"/>
  <c r="I692" i="15"/>
  <c r="I693" i="15"/>
  <c r="I694" i="15"/>
  <c r="K683" i="15"/>
  <c r="K684" i="15"/>
  <c r="K685" i="15"/>
  <c r="K686" i="15"/>
  <c r="K687" i="15"/>
  <c r="K688" i="15"/>
  <c r="K689" i="15"/>
  <c r="K690" i="15"/>
  <c r="K691" i="15"/>
  <c r="K692" i="15"/>
  <c r="K693" i="15"/>
  <c r="K694" i="15"/>
  <c r="C116" i="10"/>
  <c r="D116" i="10"/>
  <c r="I116" i="10"/>
  <c r="J116" i="10"/>
  <c r="S111" i="9"/>
  <c r="T111" i="9"/>
  <c r="U111" i="9"/>
  <c r="V111" i="9"/>
  <c r="P13" i="9"/>
  <c r="P14" i="9"/>
  <c r="P15" i="9"/>
  <c r="P16" i="9"/>
  <c r="P17" i="9"/>
  <c r="P18" i="9"/>
  <c r="P19" i="9"/>
  <c r="P20" i="9"/>
  <c r="P21" i="9"/>
  <c r="P22" i="9"/>
  <c r="P23" i="9"/>
  <c r="P24" i="9"/>
  <c r="P25" i="9"/>
  <c r="P26" i="9"/>
  <c r="P27" i="9"/>
  <c r="P28" i="9"/>
  <c r="P29" i="9"/>
  <c r="P30" i="9"/>
  <c r="P31" i="9"/>
  <c r="P32" i="9"/>
  <c r="P33" i="9"/>
  <c r="P34" i="9"/>
  <c r="P112" i="9"/>
  <c r="P35" i="9"/>
  <c r="P36" i="9"/>
  <c r="P37" i="9"/>
  <c r="P38" i="9"/>
  <c r="P39" i="9"/>
  <c r="P40" i="9"/>
  <c r="P41" i="9"/>
  <c r="P42" i="9"/>
  <c r="P43" i="9"/>
  <c r="P44" i="9"/>
  <c r="P45" i="9"/>
  <c r="P46" i="9"/>
  <c r="P47" i="9"/>
  <c r="P48" i="9"/>
  <c r="P49" i="9"/>
  <c r="P50" i="9"/>
  <c r="P51" i="9"/>
  <c r="P52" i="9"/>
  <c r="P53" i="9"/>
  <c r="P54" i="9"/>
  <c r="P55" i="9"/>
  <c r="P56" i="9"/>
  <c r="P57" i="9"/>
  <c r="P58" i="9"/>
  <c r="P59" i="9"/>
  <c r="P60" i="9"/>
  <c r="P61" i="9"/>
  <c r="P62" i="9"/>
  <c r="P63" i="9"/>
  <c r="P64" i="9"/>
  <c r="P65" i="9"/>
  <c r="P66" i="9"/>
  <c r="P67" i="9"/>
  <c r="P68" i="9"/>
  <c r="P69" i="9"/>
  <c r="P70" i="9"/>
  <c r="P71" i="9"/>
  <c r="P72" i="9"/>
  <c r="P73" i="9"/>
  <c r="P74" i="9"/>
  <c r="P75" i="9"/>
  <c r="P76" i="9"/>
  <c r="P78" i="9"/>
  <c r="P79" i="9"/>
  <c r="P80" i="9"/>
  <c r="P81" i="9"/>
  <c r="P83" i="9"/>
  <c r="P84" i="9"/>
  <c r="P85" i="9"/>
  <c r="P86" i="9"/>
  <c r="P87" i="9"/>
  <c r="P88" i="9"/>
  <c r="P89" i="9"/>
  <c r="P90" i="9"/>
  <c r="P91" i="9"/>
  <c r="P92" i="9"/>
  <c r="P93" i="9"/>
  <c r="P94" i="9"/>
  <c r="P98" i="9"/>
  <c r="P99" i="9"/>
  <c r="P100" i="9"/>
  <c r="P101" i="9"/>
  <c r="P102" i="9"/>
  <c r="P103" i="9"/>
  <c r="P104" i="9"/>
  <c r="P105" i="9"/>
  <c r="P106" i="9"/>
  <c r="P107" i="9"/>
  <c r="P108" i="9"/>
  <c r="P109" i="9"/>
  <c r="P12" i="9"/>
  <c r="Q131" i="9"/>
  <c r="U12" i="9"/>
  <c r="C86" i="18"/>
  <c r="D86" i="18"/>
  <c r="C112" i="10"/>
  <c r="D112" i="10"/>
  <c r="I112" i="10"/>
  <c r="J112" i="10"/>
  <c r="C110" i="10"/>
  <c r="D110" i="10"/>
  <c r="I110" i="10"/>
  <c r="J110" i="10"/>
  <c r="H111" i="9"/>
  <c r="L690" i="15"/>
  <c r="L689" i="15"/>
  <c r="L692" i="15"/>
  <c r="L691" i="15"/>
  <c r="L688" i="15"/>
  <c r="L686" i="15"/>
  <c r="L683" i="15"/>
  <c r="L687" i="15"/>
  <c r="L684" i="15"/>
  <c r="L694" i="15"/>
  <c r="L685" i="15"/>
  <c r="L693" i="15"/>
  <c r="B680" i="15"/>
  <c r="B681" i="15"/>
  <c r="B682" i="15"/>
  <c r="C680" i="15"/>
  <c r="C681" i="15"/>
  <c r="C682" i="15"/>
  <c r="I680" i="15"/>
  <c r="I681" i="15"/>
  <c r="I682" i="15"/>
  <c r="K680" i="15"/>
  <c r="K681" i="15"/>
  <c r="L681" i="15"/>
  <c r="K682" i="15"/>
  <c r="L682" i="15"/>
  <c r="B647" i="15"/>
  <c r="B648" i="15"/>
  <c r="B649" i="15"/>
  <c r="B650" i="15"/>
  <c r="B651" i="15"/>
  <c r="B652" i="15"/>
  <c r="B653" i="15"/>
  <c r="B654" i="15"/>
  <c r="B655" i="15"/>
  <c r="C647" i="15"/>
  <c r="C648" i="15"/>
  <c r="C649" i="15"/>
  <c r="C650" i="15"/>
  <c r="C651" i="15"/>
  <c r="C652" i="15"/>
  <c r="C653" i="15"/>
  <c r="C654" i="15"/>
  <c r="C655" i="15"/>
  <c r="I647" i="15"/>
  <c r="I648" i="15"/>
  <c r="I649" i="15"/>
  <c r="I650" i="15"/>
  <c r="I651" i="15"/>
  <c r="I652" i="15"/>
  <c r="I653" i="15"/>
  <c r="I654" i="15"/>
  <c r="I655" i="15"/>
  <c r="K647" i="15"/>
  <c r="K648" i="15"/>
  <c r="K649" i="15"/>
  <c r="K650" i="15"/>
  <c r="K651" i="15"/>
  <c r="K652" i="15"/>
  <c r="K653" i="15"/>
  <c r="K654" i="15"/>
  <c r="K655" i="15"/>
  <c r="L680" i="15"/>
  <c r="L651" i="15"/>
  <c r="L650" i="15"/>
  <c r="L649" i="15"/>
  <c r="L648" i="15"/>
  <c r="L647" i="15"/>
  <c r="L655" i="15"/>
  <c r="L654" i="15"/>
  <c r="L653" i="15"/>
  <c r="L652" i="15"/>
  <c r="B379" i="14"/>
  <c r="C379" i="14"/>
  <c r="L379" i="14"/>
  <c r="M379" i="14"/>
  <c r="N379" i="14"/>
  <c r="B380" i="14"/>
  <c r="C380" i="14"/>
  <c r="L380" i="14"/>
  <c r="M380" i="14"/>
  <c r="N380" i="14"/>
  <c r="B381" i="14"/>
  <c r="C381" i="14"/>
  <c r="L381" i="14"/>
  <c r="M381" i="14"/>
  <c r="N381" i="14"/>
  <c r="B382" i="14"/>
  <c r="C382" i="14"/>
  <c r="L382" i="14"/>
  <c r="M382" i="14"/>
  <c r="N382" i="14"/>
  <c r="C107" i="10"/>
  <c r="D107" i="10"/>
  <c r="I107" i="10"/>
  <c r="J107" i="10"/>
  <c r="S104" i="9"/>
  <c r="T104" i="9"/>
  <c r="U104" i="9"/>
  <c r="V104" i="9"/>
  <c r="B619" i="15"/>
  <c r="B620" i="15"/>
  <c r="B621" i="15"/>
  <c r="B622" i="15"/>
  <c r="C619" i="15"/>
  <c r="C620" i="15"/>
  <c r="C621" i="15"/>
  <c r="C622" i="15"/>
  <c r="I619" i="15"/>
  <c r="I620" i="15"/>
  <c r="I621" i="15"/>
  <c r="I622" i="15"/>
  <c r="K619" i="15"/>
  <c r="K620" i="15"/>
  <c r="K621" i="15"/>
  <c r="K622" i="15"/>
  <c r="B618" i="15"/>
  <c r="C618" i="15"/>
  <c r="I618" i="15"/>
  <c r="K618" i="15"/>
  <c r="B617" i="15"/>
  <c r="C617" i="15"/>
  <c r="I617" i="15"/>
  <c r="K617" i="15"/>
  <c r="L617" i="15"/>
  <c r="B616" i="15"/>
  <c r="C616" i="15"/>
  <c r="I616" i="15"/>
  <c r="K616" i="15"/>
  <c r="L618" i="15"/>
  <c r="L616" i="15"/>
  <c r="L622" i="15"/>
  <c r="L621" i="15"/>
  <c r="L619" i="15"/>
  <c r="L620" i="15"/>
  <c r="B378" i="14"/>
  <c r="C378" i="14"/>
  <c r="L378" i="14"/>
  <c r="M378" i="14"/>
  <c r="N378" i="14"/>
  <c r="B377" i="14"/>
  <c r="C377" i="14"/>
  <c r="L377" i="14"/>
  <c r="H104" i="9"/>
  <c r="M377" i="14"/>
  <c r="N377" i="14"/>
  <c r="B364" i="14"/>
  <c r="C364" i="14"/>
  <c r="L364" i="14"/>
  <c r="M364" i="14"/>
  <c r="N364" i="14"/>
  <c r="B363" i="14"/>
  <c r="C363" i="14"/>
  <c r="L363" i="14"/>
  <c r="M363" i="14"/>
  <c r="N363" i="14"/>
  <c r="B362" i="14"/>
  <c r="C362" i="14"/>
  <c r="L362" i="14"/>
  <c r="M362" i="14"/>
  <c r="N362" i="14"/>
  <c r="B361" i="14"/>
  <c r="C361" i="14"/>
  <c r="L361" i="14"/>
  <c r="M361" i="14"/>
  <c r="N361" i="14"/>
  <c r="B360" i="14"/>
  <c r="C360" i="14"/>
  <c r="L360" i="14"/>
  <c r="M360" i="14"/>
  <c r="N360" i="14"/>
  <c r="B623" i="15"/>
  <c r="B624" i="15"/>
  <c r="B625" i="15"/>
  <c r="B626" i="15"/>
  <c r="B627" i="15"/>
  <c r="B628" i="15"/>
  <c r="B629" i="15"/>
  <c r="B630" i="15"/>
  <c r="B631" i="15"/>
  <c r="B632" i="15"/>
  <c r="B633" i="15"/>
  <c r="B634" i="15"/>
  <c r="B635" i="15"/>
  <c r="B636" i="15"/>
  <c r="C623" i="15"/>
  <c r="C624" i="15"/>
  <c r="C625" i="15"/>
  <c r="C626" i="15"/>
  <c r="C627" i="15"/>
  <c r="C628" i="15"/>
  <c r="C629" i="15"/>
  <c r="C630" i="15"/>
  <c r="C631" i="15"/>
  <c r="C632" i="15"/>
  <c r="C633" i="15"/>
  <c r="C634" i="15"/>
  <c r="C635" i="15"/>
  <c r="C636" i="15"/>
  <c r="I623" i="15"/>
  <c r="I624" i="15"/>
  <c r="I625" i="15"/>
  <c r="I626" i="15"/>
  <c r="I627" i="15"/>
  <c r="I628" i="15"/>
  <c r="I629" i="15"/>
  <c r="I630" i="15"/>
  <c r="I631" i="15"/>
  <c r="I632" i="15"/>
  <c r="I633" i="15"/>
  <c r="I634" i="15"/>
  <c r="I635" i="15"/>
  <c r="I636" i="15"/>
  <c r="K623" i="15"/>
  <c r="K624" i="15"/>
  <c r="K625" i="15"/>
  <c r="K626" i="15"/>
  <c r="K627" i="15"/>
  <c r="K628" i="15"/>
  <c r="K629" i="15"/>
  <c r="K630" i="15"/>
  <c r="K631" i="15"/>
  <c r="K632" i="15"/>
  <c r="K633" i="15"/>
  <c r="K634" i="15"/>
  <c r="K635" i="15"/>
  <c r="K636" i="15"/>
  <c r="L635" i="15"/>
  <c r="L633" i="15"/>
  <c r="L632" i="15"/>
  <c r="L634" i="15"/>
  <c r="L630" i="15"/>
  <c r="L631" i="15"/>
  <c r="L629" i="15"/>
  <c r="L626" i="15"/>
  <c r="L624" i="15"/>
  <c r="L623" i="15"/>
  <c r="L636" i="15"/>
  <c r="L628" i="15"/>
  <c r="L627" i="15"/>
  <c r="L625" i="15"/>
  <c r="B668" i="15"/>
  <c r="B669" i="15"/>
  <c r="B670" i="15"/>
  <c r="B671" i="15"/>
  <c r="B672" i="15"/>
  <c r="B673" i="15"/>
  <c r="B674" i="15"/>
  <c r="B675" i="15"/>
  <c r="B676" i="15"/>
  <c r="B677" i="15"/>
  <c r="B678" i="15"/>
  <c r="B679" i="15"/>
  <c r="C668" i="15"/>
  <c r="C669" i="15"/>
  <c r="C670" i="15"/>
  <c r="C671" i="15"/>
  <c r="C672" i="15"/>
  <c r="C673" i="15"/>
  <c r="C674" i="15"/>
  <c r="C675" i="15"/>
  <c r="C676" i="15"/>
  <c r="C677" i="15"/>
  <c r="C678" i="15"/>
  <c r="C679" i="15"/>
  <c r="I668" i="15"/>
  <c r="I669" i="15"/>
  <c r="I670" i="15"/>
  <c r="I671" i="15"/>
  <c r="I672" i="15"/>
  <c r="I673" i="15"/>
  <c r="I674" i="15"/>
  <c r="I675" i="15"/>
  <c r="I676" i="15"/>
  <c r="I677" i="15"/>
  <c r="I678" i="15"/>
  <c r="I679" i="15"/>
  <c r="K668" i="15"/>
  <c r="K669" i="15"/>
  <c r="K670" i="15"/>
  <c r="K671" i="15"/>
  <c r="K672" i="15"/>
  <c r="K673" i="15"/>
  <c r="K674" i="15"/>
  <c r="K675" i="15"/>
  <c r="K676" i="15"/>
  <c r="K677" i="15"/>
  <c r="K678" i="15"/>
  <c r="L678" i="15"/>
  <c r="K679" i="15"/>
  <c r="L679" i="15"/>
  <c r="B563" i="15"/>
  <c r="B564" i="15"/>
  <c r="B565" i="15"/>
  <c r="B566" i="15"/>
  <c r="B567" i="15"/>
  <c r="B568" i="15"/>
  <c r="B569" i="15"/>
  <c r="B570" i="15"/>
  <c r="B571" i="15"/>
  <c r="B572" i="15"/>
  <c r="B573" i="15"/>
  <c r="B574" i="15"/>
  <c r="C563" i="15"/>
  <c r="C564" i="15"/>
  <c r="C565" i="15"/>
  <c r="C566" i="15"/>
  <c r="C567" i="15"/>
  <c r="C568" i="15"/>
  <c r="C569" i="15"/>
  <c r="C570" i="15"/>
  <c r="C571" i="15"/>
  <c r="C572" i="15"/>
  <c r="C573" i="15"/>
  <c r="C574" i="15"/>
  <c r="I563" i="15"/>
  <c r="I564" i="15"/>
  <c r="I565" i="15"/>
  <c r="I566" i="15"/>
  <c r="I567" i="15"/>
  <c r="I568" i="15"/>
  <c r="I569" i="15"/>
  <c r="I570" i="15"/>
  <c r="I571" i="15"/>
  <c r="I572" i="15"/>
  <c r="I573" i="15"/>
  <c r="I574" i="15"/>
  <c r="K563" i="15"/>
  <c r="K564" i="15"/>
  <c r="K565" i="15"/>
  <c r="K566" i="15"/>
  <c r="K567" i="15"/>
  <c r="K568" i="15"/>
  <c r="K569" i="15"/>
  <c r="K570" i="15"/>
  <c r="K571" i="15"/>
  <c r="K572" i="15"/>
  <c r="K573" i="15"/>
  <c r="K574" i="15"/>
  <c r="B398" i="14"/>
  <c r="C398" i="14"/>
  <c r="L398" i="14"/>
  <c r="M398" i="14"/>
  <c r="N398" i="14"/>
  <c r="B397" i="14"/>
  <c r="C397" i="14"/>
  <c r="L397" i="14"/>
  <c r="M397" i="14"/>
  <c r="N397" i="14"/>
  <c r="B396" i="14"/>
  <c r="C396" i="14"/>
  <c r="L396" i="14"/>
  <c r="M396" i="14"/>
  <c r="N396" i="14"/>
  <c r="B395" i="14"/>
  <c r="C395" i="14"/>
  <c r="L395" i="14"/>
  <c r="M395" i="14"/>
  <c r="N395" i="14"/>
  <c r="B394" i="14"/>
  <c r="C394" i="14"/>
  <c r="L394" i="14"/>
  <c r="M394" i="14"/>
  <c r="N394" i="14"/>
  <c r="B393" i="14"/>
  <c r="C393" i="14"/>
  <c r="L393" i="14"/>
  <c r="M393" i="14"/>
  <c r="N393" i="14"/>
  <c r="B392" i="14"/>
  <c r="C392" i="14"/>
  <c r="L392" i="14"/>
  <c r="M392" i="14"/>
  <c r="N392" i="14"/>
  <c r="B391" i="14"/>
  <c r="C391" i="14"/>
  <c r="L391" i="14"/>
  <c r="M391" i="14"/>
  <c r="N391" i="14"/>
  <c r="B327" i="14"/>
  <c r="C327" i="14"/>
  <c r="L327" i="14"/>
  <c r="M327" i="14"/>
  <c r="N327" i="14"/>
  <c r="L677" i="15"/>
  <c r="L676" i="15"/>
  <c r="L675" i="15"/>
  <c r="L674" i="15"/>
  <c r="L673" i="15"/>
  <c r="L672" i="15"/>
  <c r="L671" i="15"/>
  <c r="L670" i="15"/>
  <c r="L669" i="15"/>
  <c r="L668" i="15"/>
  <c r="L574" i="15"/>
  <c r="L573" i="15"/>
  <c r="L572" i="15"/>
  <c r="L571" i="15"/>
  <c r="L568" i="15"/>
  <c r="L566" i="15"/>
  <c r="L565" i="15"/>
  <c r="L570" i="15"/>
  <c r="L567" i="15"/>
  <c r="L569" i="15"/>
  <c r="L563" i="15"/>
  <c r="L564" i="15"/>
  <c r="B326" i="14"/>
  <c r="C326" i="14"/>
  <c r="L326" i="14"/>
  <c r="M326" i="14"/>
  <c r="N326" i="14"/>
  <c r="B325" i="14"/>
  <c r="C325" i="14"/>
  <c r="L325" i="14"/>
  <c r="M325" i="14"/>
  <c r="N325" i="14"/>
  <c r="B324" i="14"/>
  <c r="C324" i="14"/>
  <c r="L324" i="14"/>
  <c r="M324" i="14"/>
  <c r="N324" i="14"/>
  <c r="B323" i="14"/>
  <c r="C323" i="14"/>
  <c r="L323" i="14"/>
  <c r="M323" i="14"/>
  <c r="N323" i="14"/>
  <c r="B322" i="14"/>
  <c r="C322" i="14"/>
  <c r="L322" i="14"/>
  <c r="M322" i="14"/>
  <c r="N322" i="14"/>
  <c r="B321" i="14"/>
  <c r="C321" i="14"/>
  <c r="L321" i="14"/>
  <c r="M321" i="14"/>
  <c r="N321" i="14"/>
  <c r="B320" i="14"/>
  <c r="C320" i="14"/>
  <c r="L320" i="14"/>
  <c r="M320" i="14"/>
  <c r="N320" i="14"/>
  <c r="H109" i="9"/>
  <c r="S109" i="9"/>
  <c r="T109" i="9"/>
  <c r="U109" i="9"/>
  <c r="V109" i="9"/>
  <c r="C114" i="10"/>
  <c r="D114" i="10"/>
  <c r="I114" i="10"/>
  <c r="J114" i="10"/>
  <c r="B374" i="14"/>
  <c r="C374" i="14"/>
  <c r="L374" i="14"/>
  <c r="M374" i="14"/>
  <c r="N374" i="14"/>
  <c r="B373" i="14"/>
  <c r="C373" i="14"/>
  <c r="L373" i="14"/>
  <c r="M373" i="14"/>
  <c r="N373" i="14"/>
  <c r="B372" i="14"/>
  <c r="C372" i="14"/>
  <c r="L372" i="14"/>
  <c r="M372" i="14"/>
  <c r="N372" i="14"/>
  <c r="B371" i="14"/>
  <c r="C371" i="14"/>
  <c r="L371" i="14"/>
  <c r="M371" i="14"/>
  <c r="N371" i="14"/>
  <c r="B370" i="14"/>
  <c r="C370" i="14"/>
  <c r="L370" i="14"/>
  <c r="M370" i="14"/>
  <c r="N370" i="14"/>
  <c r="B369" i="14"/>
  <c r="C369" i="14"/>
  <c r="L369" i="14"/>
  <c r="M369" i="14"/>
  <c r="N369" i="14"/>
  <c r="B368" i="14"/>
  <c r="C368" i="14"/>
  <c r="L368" i="14"/>
  <c r="M368" i="14"/>
  <c r="N368" i="14"/>
  <c r="B367" i="14"/>
  <c r="C367" i="14"/>
  <c r="L367" i="14"/>
  <c r="M367" i="14"/>
  <c r="N367" i="14"/>
  <c r="B366" i="14"/>
  <c r="C366" i="14"/>
  <c r="L366" i="14"/>
  <c r="M366" i="14"/>
  <c r="N366" i="14"/>
  <c r="B365" i="14"/>
  <c r="C365" i="14"/>
  <c r="L365" i="14"/>
  <c r="M365" i="14"/>
  <c r="N365" i="14"/>
  <c r="C104" i="10"/>
  <c r="D104" i="10"/>
  <c r="I104" i="10"/>
  <c r="J104" i="10"/>
  <c r="B656" i="15"/>
  <c r="B657" i="15"/>
  <c r="B658" i="15"/>
  <c r="B659" i="15"/>
  <c r="B660" i="15"/>
  <c r="B661" i="15"/>
  <c r="B662" i="15"/>
  <c r="B663" i="15"/>
  <c r="B664" i="15"/>
  <c r="B665" i="15"/>
  <c r="B666" i="15"/>
  <c r="B667" i="15"/>
  <c r="C656" i="15"/>
  <c r="C657" i="15"/>
  <c r="C658" i="15"/>
  <c r="C659" i="15"/>
  <c r="C660" i="15"/>
  <c r="C661" i="15"/>
  <c r="C662" i="15"/>
  <c r="C663" i="15"/>
  <c r="C664" i="15"/>
  <c r="C665" i="15"/>
  <c r="C666" i="15"/>
  <c r="C667" i="15"/>
  <c r="I656" i="15"/>
  <c r="I657" i="15"/>
  <c r="I658" i="15"/>
  <c r="I659" i="15"/>
  <c r="I660" i="15"/>
  <c r="I661" i="15"/>
  <c r="I662" i="15"/>
  <c r="I663" i="15"/>
  <c r="I664" i="15"/>
  <c r="I665" i="15"/>
  <c r="I666" i="15"/>
  <c r="I667" i="15"/>
  <c r="K656" i="15"/>
  <c r="K657" i="15"/>
  <c r="K658" i="15"/>
  <c r="K659" i="15"/>
  <c r="K660" i="15"/>
  <c r="K661" i="15"/>
  <c r="K662" i="15"/>
  <c r="K663" i="15"/>
  <c r="K664" i="15"/>
  <c r="K665" i="15"/>
  <c r="K666" i="15"/>
  <c r="K667" i="15"/>
  <c r="L667" i="15"/>
  <c r="L666" i="15"/>
  <c r="L665" i="15"/>
  <c r="L664" i="15"/>
  <c r="L659" i="15"/>
  <c r="L656" i="15"/>
  <c r="L662" i="15"/>
  <c r="L661" i="15"/>
  <c r="L660" i="15"/>
  <c r="L658" i="15"/>
  <c r="L663" i="15"/>
  <c r="L657" i="15"/>
  <c r="B386" i="14"/>
  <c r="C386" i="14"/>
  <c r="L386" i="14"/>
  <c r="M386" i="14"/>
  <c r="N386" i="14"/>
  <c r="C113" i="10"/>
  <c r="D113" i="10"/>
  <c r="I113" i="10"/>
  <c r="J113" i="10"/>
  <c r="C106" i="10"/>
  <c r="D106" i="10"/>
  <c r="I106" i="10"/>
  <c r="J106" i="10"/>
  <c r="H103" i="9"/>
  <c r="S103" i="9"/>
  <c r="T103" i="9"/>
  <c r="U103" i="9"/>
  <c r="V103" i="9"/>
  <c r="S108" i="9"/>
  <c r="T108" i="9"/>
  <c r="U108" i="9"/>
  <c r="V108" i="9"/>
  <c r="B575" i="15"/>
  <c r="B576" i="15"/>
  <c r="B577" i="15"/>
  <c r="B578" i="15"/>
  <c r="B579" i="15"/>
  <c r="B580" i="15"/>
  <c r="B581" i="15"/>
  <c r="B582" i="15"/>
  <c r="B583" i="15"/>
  <c r="B584" i="15"/>
  <c r="B585" i="15"/>
  <c r="B586" i="15"/>
  <c r="B587" i="15"/>
  <c r="B588" i="15"/>
  <c r="B589" i="15"/>
  <c r="B590" i="15"/>
  <c r="B591" i="15"/>
  <c r="B592" i="15"/>
  <c r="C575" i="15"/>
  <c r="C576" i="15"/>
  <c r="C577" i="15"/>
  <c r="C578" i="15"/>
  <c r="C579" i="15"/>
  <c r="C580" i="15"/>
  <c r="C581" i="15"/>
  <c r="C582" i="15"/>
  <c r="C583" i="15"/>
  <c r="C584" i="15"/>
  <c r="C585" i="15"/>
  <c r="C586" i="15"/>
  <c r="C587" i="15"/>
  <c r="C588" i="15"/>
  <c r="C589" i="15"/>
  <c r="C590" i="15"/>
  <c r="C591" i="15"/>
  <c r="C592" i="15"/>
  <c r="I575" i="15"/>
  <c r="I576" i="15"/>
  <c r="I577" i="15"/>
  <c r="I578" i="15"/>
  <c r="I579" i="15"/>
  <c r="I580" i="15"/>
  <c r="I581" i="15"/>
  <c r="I582" i="15"/>
  <c r="I583" i="15"/>
  <c r="I584" i="15"/>
  <c r="I585" i="15"/>
  <c r="I586" i="15"/>
  <c r="I587" i="15"/>
  <c r="I588" i="15"/>
  <c r="I589" i="15"/>
  <c r="I590" i="15"/>
  <c r="I591" i="15"/>
  <c r="I592" i="15"/>
  <c r="K575" i="15"/>
  <c r="K576" i="15"/>
  <c r="K577" i="15"/>
  <c r="K578" i="15"/>
  <c r="K579" i="15"/>
  <c r="L579" i="15"/>
  <c r="K580" i="15"/>
  <c r="K581" i="15"/>
  <c r="L581" i="15"/>
  <c r="K582" i="15"/>
  <c r="L582" i="15"/>
  <c r="K583" i="15"/>
  <c r="L583" i="15"/>
  <c r="K584" i="15"/>
  <c r="K585" i="15"/>
  <c r="K586" i="15"/>
  <c r="K587" i="15"/>
  <c r="K588" i="15"/>
  <c r="K589" i="15"/>
  <c r="K590" i="15"/>
  <c r="K591" i="15"/>
  <c r="K592" i="15"/>
  <c r="M350" i="14"/>
  <c r="M349" i="14"/>
  <c r="M348" i="14"/>
  <c r="M347" i="14"/>
  <c r="M346" i="14"/>
  <c r="M345" i="14"/>
  <c r="M344" i="14"/>
  <c r="M343" i="14"/>
  <c r="M342" i="14"/>
  <c r="M341" i="14"/>
  <c r="M340" i="14"/>
  <c r="M339" i="14"/>
  <c r="M338" i="14"/>
  <c r="L584" i="15"/>
  <c r="L580" i="15"/>
  <c r="L578" i="15"/>
  <c r="L577" i="15"/>
  <c r="L587" i="15"/>
  <c r="L592" i="15"/>
  <c r="L576" i="15"/>
  <c r="L590" i="15"/>
  <c r="L589" i="15"/>
  <c r="L591" i="15"/>
  <c r="L588" i="15"/>
  <c r="L585" i="15"/>
  <c r="L575" i="15"/>
  <c r="L586" i="15"/>
  <c r="B330" i="14"/>
  <c r="B331" i="14"/>
  <c r="B332" i="14"/>
  <c r="B333" i="14"/>
  <c r="B334" i="14"/>
  <c r="B335" i="14"/>
  <c r="B336" i="14"/>
  <c r="B337" i="14"/>
  <c r="B338" i="14"/>
  <c r="B339" i="14"/>
  <c r="B340" i="14"/>
  <c r="B341" i="14"/>
  <c r="B342" i="14"/>
  <c r="B343" i="14"/>
  <c r="B344" i="14"/>
  <c r="B345" i="14"/>
  <c r="B346" i="14"/>
  <c r="B347" i="14"/>
  <c r="B348" i="14"/>
  <c r="B349" i="14"/>
  <c r="B350" i="14"/>
  <c r="B383" i="14"/>
  <c r="B384" i="14"/>
  <c r="B385" i="14"/>
  <c r="C330" i="14"/>
  <c r="C331" i="14"/>
  <c r="C332" i="14"/>
  <c r="C333" i="14"/>
  <c r="C334" i="14"/>
  <c r="C335" i="14"/>
  <c r="C336" i="14"/>
  <c r="C337" i="14"/>
  <c r="C338" i="14"/>
  <c r="C339" i="14"/>
  <c r="C340" i="14"/>
  <c r="C341" i="14"/>
  <c r="C342" i="14"/>
  <c r="C343" i="14"/>
  <c r="C344" i="14"/>
  <c r="C345" i="14"/>
  <c r="C346" i="14"/>
  <c r="C347" i="14"/>
  <c r="C348" i="14"/>
  <c r="C349" i="14"/>
  <c r="C350" i="14"/>
  <c r="C383" i="14"/>
  <c r="C384" i="14"/>
  <c r="C385" i="14"/>
  <c r="L330" i="14"/>
  <c r="L331" i="14"/>
  <c r="L332" i="14"/>
  <c r="L333" i="14"/>
  <c r="L334" i="14"/>
  <c r="L335" i="14"/>
  <c r="L336" i="14"/>
  <c r="L337" i="14"/>
  <c r="L338" i="14"/>
  <c r="L339" i="14"/>
  <c r="L340" i="14"/>
  <c r="L341" i="14"/>
  <c r="L342" i="14"/>
  <c r="L343" i="14"/>
  <c r="L344" i="14"/>
  <c r="L345" i="14"/>
  <c r="L346" i="14"/>
  <c r="L347" i="14"/>
  <c r="L348" i="14"/>
  <c r="L349" i="14"/>
  <c r="L350" i="14"/>
  <c r="L383" i="14"/>
  <c r="L384" i="14"/>
  <c r="L385" i="14"/>
  <c r="M330" i="14"/>
  <c r="N330" i="14"/>
  <c r="M331" i="14"/>
  <c r="N331" i="14"/>
  <c r="M332" i="14"/>
  <c r="N332" i="14"/>
  <c r="M333" i="14"/>
  <c r="N333" i="14"/>
  <c r="M334" i="14"/>
  <c r="N334" i="14"/>
  <c r="M335" i="14"/>
  <c r="N335" i="14"/>
  <c r="M336" i="14"/>
  <c r="N336" i="14"/>
  <c r="M337" i="14"/>
  <c r="N337" i="14"/>
  <c r="N346" i="14"/>
  <c r="N347" i="14"/>
  <c r="N348" i="14"/>
  <c r="N349" i="14"/>
  <c r="N350" i="14"/>
  <c r="M383" i="14"/>
  <c r="N383" i="14"/>
  <c r="M384" i="14"/>
  <c r="N384" i="14"/>
  <c r="M385" i="14"/>
  <c r="N385" i="14"/>
  <c r="N338" i="14"/>
  <c r="N339" i="14"/>
  <c r="N340" i="14"/>
  <c r="N341" i="14"/>
  <c r="N342" i="14"/>
  <c r="N343" i="14"/>
  <c r="N344" i="14"/>
  <c r="N345" i="14"/>
  <c r="H108" i="9"/>
  <c r="C97" i="10"/>
  <c r="D97" i="10"/>
  <c r="I97" i="10"/>
  <c r="J97" i="10"/>
  <c r="S94" i="9"/>
  <c r="T94" i="9"/>
  <c r="U94" i="9"/>
  <c r="V94" i="9"/>
  <c r="C85" i="18"/>
  <c r="D85" i="18"/>
  <c r="B544" i="15"/>
  <c r="B545" i="15"/>
  <c r="B546" i="15"/>
  <c r="B547" i="15"/>
  <c r="B548" i="15"/>
  <c r="B549" i="15"/>
  <c r="B550" i="15"/>
  <c r="B551" i="15"/>
  <c r="B552" i="15"/>
  <c r="B553" i="15"/>
  <c r="B554" i="15"/>
  <c r="B555" i="15"/>
  <c r="B556" i="15"/>
  <c r="C544" i="15"/>
  <c r="C545" i="15"/>
  <c r="C546" i="15"/>
  <c r="C547" i="15"/>
  <c r="C548" i="15"/>
  <c r="C549" i="15"/>
  <c r="C550" i="15"/>
  <c r="C551" i="15"/>
  <c r="C552" i="15"/>
  <c r="C553" i="15"/>
  <c r="C554" i="15"/>
  <c r="C555" i="15"/>
  <c r="C556" i="15"/>
  <c r="I544" i="15"/>
  <c r="I545" i="15"/>
  <c r="I546" i="15"/>
  <c r="I547" i="15"/>
  <c r="I548" i="15"/>
  <c r="I549" i="15"/>
  <c r="I550" i="15"/>
  <c r="I551" i="15"/>
  <c r="I552" i="15"/>
  <c r="I553" i="15"/>
  <c r="I554" i="15"/>
  <c r="I555" i="15"/>
  <c r="I556" i="15"/>
  <c r="K544" i="15"/>
  <c r="K545" i="15"/>
  <c r="K546" i="15"/>
  <c r="K547" i="15"/>
  <c r="K548" i="15"/>
  <c r="K549" i="15"/>
  <c r="K550" i="15"/>
  <c r="K551" i="15"/>
  <c r="K552" i="15"/>
  <c r="K553" i="15"/>
  <c r="K554" i="15"/>
  <c r="K555" i="15"/>
  <c r="K556" i="15"/>
  <c r="B329" i="14"/>
  <c r="C329" i="14"/>
  <c r="L329" i="14"/>
  <c r="M329" i="14"/>
  <c r="N329" i="14"/>
  <c r="B328" i="14"/>
  <c r="C328" i="14"/>
  <c r="L328" i="14"/>
  <c r="M328" i="14"/>
  <c r="N328" i="14"/>
  <c r="B310" i="14"/>
  <c r="C310" i="14"/>
  <c r="L310" i="14"/>
  <c r="M310" i="14"/>
  <c r="N310" i="14"/>
  <c r="B309" i="14"/>
  <c r="C309" i="14"/>
  <c r="L309" i="14"/>
  <c r="M309" i="14"/>
  <c r="N309" i="14"/>
  <c r="B308" i="14"/>
  <c r="C308" i="14"/>
  <c r="L308" i="14"/>
  <c r="M308" i="14"/>
  <c r="N308" i="14"/>
  <c r="B307" i="14"/>
  <c r="C307" i="14"/>
  <c r="L307" i="14"/>
  <c r="M307" i="14"/>
  <c r="N307" i="14"/>
  <c r="B306" i="14"/>
  <c r="C306" i="14"/>
  <c r="L306" i="14"/>
  <c r="M306" i="14"/>
  <c r="N306" i="14"/>
  <c r="B305" i="14"/>
  <c r="C305" i="14"/>
  <c r="L305" i="14"/>
  <c r="M305" i="14"/>
  <c r="N305" i="14"/>
  <c r="B304" i="14"/>
  <c r="C304" i="14"/>
  <c r="L304" i="14"/>
  <c r="M304" i="14"/>
  <c r="N304" i="14"/>
  <c r="B303" i="14"/>
  <c r="C303" i="14"/>
  <c r="L303" i="14"/>
  <c r="M303" i="14"/>
  <c r="N303" i="14"/>
  <c r="B302" i="14"/>
  <c r="C302" i="14"/>
  <c r="L302" i="14"/>
  <c r="M302" i="14"/>
  <c r="N302" i="14"/>
  <c r="B301" i="14"/>
  <c r="C301" i="14"/>
  <c r="L301" i="14"/>
  <c r="M301" i="14"/>
  <c r="N301" i="14"/>
  <c r="B300" i="14"/>
  <c r="C300" i="14"/>
  <c r="L300" i="14"/>
  <c r="M300" i="14"/>
  <c r="N300" i="14"/>
  <c r="J299" i="14"/>
  <c r="L299" i="14"/>
  <c r="K297" i="14"/>
  <c r="L297" i="14"/>
  <c r="K296" i="14"/>
  <c r="L296" i="14"/>
  <c r="K295" i="14"/>
  <c r="L295" i="14"/>
  <c r="K294" i="14"/>
  <c r="L294" i="14"/>
  <c r="B299" i="14"/>
  <c r="C299" i="14"/>
  <c r="M299" i="14"/>
  <c r="B298" i="14"/>
  <c r="C298" i="14"/>
  <c r="L298" i="14"/>
  <c r="M298" i="14"/>
  <c r="N298" i="14"/>
  <c r="B297" i="14"/>
  <c r="C297" i="14"/>
  <c r="M297" i="14"/>
  <c r="N297" i="14"/>
  <c r="B296" i="14"/>
  <c r="C296" i="14"/>
  <c r="M296" i="14"/>
  <c r="N296" i="14"/>
  <c r="B295" i="14"/>
  <c r="C295" i="14"/>
  <c r="M295" i="14"/>
  <c r="N295" i="14"/>
  <c r="B294" i="14"/>
  <c r="C294" i="14"/>
  <c r="M294" i="14"/>
  <c r="N294" i="14"/>
  <c r="C93" i="10"/>
  <c r="D93" i="10"/>
  <c r="I93" i="10"/>
  <c r="J93" i="10"/>
  <c r="L556" i="15"/>
  <c r="L555" i="15"/>
  <c r="L552" i="15"/>
  <c r="H94" i="9"/>
  <c r="L554" i="15"/>
  <c r="L553" i="15"/>
  <c r="L547" i="15"/>
  <c r="L546" i="15"/>
  <c r="L545" i="15"/>
  <c r="L544" i="15"/>
  <c r="L551" i="15"/>
  <c r="L550" i="15"/>
  <c r="L549" i="15"/>
  <c r="L548" i="15"/>
  <c r="N299" i="14"/>
  <c r="C111" i="10"/>
  <c r="D111" i="10"/>
  <c r="I111" i="10"/>
  <c r="J111" i="10"/>
  <c r="C109" i="10"/>
  <c r="D109" i="10"/>
  <c r="I109" i="10"/>
  <c r="J109" i="10"/>
  <c r="H107" i="9"/>
  <c r="S107" i="9"/>
  <c r="T107" i="9"/>
  <c r="U107" i="9"/>
  <c r="V107" i="9"/>
  <c r="H106" i="9"/>
  <c r="S106" i="9"/>
  <c r="T106" i="9"/>
  <c r="U106" i="9"/>
  <c r="V106" i="9"/>
  <c r="C108" i="10"/>
  <c r="D108" i="10"/>
  <c r="I108" i="10"/>
  <c r="J108" i="10"/>
  <c r="H105" i="9"/>
  <c r="S105" i="9"/>
  <c r="T105" i="9"/>
  <c r="U105" i="9"/>
  <c r="V105" i="9"/>
  <c r="B637" i="15"/>
  <c r="B638" i="15"/>
  <c r="B639" i="15"/>
  <c r="B640" i="15"/>
  <c r="B641" i="15"/>
  <c r="B642" i="15"/>
  <c r="B643" i="15"/>
  <c r="B644" i="15"/>
  <c r="B645" i="15"/>
  <c r="B646" i="15"/>
  <c r="C637" i="15"/>
  <c r="C638" i="15"/>
  <c r="C639" i="15"/>
  <c r="C640" i="15"/>
  <c r="C641" i="15"/>
  <c r="C642" i="15"/>
  <c r="C643" i="15"/>
  <c r="C644" i="15"/>
  <c r="C645" i="15"/>
  <c r="C646" i="15"/>
  <c r="I637" i="15"/>
  <c r="I638" i="15"/>
  <c r="I639" i="15"/>
  <c r="I640" i="15"/>
  <c r="I641" i="15"/>
  <c r="I642" i="15"/>
  <c r="I643" i="15"/>
  <c r="I644" i="15"/>
  <c r="I645" i="15"/>
  <c r="I646" i="15"/>
  <c r="K637" i="15"/>
  <c r="K638" i="15"/>
  <c r="K639" i="15"/>
  <c r="K640" i="15"/>
  <c r="K641" i="15"/>
  <c r="K642" i="15"/>
  <c r="K643" i="15"/>
  <c r="L643" i="15"/>
  <c r="K644" i="15"/>
  <c r="K645" i="15"/>
  <c r="K646" i="15"/>
  <c r="B376" i="14"/>
  <c r="C376" i="14"/>
  <c r="L376" i="14"/>
  <c r="M376" i="14"/>
  <c r="N376" i="14"/>
  <c r="B375" i="14"/>
  <c r="C375" i="14"/>
  <c r="L375" i="14"/>
  <c r="M375" i="14"/>
  <c r="N375" i="14"/>
  <c r="S102" i="9"/>
  <c r="T102" i="9"/>
  <c r="U102" i="9"/>
  <c r="V102" i="9"/>
  <c r="C105" i="10"/>
  <c r="D105" i="10"/>
  <c r="I105" i="10"/>
  <c r="J105" i="10"/>
  <c r="H101" i="9"/>
  <c r="S101" i="9"/>
  <c r="T101" i="9"/>
  <c r="U101" i="9"/>
  <c r="V101" i="9"/>
  <c r="C84" i="18"/>
  <c r="D84" i="18"/>
  <c r="H84" i="18"/>
  <c r="R14" i="9"/>
  <c r="S14" i="9"/>
  <c r="T14" i="9"/>
  <c r="R15" i="9"/>
  <c r="S15" i="9"/>
  <c r="T15" i="9"/>
  <c r="R30" i="9"/>
  <c r="S30" i="9"/>
  <c r="T30" i="9"/>
  <c r="R31" i="9"/>
  <c r="S31" i="9"/>
  <c r="T31" i="9"/>
  <c r="S112" i="9"/>
  <c r="T112" i="9"/>
  <c r="R41" i="9"/>
  <c r="S41" i="9"/>
  <c r="T41" i="9"/>
  <c r="R42" i="9"/>
  <c r="S42" i="9"/>
  <c r="T42" i="9"/>
  <c r="R43" i="9"/>
  <c r="S43" i="9"/>
  <c r="T43" i="9"/>
  <c r="R44" i="9"/>
  <c r="S44" i="9"/>
  <c r="T44" i="9"/>
  <c r="R45" i="9"/>
  <c r="S45" i="9"/>
  <c r="T45" i="9"/>
  <c r="R46" i="9"/>
  <c r="S46" i="9"/>
  <c r="T46" i="9"/>
  <c r="R47" i="9"/>
  <c r="S47" i="9"/>
  <c r="T47" i="9"/>
  <c r="R48" i="9"/>
  <c r="S48" i="9"/>
  <c r="T48" i="9"/>
  <c r="R49" i="9"/>
  <c r="S49" i="9"/>
  <c r="T49" i="9"/>
  <c r="R50" i="9"/>
  <c r="S50" i="9"/>
  <c r="T50" i="9"/>
  <c r="R51" i="9"/>
  <c r="S51" i="9"/>
  <c r="T51" i="9"/>
  <c r="R52" i="9"/>
  <c r="S52" i="9"/>
  <c r="T52" i="9"/>
  <c r="R53" i="9"/>
  <c r="S53" i="9"/>
  <c r="T53" i="9"/>
  <c r="R54" i="9"/>
  <c r="S54" i="9"/>
  <c r="T54" i="9"/>
  <c r="R55" i="9"/>
  <c r="S55" i="9"/>
  <c r="T55" i="9"/>
  <c r="R56" i="9"/>
  <c r="S56" i="9"/>
  <c r="T56" i="9"/>
  <c r="R57" i="9"/>
  <c r="S57" i="9"/>
  <c r="T57" i="9"/>
  <c r="R58" i="9"/>
  <c r="S58" i="9"/>
  <c r="T58" i="9"/>
  <c r="R59" i="9"/>
  <c r="S59" i="9"/>
  <c r="T59" i="9"/>
  <c r="R60" i="9"/>
  <c r="S60" i="9"/>
  <c r="T60" i="9"/>
  <c r="R61" i="9"/>
  <c r="S61" i="9"/>
  <c r="T61" i="9"/>
  <c r="R62" i="9"/>
  <c r="S62" i="9"/>
  <c r="T62" i="9"/>
  <c r="R63" i="9"/>
  <c r="S63" i="9"/>
  <c r="T63" i="9"/>
  <c r="R64" i="9"/>
  <c r="S64" i="9"/>
  <c r="T64" i="9"/>
  <c r="R65" i="9"/>
  <c r="S65" i="9"/>
  <c r="T65" i="9"/>
  <c r="R66" i="9"/>
  <c r="S66" i="9"/>
  <c r="T66" i="9"/>
  <c r="R67" i="9"/>
  <c r="S67" i="9"/>
  <c r="T67" i="9"/>
  <c r="R68" i="9"/>
  <c r="S68" i="9"/>
  <c r="T68" i="9"/>
  <c r="R69" i="9"/>
  <c r="S69" i="9"/>
  <c r="T69" i="9"/>
  <c r="R70" i="9"/>
  <c r="S70" i="9"/>
  <c r="T70" i="9"/>
  <c r="R71" i="9"/>
  <c r="S71" i="9"/>
  <c r="T71" i="9"/>
  <c r="R72" i="9"/>
  <c r="S72" i="9"/>
  <c r="T72" i="9"/>
  <c r="R73" i="9"/>
  <c r="S73" i="9"/>
  <c r="T73" i="9"/>
  <c r="R74" i="9"/>
  <c r="S74" i="9"/>
  <c r="T74" i="9"/>
  <c r="R75" i="9"/>
  <c r="S75" i="9"/>
  <c r="T75" i="9"/>
  <c r="R76" i="9"/>
  <c r="S76" i="9"/>
  <c r="T76" i="9"/>
  <c r="R78" i="9"/>
  <c r="S78" i="9"/>
  <c r="T78" i="9"/>
  <c r="R79" i="9"/>
  <c r="S79" i="9"/>
  <c r="T79" i="9"/>
  <c r="R80" i="9"/>
  <c r="S80" i="9"/>
  <c r="T80" i="9"/>
  <c r="R81" i="9"/>
  <c r="S81" i="9"/>
  <c r="T81" i="9"/>
  <c r="R83" i="9"/>
  <c r="S83" i="9"/>
  <c r="T83" i="9"/>
  <c r="R84" i="9"/>
  <c r="S84" i="9"/>
  <c r="T84" i="9"/>
  <c r="R85" i="9"/>
  <c r="S85" i="9"/>
  <c r="T85" i="9"/>
  <c r="R86" i="9"/>
  <c r="S86" i="9"/>
  <c r="T86" i="9"/>
  <c r="R87" i="9"/>
  <c r="S87" i="9"/>
  <c r="T87" i="9"/>
  <c r="R88" i="9"/>
  <c r="S88" i="9"/>
  <c r="T88" i="9"/>
  <c r="R89" i="9"/>
  <c r="S89" i="9"/>
  <c r="T89" i="9"/>
  <c r="R91" i="9"/>
  <c r="S91" i="9"/>
  <c r="T91" i="9"/>
  <c r="R92" i="9"/>
  <c r="S92" i="9"/>
  <c r="T92" i="9"/>
  <c r="R93" i="9"/>
  <c r="S93" i="9"/>
  <c r="T93" i="9"/>
  <c r="R98" i="9"/>
  <c r="S98" i="9"/>
  <c r="T98" i="9"/>
  <c r="R99" i="9"/>
  <c r="S99" i="9"/>
  <c r="T99" i="9"/>
  <c r="S12" i="9"/>
  <c r="T12" i="9"/>
  <c r="H90" i="9"/>
  <c r="S90" i="9"/>
  <c r="T90" i="9"/>
  <c r="U90" i="9"/>
  <c r="V90" i="9"/>
  <c r="C83" i="18"/>
  <c r="D83" i="18"/>
  <c r="H83" i="18"/>
  <c r="C103" i="10"/>
  <c r="D103" i="10"/>
  <c r="I103" i="10"/>
  <c r="J103" i="10"/>
  <c r="S100" i="9"/>
  <c r="T100" i="9"/>
  <c r="H100" i="9"/>
  <c r="U100" i="9"/>
  <c r="V100" i="9"/>
  <c r="B2" i="14"/>
  <c r="C2" i="14"/>
  <c r="L2" i="14"/>
  <c r="M2" i="14"/>
  <c r="N2" i="14"/>
  <c r="C9" i="10"/>
  <c r="D9" i="10"/>
  <c r="I9" i="10"/>
  <c r="J9" i="10"/>
  <c r="S10" i="9"/>
  <c r="T10" i="9"/>
  <c r="U10" i="9"/>
  <c r="V10" i="9"/>
  <c r="U2" i="9"/>
  <c r="U3" i="9"/>
  <c r="U4" i="9"/>
  <c r="U5" i="9"/>
  <c r="U6" i="9"/>
  <c r="U7" i="9"/>
  <c r="U8" i="9"/>
  <c r="U11" i="9"/>
  <c r="U13" i="9"/>
  <c r="U14" i="9"/>
  <c r="U15" i="9"/>
  <c r="U16" i="9"/>
  <c r="U17" i="9"/>
  <c r="U18" i="9"/>
  <c r="U19" i="9"/>
  <c r="U20" i="9"/>
  <c r="U21" i="9"/>
  <c r="U22" i="9"/>
  <c r="U23" i="9"/>
  <c r="U24" i="9"/>
  <c r="U25" i="9"/>
  <c r="U26" i="9"/>
  <c r="U27" i="9"/>
  <c r="U28" i="9"/>
  <c r="U29" i="9"/>
  <c r="U30" i="9"/>
  <c r="U31" i="9"/>
  <c r="U32" i="9"/>
  <c r="U33" i="9"/>
  <c r="U34" i="9"/>
  <c r="U112" i="9"/>
  <c r="U35" i="9"/>
  <c r="U36" i="9"/>
  <c r="U37" i="9"/>
  <c r="U38" i="9"/>
  <c r="U39" i="9"/>
  <c r="U40" i="9"/>
  <c r="U41" i="9"/>
  <c r="U42" i="9"/>
  <c r="U43" i="9"/>
  <c r="U44" i="9"/>
  <c r="U45" i="9"/>
  <c r="U46" i="9"/>
  <c r="U47" i="9"/>
  <c r="U48" i="9"/>
  <c r="U49" i="9"/>
  <c r="U50" i="9"/>
  <c r="U51" i="9"/>
  <c r="U52" i="9"/>
  <c r="U53" i="9"/>
  <c r="U54" i="9"/>
  <c r="U55" i="9"/>
  <c r="U56" i="9"/>
  <c r="U57" i="9"/>
  <c r="U58" i="9"/>
  <c r="U59" i="9"/>
  <c r="U60" i="9"/>
  <c r="U61" i="9"/>
  <c r="U62" i="9"/>
  <c r="U63" i="9"/>
  <c r="U64" i="9"/>
  <c r="U65" i="9"/>
  <c r="U66" i="9"/>
  <c r="U67" i="9"/>
  <c r="U68" i="9"/>
  <c r="U69" i="9"/>
  <c r="U70" i="9"/>
  <c r="U71" i="9"/>
  <c r="U72" i="9"/>
  <c r="U73" i="9"/>
  <c r="U74" i="9"/>
  <c r="U75" i="9"/>
  <c r="U76" i="9"/>
  <c r="U78" i="9"/>
  <c r="U79" i="9"/>
  <c r="U80" i="9"/>
  <c r="U81" i="9"/>
  <c r="U83" i="9"/>
  <c r="U84" i="9"/>
  <c r="U85" i="9"/>
  <c r="U86" i="9"/>
  <c r="U87" i="9"/>
  <c r="U88" i="9"/>
  <c r="U89" i="9"/>
  <c r="U91" i="9"/>
  <c r="U92" i="9"/>
  <c r="U93" i="9"/>
  <c r="U98" i="9"/>
  <c r="U99" i="9"/>
  <c r="R8" i="9"/>
  <c r="S8" i="9"/>
  <c r="T8" i="9"/>
  <c r="R7" i="9"/>
  <c r="S7" i="9"/>
  <c r="T7" i="9"/>
  <c r="R6" i="9"/>
  <c r="S6" i="9"/>
  <c r="T6" i="9"/>
  <c r="R5" i="9"/>
  <c r="S5" i="9"/>
  <c r="T5" i="9"/>
  <c r="R4" i="9"/>
  <c r="S4" i="9"/>
  <c r="T4" i="9"/>
  <c r="R3" i="9"/>
  <c r="S3" i="9"/>
  <c r="T3" i="9"/>
  <c r="S2" i="9"/>
  <c r="T2" i="9"/>
  <c r="S18" i="9"/>
  <c r="T18" i="9"/>
  <c r="S11" i="9"/>
  <c r="T11" i="9"/>
  <c r="S13" i="9"/>
  <c r="T13" i="9"/>
  <c r="S16" i="9"/>
  <c r="T16" i="9"/>
  <c r="S17" i="9"/>
  <c r="T17" i="9"/>
  <c r="S19" i="9"/>
  <c r="T19" i="9"/>
  <c r="S20" i="9"/>
  <c r="T20" i="9"/>
  <c r="S21" i="9"/>
  <c r="T21" i="9"/>
  <c r="S22" i="9"/>
  <c r="T22" i="9"/>
  <c r="S23" i="9"/>
  <c r="T23" i="9"/>
  <c r="S24" i="9"/>
  <c r="T24" i="9"/>
  <c r="S25" i="9"/>
  <c r="T25" i="9"/>
  <c r="S26" i="9"/>
  <c r="T26" i="9"/>
  <c r="S27" i="9"/>
  <c r="T27" i="9"/>
  <c r="S28" i="9"/>
  <c r="T28" i="9"/>
  <c r="S29" i="9"/>
  <c r="T29" i="9"/>
  <c r="S32" i="9"/>
  <c r="T32" i="9"/>
  <c r="S33" i="9"/>
  <c r="T33" i="9"/>
  <c r="S34" i="9"/>
  <c r="T34" i="9"/>
  <c r="S35" i="9"/>
  <c r="T35" i="9"/>
  <c r="S36" i="9"/>
  <c r="T36" i="9"/>
  <c r="S37" i="9"/>
  <c r="T37" i="9"/>
  <c r="S38" i="9"/>
  <c r="T38" i="9"/>
  <c r="S39" i="9"/>
  <c r="T39" i="9"/>
  <c r="S40" i="9"/>
  <c r="T40" i="9"/>
  <c r="C82" i="18"/>
  <c r="D82" i="18"/>
  <c r="C81" i="18"/>
  <c r="D81" i="18"/>
  <c r="C8" i="10"/>
  <c r="D8" i="10"/>
  <c r="I8" i="10"/>
  <c r="J8" i="10"/>
  <c r="H8" i="9"/>
  <c r="V8" i="9"/>
  <c r="B593" i="15"/>
  <c r="B594" i="15"/>
  <c r="B595" i="15"/>
  <c r="B596" i="15"/>
  <c r="B597" i="15"/>
  <c r="B598" i="15"/>
  <c r="B599" i="15"/>
  <c r="B600" i="15"/>
  <c r="B601" i="15"/>
  <c r="B602" i="15"/>
  <c r="B603" i="15"/>
  <c r="B604" i="15"/>
  <c r="B605" i="15"/>
  <c r="C593" i="15"/>
  <c r="C594" i="15"/>
  <c r="C595" i="15"/>
  <c r="C596" i="15"/>
  <c r="C597" i="15"/>
  <c r="C598" i="15"/>
  <c r="C599" i="15"/>
  <c r="C600" i="15"/>
  <c r="C601" i="15"/>
  <c r="C602" i="15"/>
  <c r="C603" i="15"/>
  <c r="C604" i="15"/>
  <c r="C605" i="15"/>
  <c r="I593" i="15"/>
  <c r="I594" i="15"/>
  <c r="I595" i="15"/>
  <c r="I596" i="15"/>
  <c r="I597" i="15"/>
  <c r="I598" i="15"/>
  <c r="I599" i="15"/>
  <c r="I600" i="15"/>
  <c r="I601" i="15"/>
  <c r="I602" i="15"/>
  <c r="I603" i="15"/>
  <c r="I604" i="15"/>
  <c r="I605" i="15"/>
  <c r="K593" i="15"/>
  <c r="K594" i="15"/>
  <c r="K595" i="15"/>
  <c r="K596" i="15"/>
  <c r="K597" i="15"/>
  <c r="K598" i="15"/>
  <c r="K599" i="15"/>
  <c r="K600" i="15"/>
  <c r="K601" i="15"/>
  <c r="K602" i="15"/>
  <c r="K603" i="15"/>
  <c r="K604" i="15"/>
  <c r="K605" i="15"/>
  <c r="B357" i="14"/>
  <c r="C357" i="14"/>
  <c r="L357" i="14"/>
  <c r="M357" i="14"/>
  <c r="N357" i="14"/>
  <c r="C101" i="10"/>
  <c r="D101" i="10"/>
  <c r="I101" i="10"/>
  <c r="J101" i="10"/>
  <c r="V98" i="9"/>
  <c r="F59" i="18"/>
  <c r="I59" i="18"/>
  <c r="C80" i="18"/>
  <c r="D80" i="18"/>
  <c r="C79" i="18"/>
  <c r="D79" i="18"/>
  <c r="B606" i="15"/>
  <c r="B607" i="15"/>
  <c r="B608" i="15"/>
  <c r="B609" i="15"/>
  <c r="B610" i="15"/>
  <c r="B611" i="15"/>
  <c r="B612" i="15"/>
  <c r="B613" i="15"/>
  <c r="B614" i="15"/>
  <c r="B615" i="15"/>
  <c r="C606" i="15"/>
  <c r="C607" i="15"/>
  <c r="C608" i="15"/>
  <c r="C609" i="15"/>
  <c r="C610" i="15"/>
  <c r="C611" i="15"/>
  <c r="C612" i="15"/>
  <c r="C613" i="15"/>
  <c r="C614" i="15"/>
  <c r="C615" i="15"/>
  <c r="I606" i="15"/>
  <c r="I607" i="15"/>
  <c r="I608" i="15"/>
  <c r="I609" i="15"/>
  <c r="I610" i="15"/>
  <c r="I611" i="15"/>
  <c r="I612" i="15"/>
  <c r="I613" i="15"/>
  <c r="I614" i="15"/>
  <c r="I615" i="15"/>
  <c r="K606" i="15"/>
  <c r="K607" i="15"/>
  <c r="K608" i="15"/>
  <c r="K609" i="15"/>
  <c r="K610" i="15"/>
  <c r="K611" i="15"/>
  <c r="K612" i="15"/>
  <c r="K613" i="15"/>
  <c r="K614" i="15"/>
  <c r="K615" i="15"/>
  <c r="B359" i="14"/>
  <c r="C359" i="14"/>
  <c r="L359" i="14"/>
  <c r="M359" i="14"/>
  <c r="N359" i="14"/>
  <c r="B358" i="14"/>
  <c r="C358" i="14"/>
  <c r="L358" i="14"/>
  <c r="M358" i="14"/>
  <c r="N358" i="14"/>
  <c r="C102" i="10"/>
  <c r="D102" i="10"/>
  <c r="I102" i="10"/>
  <c r="J102" i="10"/>
  <c r="V99" i="9"/>
  <c r="B557" i="15"/>
  <c r="B558" i="15"/>
  <c r="B559" i="15"/>
  <c r="B560" i="15"/>
  <c r="B561" i="15"/>
  <c r="B562" i="15"/>
  <c r="C557" i="15"/>
  <c r="C558" i="15"/>
  <c r="C559" i="15"/>
  <c r="C560" i="15"/>
  <c r="C561" i="15"/>
  <c r="C562" i="15"/>
  <c r="I557" i="15"/>
  <c r="I558" i="15"/>
  <c r="I559" i="15"/>
  <c r="I560" i="15"/>
  <c r="I561" i="15"/>
  <c r="I562" i="15"/>
  <c r="K557" i="15"/>
  <c r="K558" i="15"/>
  <c r="K559" i="15"/>
  <c r="K560" i="15"/>
  <c r="K561" i="15"/>
  <c r="K562" i="15"/>
  <c r="B317" i="14"/>
  <c r="C317" i="14"/>
  <c r="L317" i="14"/>
  <c r="M317" i="14"/>
  <c r="N317" i="14"/>
  <c r="B316" i="14"/>
  <c r="C316" i="14"/>
  <c r="L316" i="14"/>
  <c r="M316" i="14"/>
  <c r="N316" i="14"/>
  <c r="B315" i="14"/>
  <c r="C315" i="14"/>
  <c r="L315" i="14"/>
  <c r="M315" i="14"/>
  <c r="N315" i="14"/>
  <c r="B314" i="14"/>
  <c r="C314" i="14"/>
  <c r="L314" i="14"/>
  <c r="M314" i="14"/>
  <c r="N314" i="14"/>
  <c r="B313" i="14"/>
  <c r="C313" i="14"/>
  <c r="L313" i="14"/>
  <c r="M313" i="14"/>
  <c r="N313" i="14"/>
  <c r="B312" i="14"/>
  <c r="C312" i="14"/>
  <c r="L312" i="14"/>
  <c r="M312" i="14"/>
  <c r="N312" i="14"/>
  <c r="B311" i="14"/>
  <c r="C311" i="14"/>
  <c r="L311" i="14"/>
  <c r="M311" i="14"/>
  <c r="N311" i="14"/>
  <c r="C94" i="10"/>
  <c r="D94" i="10"/>
  <c r="I94" i="10"/>
  <c r="J94" i="10"/>
  <c r="V91" i="9"/>
  <c r="I40" i="19"/>
  <c r="I39" i="19"/>
  <c r="I38" i="19"/>
  <c r="D51" i="19"/>
  <c r="E51" i="19"/>
  <c r="D50" i="19"/>
  <c r="E50" i="19"/>
  <c r="D49" i="19"/>
  <c r="E49" i="19"/>
  <c r="D48" i="19"/>
  <c r="E48" i="19"/>
  <c r="D47" i="19"/>
  <c r="E47" i="19"/>
  <c r="D46" i="19"/>
  <c r="E46" i="19"/>
  <c r="D45" i="19"/>
  <c r="E45" i="19"/>
  <c r="D44" i="19"/>
  <c r="E44" i="19"/>
  <c r="D43" i="19"/>
  <c r="E43" i="19"/>
  <c r="D42" i="19"/>
  <c r="E42" i="19"/>
  <c r="D41" i="19"/>
  <c r="E41" i="19"/>
  <c r="D40" i="19"/>
  <c r="E40" i="19"/>
  <c r="D39" i="19"/>
  <c r="E39" i="19"/>
  <c r="D38" i="19"/>
  <c r="E38" i="19"/>
  <c r="I78" i="18"/>
  <c r="B296" i="15"/>
  <c r="B297" i="15"/>
  <c r="B298" i="15"/>
  <c r="B299" i="15"/>
  <c r="B300" i="15"/>
  <c r="B301" i="15"/>
  <c r="B302" i="15"/>
  <c r="B303" i="15"/>
  <c r="B304" i="15"/>
  <c r="B305" i="15"/>
  <c r="B306" i="15"/>
  <c r="C296" i="15"/>
  <c r="C297" i="15"/>
  <c r="C298" i="15"/>
  <c r="C299" i="15"/>
  <c r="C300" i="15"/>
  <c r="C301" i="15"/>
  <c r="C302" i="15"/>
  <c r="C303" i="15"/>
  <c r="C304" i="15"/>
  <c r="C305" i="15"/>
  <c r="C306" i="15"/>
  <c r="I296" i="15"/>
  <c r="I297" i="15"/>
  <c r="I298" i="15"/>
  <c r="I299" i="15"/>
  <c r="I300" i="15"/>
  <c r="I301" i="15"/>
  <c r="I302" i="15"/>
  <c r="I303" i="15"/>
  <c r="I304" i="15"/>
  <c r="I305" i="15"/>
  <c r="I306" i="15"/>
  <c r="K296" i="15"/>
  <c r="K297" i="15"/>
  <c r="K298" i="15"/>
  <c r="K299" i="15"/>
  <c r="K300" i="15"/>
  <c r="K301" i="15"/>
  <c r="K302" i="15"/>
  <c r="K303" i="15"/>
  <c r="K304" i="15"/>
  <c r="K305" i="15"/>
  <c r="K306" i="15"/>
  <c r="B99" i="14"/>
  <c r="C99" i="14"/>
  <c r="L99" i="14"/>
  <c r="M99" i="14"/>
  <c r="N99" i="14"/>
  <c r="B98" i="14"/>
  <c r="C98" i="14"/>
  <c r="L98" i="14"/>
  <c r="M98" i="14"/>
  <c r="N98" i="14"/>
  <c r="C78" i="18"/>
  <c r="D78" i="18"/>
  <c r="H78" i="18"/>
  <c r="C77" i="18"/>
  <c r="D77" i="18"/>
  <c r="C86" i="10"/>
  <c r="D86" i="10"/>
  <c r="I86" i="10"/>
  <c r="J86" i="10"/>
  <c r="H83" i="9"/>
  <c r="V83" i="9"/>
  <c r="C96" i="10"/>
  <c r="D96" i="10"/>
  <c r="I96" i="10"/>
  <c r="J96" i="10"/>
  <c r="H93" i="9"/>
  <c r="V93" i="9"/>
  <c r="B460" i="15"/>
  <c r="B461" i="15"/>
  <c r="B462" i="15"/>
  <c r="B463" i="15"/>
  <c r="B464" i="15"/>
  <c r="B465" i="15"/>
  <c r="B466" i="15"/>
  <c r="B467" i="15"/>
  <c r="B468" i="15"/>
  <c r="B469" i="15"/>
  <c r="B470" i="15"/>
  <c r="B471" i="15"/>
  <c r="C460" i="15"/>
  <c r="C461" i="15"/>
  <c r="C462" i="15"/>
  <c r="C463" i="15"/>
  <c r="C464" i="15"/>
  <c r="C465" i="15"/>
  <c r="C466" i="15"/>
  <c r="C467" i="15"/>
  <c r="C468" i="15"/>
  <c r="C469" i="15"/>
  <c r="C470" i="15"/>
  <c r="C471" i="15"/>
  <c r="I460" i="15"/>
  <c r="I461" i="15"/>
  <c r="I462" i="15"/>
  <c r="I463" i="15"/>
  <c r="I464" i="15"/>
  <c r="I465" i="15"/>
  <c r="I466" i="15"/>
  <c r="I467" i="15"/>
  <c r="I468" i="15"/>
  <c r="I469" i="15"/>
  <c r="I470" i="15"/>
  <c r="I471" i="15"/>
  <c r="K460" i="15"/>
  <c r="K461" i="15"/>
  <c r="K462" i="15"/>
  <c r="K463" i="15"/>
  <c r="K464" i="15"/>
  <c r="K465" i="15"/>
  <c r="K466" i="15"/>
  <c r="K467" i="15"/>
  <c r="K468" i="15"/>
  <c r="K469" i="15"/>
  <c r="K470" i="15"/>
  <c r="K471" i="15"/>
  <c r="B251" i="14"/>
  <c r="C251" i="14"/>
  <c r="L251" i="14"/>
  <c r="M251" i="14"/>
  <c r="N251" i="14"/>
  <c r="B250" i="14"/>
  <c r="C250" i="14"/>
  <c r="L250" i="14"/>
  <c r="M250" i="14"/>
  <c r="N250" i="14"/>
  <c r="C82" i="10"/>
  <c r="D82" i="10"/>
  <c r="I82" i="10"/>
  <c r="J82" i="10"/>
  <c r="V79" i="9"/>
  <c r="B452" i="15"/>
  <c r="B453" i="15"/>
  <c r="B454" i="15"/>
  <c r="B455" i="15"/>
  <c r="B456" i="15"/>
  <c r="B457" i="15"/>
  <c r="B458" i="15"/>
  <c r="B459" i="15"/>
  <c r="C452" i="15"/>
  <c r="C453" i="15"/>
  <c r="C454" i="15"/>
  <c r="C455" i="15"/>
  <c r="C456" i="15"/>
  <c r="C457" i="15"/>
  <c r="C458" i="15"/>
  <c r="C459" i="15"/>
  <c r="I452" i="15"/>
  <c r="I453" i="15"/>
  <c r="I454" i="15"/>
  <c r="I455" i="15"/>
  <c r="I456" i="15"/>
  <c r="I457" i="15"/>
  <c r="I458" i="15"/>
  <c r="I459" i="15"/>
  <c r="K452" i="15"/>
  <c r="K453" i="15"/>
  <c r="K454" i="15"/>
  <c r="K455" i="15"/>
  <c r="K456" i="15"/>
  <c r="K457" i="15"/>
  <c r="K458" i="15"/>
  <c r="K459" i="15"/>
  <c r="M243" i="14"/>
  <c r="N243" i="14"/>
  <c r="M244" i="14"/>
  <c r="N244" i="14"/>
  <c r="M245" i="14"/>
  <c r="N245" i="14"/>
  <c r="M246" i="14"/>
  <c r="N246" i="14"/>
  <c r="M247" i="14"/>
  <c r="N247" i="14"/>
  <c r="M248" i="14"/>
  <c r="N248" i="14"/>
  <c r="M249" i="14"/>
  <c r="N249" i="14"/>
  <c r="B247" i="14"/>
  <c r="C247" i="14"/>
  <c r="L247" i="14"/>
  <c r="B249" i="14"/>
  <c r="C249" i="14"/>
  <c r="L249" i="14"/>
  <c r="B248" i="14"/>
  <c r="C248" i="14"/>
  <c r="L248" i="14"/>
  <c r="B246" i="14"/>
  <c r="C246" i="14"/>
  <c r="L246" i="14"/>
  <c r="B245" i="14"/>
  <c r="C245" i="14"/>
  <c r="L245" i="14"/>
  <c r="B244" i="14"/>
  <c r="C244" i="14"/>
  <c r="L244" i="14"/>
  <c r="B243" i="14"/>
  <c r="C243" i="14"/>
  <c r="L243" i="14"/>
  <c r="C81" i="10"/>
  <c r="D81" i="10"/>
  <c r="I81" i="10"/>
  <c r="J81" i="10"/>
  <c r="V78" i="9"/>
  <c r="J191" i="14"/>
  <c r="L191" i="14"/>
  <c r="B191" i="14"/>
  <c r="C191" i="14"/>
  <c r="M191" i="14"/>
  <c r="K2" i="15"/>
  <c r="K3" i="15"/>
  <c r="K4" i="15"/>
  <c r="K5" i="15"/>
  <c r="K6" i="15"/>
  <c r="K7" i="15"/>
  <c r="K8" i="15"/>
  <c r="K9" i="15"/>
  <c r="K10" i="15"/>
  <c r="K11" i="15"/>
  <c r="K12" i="15"/>
  <c r="K13" i="15"/>
  <c r="K14" i="15"/>
  <c r="K15" i="15"/>
  <c r="K16" i="15"/>
  <c r="K17" i="15"/>
  <c r="K18" i="15"/>
  <c r="K19" i="15"/>
  <c r="K20" i="15"/>
  <c r="K21" i="15"/>
  <c r="K22" i="15"/>
  <c r="K23" i="15"/>
  <c r="K24" i="15"/>
  <c r="K25" i="15"/>
  <c r="K26" i="15"/>
  <c r="K27" i="15"/>
  <c r="K28" i="15"/>
  <c r="K29" i="15"/>
  <c r="K30" i="15"/>
  <c r="K31" i="15"/>
  <c r="K32" i="15"/>
  <c r="K33" i="15"/>
  <c r="K34" i="15"/>
  <c r="K35" i="15"/>
  <c r="K36" i="15"/>
  <c r="K37" i="15"/>
  <c r="K38" i="15"/>
  <c r="K39" i="15"/>
  <c r="K40" i="15"/>
  <c r="K41" i="15"/>
  <c r="K42" i="15"/>
  <c r="K43" i="15"/>
  <c r="K44" i="15"/>
  <c r="K45" i="15"/>
  <c r="K46" i="15"/>
  <c r="K47" i="15"/>
  <c r="K48" i="15"/>
  <c r="K49" i="15"/>
  <c r="K50" i="15"/>
  <c r="K51" i="15"/>
  <c r="K52" i="15"/>
  <c r="K53" i="15"/>
  <c r="K54" i="15"/>
  <c r="K55" i="15"/>
  <c r="K56" i="15"/>
  <c r="K57" i="15"/>
  <c r="K58" i="15"/>
  <c r="K59" i="15"/>
  <c r="K60" i="15"/>
  <c r="K61" i="15"/>
  <c r="K62" i="15"/>
  <c r="K63" i="15"/>
  <c r="K64" i="15"/>
  <c r="K65" i="15"/>
  <c r="K66" i="15"/>
  <c r="K67" i="15"/>
  <c r="K68" i="15"/>
  <c r="K69" i="15"/>
  <c r="K70" i="15"/>
  <c r="K71" i="15"/>
  <c r="K72" i="15"/>
  <c r="K73" i="15"/>
  <c r="K74" i="15"/>
  <c r="K75" i="15"/>
  <c r="K76" i="15"/>
  <c r="K77" i="15"/>
  <c r="K78" i="15"/>
  <c r="K79" i="15"/>
  <c r="K80" i="15"/>
  <c r="K81" i="15"/>
  <c r="K82" i="15"/>
  <c r="K83" i="15"/>
  <c r="K84" i="15"/>
  <c r="K85" i="15"/>
  <c r="K86" i="15"/>
  <c r="K87" i="15"/>
  <c r="K88" i="15"/>
  <c r="K89" i="15"/>
  <c r="K90" i="15"/>
  <c r="K91" i="15"/>
  <c r="K92" i="15"/>
  <c r="K93" i="15"/>
  <c r="K94" i="15"/>
  <c r="K95" i="15"/>
  <c r="K96" i="15"/>
  <c r="K97" i="15"/>
  <c r="K98" i="15"/>
  <c r="K99" i="15"/>
  <c r="K100" i="15"/>
  <c r="K101" i="15"/>
  <c r="K102" i="15"/>
  <c r="K103" i="15"/>
  <c r="K104" i="15"/>
  <c r="K105" i="15"/>
  <c r="K106" i="15"/>
  <c r="K107" i="15"/>
  <c r="K108" i="15"/>
  <c r="K109" i="15"/>
  <c r="K110" i="15"/>
  <c r="K111" i="15"/>
  <c r="K112" i="15"/>
  <c r="K113" i="15"/>
  <c r="K114" i="15"/>
  <c r="K115" i="15"/>
  <c r="K116" i="15"/>
  <c r="K117" i="15"/>
  <c r="K118" i="15"/>
  <c r="K119" i="15"/>
  <c r="K120" i="15"/>
  <c r="K121" i="15"/>
  <c r="K122" i="15"/>
  <c r="K123" i="15"/>
  <c r="K124" i="15"/>
  <c r="K125" i="15"/>
  <c r="K126" i="15"/>
  <c r="K127" i="15"/>
  <c r="K128" i="15"/>
  <c r="K129" i="15"/>
  <c r="K130" i="15"/>
  <c r="K131" i="15"/>
  <c r="K132" i="15"/>
  <c r="K133" i="15"/>
  <c r="K134" i="15"/>
  <c r="K135" i="15"/>
  <c r="K136" i="15"/>
  <c r="K137" i="15"/>
  <c r="K138" i="15"/>
  <c r="K139" i="15"/>
  <c r="K140" i="15"/>
  <c r="K141" i="15"/>
  <c r="K142" i="15"/>
  <c r="K143" i="15"/>
  <c r="K144" i="15"/>
  <c r="K145" i="15"/>
  <c r="K146" i="15"/>
  <c r="K147" i="15"/>
  <c r="K148" i="15"/>
  <c r="K149" i="15"/>
  <c r="K150" i="15"/>
  <c r="K151" i="15"/>
  <c r="K152" i="15"/>
  <c r="K153" i="15"/>
  <c r="K154" i="15"/>
  <c r="K155" i="15"/>
  <c r="K156" i="15"/>
  <c r="K157" i="15"/>
  <c r="K158" i="15"/>
  <c r="K159" i="15"/>
  <c r="K160" i="15"/>
  <c r="K161" i="15"/>
  <c r="K162" i="15"/>
  <c r="K163" i="15"/>
  <c r="K164" i="15"/>
  <c r="K165" i="15"/>
  <c r="K166" i="15"/>
  <c r="K167" i="15"/>
  <c r="K168" i="15"/>
  <c r="K169" i="15"/>
  <c r="K170" i="15"/>
  <c r="K171" i="15"/>
  <c r="K172" i="15"/>
  <c r="K173" i="15"/>
  <c r="K174" i="15"/>
  <c r="K175" i="15"/>
  <c r="K176" i="15"/>
  <c r="K177" i="15"/>
  <c r="K178" i="15"/>
  <c r="K179" i="15"/>
  <c r="K180" i="15"/>
  <c r="K181" i="15"/>
  <c r="K182" i="15"/>
  <c r="K183" i="15"/>
  <c r="K184" i="15"/>
  <c r="K185" i="15"/>
  <c r="K186" i="15"/>
  <c r="K187" i="15"/>
  <c r="K188" i="15"/>
  <c r="K189" i="15"/>
  <c r="K190" i="15"/>
  <c r="K191" i="15"/>
  <c r="K219" i="15"/>
  <c r="K220" i="15"/>
  <c r="K221" i="15"/>
  <c r="K222" i="15"/>
  <c r="K223" i="15"/>
  <c r="K224" i="15"/>
  <c r="K225" i="15"/>
  <c r="K226" i="15"/>
  <c r="K227" i="15"/>
  <c r="K228" i="15"/>
  <c r="K239" i="15"/>
  <c r="K240" i="15"/>
  <c r="K251" i="15"/>
  <c r="K252" i="15"/>
  <c r="K253" i="15"/>
  <c r="K254" i="15"/>
  <c r="K255" i="15"/>
  <c r="K256" i="15"/>
  <c r="K257" i="15"/>
  <c r="K258" i="15"/>
  <c r="K259" i="15"/>
  <c r="K260" i="15"/>
  <c r="K261" i="15"/>
  <c r="K262" i="15"/>
  <c r="K307" i="15"/>
  <c r="K308" i="15"/>
  <c r="K309" i="15"/>
  <c r="K310" i="15"/>
  <c r="K311" i="15"/>
  <c r="K312" i="15"/>
  <c r="K313" i="15"/>
  <c r="K314" i="15"/>
  <c r="K315" i="15"/>
  <c r="K316" i="15"/>
  <c r="K317" i="15"/>
  <c r="K318" i="15"/>
  <c r="K319" i="15"/>
  <c r="K320" i="15"/>
  <c r="K321" i="15"/>
  <c r="K322" i="15"/>
  <c r="K323" i="15"/>
  <c r="K324" i="15"/>
  <c r="K325" i="15"/>
  <c r="K326" i="15"/>
  <c r="K327" i="15"/>
  <c r="K328" i="15"/>
  <c r="K329" i="15"/>
  <c r="K330" i="15"/>
  <c r="K331" i="15"/>
  <c r="K332" i="15"/>
  <c r="K333" i="15"/>
  <c r="K334" i="15"/>
  <c r="K335" i="15"/>
  <c r="K336" i="15"/>
  <c r="K337" i="15"/>
  <c r="K338" i="15"/>
  <c r="K339" i="15"/>
  <c r="K340" i="15"/>
  <c r="K341" i="15"/>
  <c r="K342" i="15"/>
  <c r="K343" i="15"/>
  <c r="K344" i="15"/>
  <c r="K345" i="15"/>
  <c r="K346" i="15"/>
  <c r="K347" i="15"/>
  <c r="K348" i="15"/>
  <c r="K349" i="15"/>
  <c r="K350" i="15"/>
  <c r="K351" i="15"/>
  <c r="K352" i="15"/>
  <c r="K353" i="15"/>
  <c r="K354" i="15"/>
  <c r="K355" i="15"/>
  <c r="K356" i="15"/>
  <c r="K357" i="15"/>
  <c r="K358" i="15"/>
  <c r="K359" i="15"/>
  <c r="K360" i="15"/>
  <c r="K361" i="15"/>
  <c r="K362" i="15"/>
  <c r="K363" i="15"/>
  <c r="K364" i="15"/>
  <c r="K365" i="15"/>
  <c r="K366" i="15"/>
  <c r="K367" i="15"/>
  <c r="K368" i="15"/>
  <c r="K369" i="15"/>
  <c r="K370" i="15"/>
  <c r="K371" i="15"/>
  <c r="K372" i="15"/>
  <c r="K373" i="15"/>
  <c r="K374" i="15"/>
  <c r="K375" i="15"/>
  <c r="K376" i="15"/>
  <c r="K377" i="15"/>
  <c r="K378" i="15"/>
  <c r="K379" i="15"/>
  <c r="K380" i="15"/>
  <c r="K381" i="15"/>
  <c r="K382" i="15"/>
  <c r="K383" i="15"/>
  <c r="K384" i="15"/>
  <c r="K385" i="15"/>
  <c r="K386" i="15"/>
  <c r="K387" i="15"/>
  <c r="K388" i="15"/>
  <c r="K389" i="15"/>
  <c r="K390" i="15"/>
  <c r="K391" i="15"/>
  <c r="K392" i="15"/>
  <c r="K393" i="15"/>
  <c r="K394" i="15"/>
  <c r="K395" i="15"/>
  <c r="K396" i="15"/>
  <c r="K405" i="15"/>
  <c r="K406" i="15"/>
  <c r="K407" i="15"/>
  <c r="K408" i="15"/>
  <c r="K409" i="15"/>
  <c r="K410" i="15"/>
  <c r="K411" i="15"/>
  <c r="K412" i="15"/>
  <c r="K413" i="15"/>
  <c r="K414" i="15"/>
  <c r="K415" i="15"/>
  <c r="K416" i="15"/>
  <c r="K417" i="15"/>
  <c r="K418" i="15"/>
  <c r="K419" i="15"/>
  <c r="K420" i="15"/>
  <c r="K421" i="15"/>
  <c r="K422" i="15"/>
  <c r="K423" i="15"/>
  <c r="K437" i="15"/>
  <c r="K438" i="15"/>
  <c r="K439" i="15"/>
  <c r="K440" i="15"/>
  <c r="K424" i="15"/>
  <c r="K425" i="15"/>
  <c r="K426" i="15"/>
  <c r="K427" i="15"/>
  <c r="K428" i="15"/>
  <c r="K429" i="15"/>
  <c r="K430" i="15"/>
  <c r="K431" i="15"/>
  <c r="K432" i="15"/>
  <c r="K433" i="15"/>
  <c r="K434" i="15"/>
  <c r="K435" i="15"/>
  <c r="K436" i="15"/>
  <c r="K441" i="15"/>
  <c r="K442" i="15"/>
  <c r="K443" i="15"/>
  <c r="K444" i="15"/>
  <c r="K445" i="15"/>
  <c r="K446" i="15"/>
  <c r="K447" i="15"/>
  <c r="K448" i="15"/>
  <c r="K449" i="15"/>
  <c r="K450" i="15"/>
  <c r="K451" i="15"/>
  <c r="K494" i="15"/>
  <c r="K495" i="15"/>
  <c r="K496" i="15"/>
  <c r="K497" i="15"/>
  <c r="K498" i="15"/>
  <c r="K499" i="15"/>
  <c r="K500" i="15"/>
  <c r="K501" i="15"/>
  <c r="K502" i="15"/>
  <c r="K503" i="15"/>
  <c r="K504" i="15"/>
  <c r="K505" i="15"/>
  <c r="K506" i="15"/>
  <c r="K507" i="15"/>
  <c r="K508" i="15"/>
  <c r="K509" i="15"/>
  <c r="K510" i="15"/>
  <c r="K511" i="15"/>
  <c r="K512" i="15"/>
  <c r="K513" i="15"/>
  <c r="K514" i="15"/>
  <c r="K515" i="15"/>
  <c r="K472" i="15"/>
  <c r="K473" i="15"/>
  <c r="K474" i="15"/>
  <c r="K475" i="15"/>
  <c r="K476" i="15"/>
  <c r="K477" i="15"/>
  <c r="K478" i="15"/>
  <c r="K479" i="15"/>
  <c r="K480" i="15"/>
  <c r="K481" i="15"/>
  <c r="K482" i="15"/>
  <c r="K516" i="15"/>
  <c r="K517" i="15"/>
  <c r="K518" i="15"/>
  <c r="K519" i="15"/>
  <c r="K520" i="15"/>
  <c r="K521" i="15"/>
  <c r="K522" i="15"/>
  <c r="K523" i="15"/>
  <c r="K529" i="15"/>
  <c r="K530" i="15"/>
  <c r="K531" i="15"/>
  <c r="K532" i="15"/>
  <c r="K533" i="15"/>
  <c r="K534" i="15"/>
  <c r="K535" i="15"/>
  <c r="K536" i="15"/>
  <c r="K537" i="15"/>
  <c r="K538" i="15"/>
  <c r="K539" i="15"/>
  <c r="K540" i="15"/>
  <c r="K285" i="15"/>
  <c r="K286" i="15"/>
  <c r="K287" i="15"/>
  <c r="K288" i="15"/>
  <c r="K289" i="15"/>
  <c r="K290" i="15"/>
  <c r="K291" i="15"/>
  <c r="K292" i="15"/>
  <c r="K293" i="15"/>
  <c r="K294" i="15"/>
  <c r="K295" i="15"/>
  <c r="K541" i="15"/>
  <c r="K542" i="15"/>
  <c r="K543" i="15"/>
  <c r="K524" i="15"/>
  <c r="K525" i="15"/>
  <c r="K526" i="15"/>
  <c r="K527" i="15"/>
  <c r="K528" i="15"/>
  <c r="K483" i="15"/>
  <c r="K484" i="15"/>
  <c r="K485" i="15"/>
  <c r="K486" i="15"/>
  <c r="K487" i="15"/>
  <c r="K488" i="15"/>
  <c r="K489" i="15"/>
  <c r="K490" i="15"/>
  <c r="K491" i="15"/>
  <c r="K492" i="15"/>
  <c r="K493" i="15"/>
  <c r="K397" i="15"/>
  <c r="K398" i="15"/>
  <c r="K399" i="15"/>
  <c r="K400" i="15"/>
  <c r="K401" i="15"/>
  <c r="K402" i="15"/>
  <c r="K403" i="15"/>
  <c r="K404" i="15"/>
  <c r="I2" i="10"/>
  <c r="J2" i="10"/>
  <c r="I3" i="10"/>
  <c r="J3" i="10"/>
  <c r="I4" i="10"/>
  <c r="J4" i="10"/>
  <c r="I5" i="10"/>
  <c r="J5" i="10"/>
  <c r="I6" i="10"/>
  <c r="J6" i="10"/>
  <c r="I7" i="10"/>
  <c r="J7" i="10"/>
  <c r="I10" i="10"/>
  <c r="J10" i="10"/>
  <c r="I11" i="10"/>
  <c r="J11" i="10"/>
  <c r="I12" i="10"/>
  <c r="J12" i="10"/>
  <c r="I13" i="10"/>
  <c r="J13" i="10"/>
  <c r="I14" i="10"/>
  <c r="J14" i="10"/>
  <c r="I15" i="10"/>
  <c r="J15" i="10"/>
  <c r="I16" i="10"/>
  <c r="J16" i="10"/>
  <c r="I17" i="10"/>
  <c r="J17" i="10"/>
  <c r="I18" i="10"/>
  <c r="I19" i="10"/>
  <c r="J19" i="10"/>
  <c r="I20" i="10"/>
  <c r="J20" i="10"/>
  <c r="I21" i="10"/>
  <c r="J21" i="10"/>
  <c r="I22" i="10"/>
  <c r="J22" i="10"/>
  <c r="I23" i="10"/>
  <c r="J23" i="10"/>
  <c r="I24" i="10"/>
  <c r="J24" i="10"/>
  <c r="I25" i="10"/>
  <c r="J25" i="10"/>
  <c r="I26" i="10"/>
  <c r="J26" i="10"/>
  <c r="I27" i="10"/>
  <c r="J27" i="10"/>
  <c r="I28" i="10"/>
  <c r="J28" i="10"/>
  <c r="I29" i="10"/>
  <c r="J29" i="10"/>
  <c r="I30" i="10"/>
  <c r="J30" i="10"/>
  <c r="I31" i="10"/>
  <c r="J31" i="10"/>
  <c r="I32" i="10"/>
  <c r="J32" i="10"/>
  <c r="I33" i="10"/>
  <c r="J33" i="10"/>
  <c r="I34" i="10"/>
  <c r="J34" i="10"/>
  <c r="I117" i="10"/>
  <c r="J117" i="10"/>
  <c r="I35" i="10"/>
  <c r="J35" i="10"/>
  <c r="I36" i="10"/>
  <c r="J36" i="10"/>
  <c r="I37" i="10"/>
  <c r="J37" i="10"/>
  <c r="I38" i="10"/>
  <c r="J38" i="10"/>
  <c r="I43" i="10"/>
  <c r="J43" i="10"/>
  <c r="I45" i="10"/>
  <c r="J45" i="10"/>
  <c r="I47" i="10"/>
  <c r="J47" i="10"/>
  <c r="I51" i="10"/>
  <c r="J51" i="10"/>
  <c r="I52" i="10"/>
  <c r="J52" i="10"/>
  <c r="I53" i="10"/>
  <c r="J53" i="10"/>
  <c r="I54" i="10"/>
  <c r="J54" i="10"/>
  <c r="I55" i="10"/>
  <c r="J55" i="10"/>
  <c r="I56" i="10"/>
  <c r="J56" i="10"/>
  <c r="I57" i="10"/>
  <c r="J57" i="10"/>
  <c r="I58" i="10"/>
  <c r="J58" i="10"/>
  <c r="I59" i="10"/>
  <c r="J59" i="10"/>
  <c r="I60" i="10"/>
  <c r="J60" i="10"/>
  <c r="I61" i="10"/>
  <c r="J61" i="10"/>
  <c r="I62" i="10"/>
  <c r="J62" i="10"/>
  <c r="I63" i="10"/>
  <c r="J63" i="10"/>
  <c r="I67" i="10"/>
  <c r="J67" i="10"/>
  <c r="I68" i="10"/>
  <c r="J68" i="10"/>
  <c r="I69" i="10"/>
  <c r="J69" i="10"/>
  <c r="I73" i="10"/>
  <c r="J73" i="10"/>
  <c r="I74" i="10"/>
  <c r="J74" i="10"/>
  <c r="I76" i="10"/>
  <c r="J76" i="10"/>
  <c r="I77" i="10"/>
  <c r="J77" i="10"/>
  <c r="I78" i="10"/>
  <c r="J78" i="10"/>
  <c r="I75" i="10"/>
  <c r="J75" i="10"/>
  <c r="I71" i="10"/>
  <c r="J71" i="10"/>
  <c r="I87" i="10"/>
  <c r="J87" i="10"/>
  <c r="I88" i="10"/>
  <c r="J88" i="10"/>
  <c r="I83" i="10"/>
  <c r="J83" i="10"/>
  <c r="I70" i="10"/>
  <c r="J70" i="10"/>
  <c r="I89" i="10"/>
  <c r="J89" i="10"/>
  <c r="I91" i="10"/>
  <c r="J91" i="10"/>
  <c r="I50" i="10"/>
  <c r="J50" i="10"/>
  <c r="I92" i="10"/>
  <c r="J92" i="10"/>
  <c r="I90" i="10"/>
  <c r="J90" i="10"/>
  <c r="I84" i="10"/>
  <c r="J84" i="10"/>
  <c r="I95" i="10"/>
  <c r="J95" i="10"/>
  <c r="I72" i="10"/>
  <c r="J72" i="10"/>
  <c r="I64" i="10"/>
  <c r="J64" i="10"/>
  <c r="C64" i="10"/>
  <c r="D64" i="10"/>
  <c r="B157" i="14"/>
  <c r="C157" i="14"/>
  <c r="L157" i="14"/>
  <c r="M157" i="14"/>
  <c r="N157" i="14"/>
  <c r="B397" i="15"/>
  <c r="B398" i="15"/>
  <c r="B399" i="15"/>
  <c r="B400" i="15"/>
  <c r="B401" i="15"/>
  <c r="B402" i="15"/>
  <c r="B403" i="15"/>
  <c r="B404" i="15"/>
  <c r="C397" i="15"/>
  <c r="C398" i="15"/>
  <c r="C399" i="15"/>
  <c r="C400" i="15"/>
  <c r="C401" i="15"/>
  <c r="C402" i="15"/>
  <c r="C403" i="15"/>
  <c r="C404" i="15"/>
  <c r="I397" i="15"/>
  <c r="I398" i="15"/>
  <c r="I399" i="15"/>
  <c r="I400" i="15"/>
  <c r="I401" i="15"/>
  <c r="I402" i="15"/>
  <c r="I403" i="15"/>
  <c r="I404" i="15"/>
  <c r="B206" i="14"/>
  <c r="C206" i="14"/>
  <c r="L206" i="14"/>
  <c r="M206" i="14"/>
  <c r="N206" i="14"/>
  <c r="B205" i="14"/>
  <c r="C205" i="14"/>
  <c r="L205" i="14"/>
  <c r="M205" i="14"/>
  <c r="N205" i="14"/>
  <c r="B204" i="14"/>
  <c r="C204" i="14"/>
  <c r="L204" i="14"/>
  <c r="M204" i="14"/>
  <c r="N204" i="14"/>
  <c r="B203" i="14"/>
  <c r="C203" i="14"/>
  <c r="L203" i="14"/>
  <c r="M203" i="14"/>
  <c r="N203" i="14"/>
  <c r="B202" i="14"/>
  <c r="C202" i="14"/>
  <c r="L202" i="14"/>
  <c r="M202" i="14"/>
  <c r="N202" i="14"/>
  <c r="B201" i="14"/>
  <c r="C201" i="14"/>
  <c r="L201" i="14"/>
  <c r="M201" i="14"/>
  <c r="N201" i="14"/>
  <c r="B200" i="14"/>
  <c r="C200" i="14"/>
  <c r="L200" i="14"/>
  <c r="M200" i="14"/>
  <c r="N200" i="14"/>
  <c r="B199" i="14"/>
  <c r="C199" i="14"/>
  <c r="L199" i="14"/>
  <c r="M199" i="14"/>
  <c r="N199" i="14"/>
  <c r="C72" i="10"/>
  <c r="D72" i="10"/>
  <c r="B319" i="14"/>
  <c r="C319" i="14"/>
  <c r="L319" i="14"/>
  <c r="M319" i="14"/>
  <c r="N319" i="14"/>
  <c r="B318" i="14"/>
  <c r="C318" i="14"/>
  <c r="L318" i="14"/>
  <c r="M318" i="14"/>
  <c r="N318" i="14"/>
  <c r="C95" i="10"/>
  <c r="D95" i="10"/>
  <c r="B286" i="14"/>
  <c r="C286" i="14"/>
  <c r="L286" i="14"/>
  <c r="M286" i="14"/>
  <c r="N286" i="14"/>
  <c r="B234" i="14"/>
  <c r="C234" i="14"/>
  <c r="L234" i="14"/>
  <c r="M234" i="14"/>
  <c r="N234" i="14"/>
  <c r="B164" i="14"/>
  <c r="C164" i="14"/>
  <c r="L164" i="14"/>
  <c r="M164" i="14"/>
  <c r="N164" i="14"/>
  <c r="B148" i="14"/>
  <c r="C148" i="14"/>
  <c r="L148" i="14"/>
  <c r="M148" i="14"/>
  <c r="N148" i="14"/>
  <c r="B140" i="14"/>
  <c r="C140" i="14"/>
  <c r="L140" i="14"/>
  <c r="M140" i="14"/>
  <c r="N140" i="14"/>
  <c r="B132" i="14"/>
  <c r="C132" i="14"/>
  <c r="L132" i="14"/>
  <c r="M132" i="14"/>
  <c r="N132" i="14"/>
  <c r="B120" i="14"/>
  <c r="C120" i="14"/>
  <c r="L120" i="14"/>
  <c r="M120" i="14"/>
  <c r="N120" i="14"/>
  <c r="B111" i="14"/>
  <c r="C111" i="14"/>
  <c r="L111" i="14"/>
  <c r="M111" i="14"/>
  <c r="N111" i="14"/>
  <c r="B80" i="14"/>
  <c r="L80" i="14"/>
  <c r="J62" i="14"/>
  <c r="L62" i="14"/>
  <c r="B62" i="14"/>
  <c r="C62" i="14"/>
  <c r="M62" i="14"/>
  <c r="F56" i="18"/>
  <c r="I56" i="18"/>
  <c r="V92" i="9"/>
  <c r="B483" i="15"/>
  <c r="B484" i="15"/>
  <c r="B485" i="15"/>
  <c r="B486" i="15"/>
  <c r="B487" i="15"/>
  <c r="B488" i="15"/>
  <c r="B489" i="15"/>
  <c r="B490" i="15"/>
  <c r="B491" i="15"/>
  <c r="B492" i="15"/>
  <c r="B493" i="15"/>
  <c r="C483" i="15"/>
  <c r="C484" i="15"/>
  <c r="C485" i="15"/>
  <c r="C486" i="15"/>
  <c r="C487" i="15"/>
  <c r="C488" i="15"/>
  <c r="C489" i="15"/>
  <c r="C490" i="15"/>
  <c r="C491" i="15"/>
  <c r="C492" i="15"/>
  <c r="C493" i="15"/>
  <c r="I483" i="15"/>
  <c r="I484" i="15"/>
  <c r="I485" i="15"/>
  <c r="I486" i="15"/>
  <c r="I487" i="15"/>
  <c r="I488" i="15"/>
  <c r="I489" i="15"/>
  <c r="I490" i="15"/>
  <c r="I491" i="15"/>
  <c r="I492" i="15"/>
  <c r="I493" i="15"/>
  <c r="M267" i="14"/>
  <c r="N267" i="14"/>
  <c r="L267" i="14"/>
  <c r="M266" i="14"/>
  <c r="N266" i="14"/>
  <c r="L266" i="14"/>
  <c r="B267" i="14"/>
  <c r="C267" i="14"/>
  <c r="B266" i="14"/>
  <c r="C266" i="14"/>
  <c r="C84" i="10"/>
  <c r="D84" i="10"/>
  <c r="V81" i="9"/>
  <c r="M3" i="14"/>
  <c r="N3" i="14"/>
  <c r="M4" i="14"/>
  <c r="N4" i="14"/>
  <c r="M5" i="14"/>
  <c r="N5" i="14"/>
  <c r="M6" i="14"/>
  <c r="N6" i="14"/>
  <c r="M7" i="14"/>
  <c r="N7" i="14"/>
  <c r="M8" i="14"/>
  <c r="N8" i="14"/>
  <c r="M9" i="14"/>
  <c r="N9" i="14"/>
  <c r="M10" i="14"/>
  <c r="N10" i="14"/>
  <c r="M11" i="14"/>
  <c r="N11" i="14"/>
  <c r="M12" i="14"/>
  <c r="N12" i="14"/>
  <c r="M13" i="14"/>
  <c r="N13" i="14"/>
  <c r="M14" i="14"/>
  <c r="N14" i="14"/>
  <c r="M15" i="14"/>
  <c r="N15" i="14"/>
  <c r="M16" i="14"/>
  <c r="N16" i="14"/>
  <c r="M17" i="14"/>
  <c r="N17" i="14"/>
  <c r="M18" i="14"/>
  <c r="N18" i="14"/>
  <c r="M19" i="14"/>
  <c r="N19" i="14"/>
  <c r="M20" i="14"/>
  <c r="N20" i="14"/>
  <c r="M21" i="14"/>
  <c r="N21" i="14"/>
  <c r="M22" i="14"/>
  <c r="N22" i="14"/>
  <c r="M23" i="14"/>
  <c r="N23" i="14"/>
  <c r="M24" i="14"/>
  <c r="N24" i="14"/>
  <c r="M25" i="14"/>
  <c r="N25" i="14"/>
  <c r="M26" i="14"/>
  <c r="N26" i="14"/>
  <c r="M27" i="14"/>
  <c r="N27" i="14"/>
  <c r="M28" i="14"/>
  <c r="N28" i="14"/>
  <c r="M29" i="14"/>
  <c r="N29" i="14"/>
  <c r="M30" i="14"/>
  <c r="N30" i="14"/>
  <c r="M31" i="14"/>
  <c r="N31" i="14"/>
  <c r="M32" i="14"/>
  <c r="N32" i="14"/>
  <c r="M33" i="14"/>
  <c r="N33" i="14"/>
  <c r="M34" i="14"/>
  <c r="N34" i="14"/>
  <c r="M35" i="14"/>
  <c r="N35" i="14"/>
  <c r="M36" i="14"/>
  <c r="N36" i="14"/>
  <c r="M37" i="14"/>
  <c r="N37" i="14"/>
  <c r="M38" i="14"/>
  <c r="N38" i="14"/>
  <c r="M39" i="14"/>
  <c r="N39" i="14"/>
  <c r="M40" i="14"/>
  <c r="N40" i="14"/>
  <c r="M41" i="14"/>
  <c r="N41" i="14"/>
  <c r="M42" i="14"/>
  <c r="N42" i="14"/>
  <c r="M43" i="14"/>
  <c r="M44" i="14"/>
  <c r="M45" i="14"/>
  <c r="N45" i="14"/>
  <c r="M46" i="14"/>
  <c r="M47" i="14"/>
  <c r="N47" i="14"/>
  <c r="M48" i="14"/>
  <c r="M49" i="14"/>
  <c r="M50" i="14"/>
  <c r="N50" i="14"/>
  <c r="M51" i="14"/>
  <c r="N51" i="14"/>
  <c r="M52" i="14"/>
  <c r="N52" i="14"/>
  <c r="M53" i="14"/>
  <c r="N53" i="14"/>
  <c r="M54" i="14"/>
  <c r="M403" i="14"/>
  <c r="N403" i="14"/>
  <c r="M404" i="14"/>
  <c r="N404" i="14"/>
  <c r="M405" i="14"/>
  <c r="N405" i="14"/>
  <c r="M406" i="14"/>
  <c r="N406" i="14"/>
  <c r="M407" i="14"/>
  <c r="N407" i="14"/>
  <c r="M408" i="14"/>
  <c r="N408" i="14"/>
  <c r="M409" i="14"/>
  <c r="N409" i="14"/>
  <c r="M410" i="14"/>
  <c r="N410" i="14"/>
  <c r="M55" i="14"/>
  <c r="M56" i="14"/>
  <c r="M57" i="14"/>
  <c r="M58" i="14"/>
  <c r="M59" i="14"/>
  <c r="N59" i="14"/>
  <c r="M60" i="14"/>
  <c r="N60" i="14"/>
  <c r="M61" i="14"/>
  <c r="N61" i="14"/>
  <c r="M63" i="14"/>
  <c r="N63" i="14"/>
  <c r="M64" i="14"/>
  <c r="N64" i="14"/>
  <c r="M65" i="14"/>
  <c r="N65" i="14"/>
  <c r="M66" i="14"/>
  <c r="N66" i="14"/>
  <c r="M67" i="14"/>
  <c r="M68" i="14"/>
  <c r="N68" i="14"/>
  <c r="M69" i="14"/>
  <c r="N69" i="14"/>
  <c r="M70" i="14"/>
  <c r="N70" i="14"/>
  <c r="M83" i="14"/>
  <c r="N83" i="14"/>
  <c r="M84" i="14"/>
  <c r="M90" i="14"/>
  <c r="N90" i="14"/>
  <c r="M91" i="14"/>
  <c r="N91" i="14"/>
  <c r="M100" i="14"/>
  <c r="N100" i="14"/>
  <c r="M101" i="14"/>
  <c r="N101" i="14"/>
  <c r="M102" i="14"/>
  <c r="N102" i="14"/>
  <c r="M103" i="14"/>
  <c r="N103" i="14"/>
  <c r="M104" i="14"/>
  <c r="N104" i="14"/>
  <c r="M105" i="14"/>
  <c r="N105" i="14"/>
  <c r="M106" i="14"/>
  <c r="N106" i="14"/>
  <c r="M107" i="14"/>
  <c r="N107" i="14"/>
  <c r="M108" i="14"/>
  <c r="N108" i="14"/>
  <c r="M109" i="14"/>
  <c r="N109" i="14"/>
  <c r="M110" i="14"/>
  <c r="N110" i="14"/>
  <c r="M112" i="14"/>
  <c r="N112" i="14"/>
  <c r="M113" i="14"/>
  <c r="N113" i="14"/>
  <c r="M114" i="14"/>
  <c r="N114" i="14"/>
  <c r="M115" i="14"/>
  <c r="N115" i="14"/>
  <c r="M116" i="14"/>
  <c r="N116" i="14"/>
  <c r="M117" i="14"/>
  <c r="N117" i="14"/>
  <c r="M118" i="14"/>
  <c r="N118" i="14"/>
  <c r="M119" i="14"/>
  <c r="N119" i="14"/>
  <c r="M121" i="14"/>
  <c r="N121" i="14"/>
  <c r="M122" i="14"/>
  <c r="N122" i="14"/>
  <c r="M123" i="14"/>
  <c r="N123" i="14"/>
  <c r="M124" i="14"/>
  <c r="N124" i="14"/>
  <c r="M125" i="14"/>
  <c r="N125" i="14"/>
  <c r="M126" i="14"/>
  <c r="N126" i="14"/>
  <c r="M127" i="14"/>
  <c r="N127" i="14"/>
  <c r="M128" i="14"/>
  <c r="N128" i="14"/>
  <c r="M129" i="14"/>
  <c r="N129" i="14"/>
  <c r="M130" i="14"/>
  <c r="N130" i="14"/>
  <c r="M131" i="14"/>
  <c r="N131" i="14"/>
  <c r="M133" i="14"/>
  <c r="N133" i="14"/>
  <c r="M134" i="14"/>
  <c r="N134" i="14"/>
  <c r="M135" i="14"/>
  <c r="N135" i="14"/>
  <c r="M136" i="14"/>
  <c r="N136" i="14"/>
  <c r="M137" i="14"/>
  <c r="N137" i="14"/>
  <c r="M138" i="14"/>
  <c r="N138" i="14"/>
  <c r="M139" i="14"/>
  <c r="N139" i="14"/>
  <c r="M141" i="14"/>
  <c r="N141" i="14"/>
  <c r="M142" i="14"/>
  <c r="N142" i="14"/>
  <c r="M143" i="14"/>
  <c r="N143" i="14"/>
  <c r="M144" i="14"/>
  <c r="N144" i="14"/>
  <c r="M145" i="14"/>
  <c r="N145" i="14"/>
  <c r="M146" i="14"/>
  <c r="N146" i="14"/>
  <c r="M147" i="14"/>
  <c r="N147" i="14"/>
  <c r="M149" i="14"/>
  <c r="N149" i="14"/>
  <c r="M150" i="14"/>
  <c r="N150" i="14"/>
  <c r="M151" i="14"/>
  <c r="N151" i="14"/>
  <c r="M152" i="14"/>
  <c r="N152" i="14"/>
  <c r="M153" i="14"/>
  <c r="N153" i="14"/>
  <c r="M154" i="14"/>
  <c r="N154" i="14"/>
  <c r="M155" i="14"/>
  <c r="N155" i="14"/>
  <c r="M156" i="14"/>
  <c r="N156" i="14"/>
  <c r="M158" i="14"/>
  <c r="N158" i="14"/>
  <c r="M159" i="14"/>
  <c r="N159" i="14"/>
  <c r="M160" i="14"/>
  <c r="N160" i="14"/>
  <c r="M161" i="14"/>
  <c r="N161" i="14"/>
  <c r="M162" i="14"/>
  <c r="N162" i="14"/>
  <c r="M163" i="14"/>
  <c r="N163" i="14"/>
  <c r="M165" i="14"/>
  <c r="N165" i="14"/>
  <c r="M192" i="14"/>
  <c r="N192" i="14"/>
  <c r="M193" i="14"/>
  <c r="N193" i="14"/>
  <c r="M194" i="14"/>
  <c r="N194" i="14"/>
  <c r="M195" i="14"/>
  <c r="N195" i="14"/>
  <c r="M196" i="14"/>
  <c r="N196" i="14"/>
  <c r="M197" i="14"/>
  <c r="N197" i="14"/>
  <c r="M198" i="14"/>
  <c r="N198" i="14"/>
  <c r="M207" i="14"/>
  <c r="N207" i="14"/>
  <c r="M208" i="14"/>
  <c r="N208" i="14"/>
  <c r="M209" i="14"/>
  <c r="N209" i="14"/>
  <c r="M210" i="14"/>
  <c r="N210" i="14"/>
  <c r="M211" i="14"/>
  <c r="N211" i="14"/>
  <c r="M212" i="14"/>
  <c r="N212" i="14"/>
  <c r="M213" i="14"/>
  <c r="N213" i="14"/>
  <c r="M214" i="14"/>
  <c r="N214" i="14"/>
  <c r="M215" i="14"/>
  <c r="N215" i="14"/>
  <c r="M216" i="14"/>
  <c r="N216" i="14"/>
  <c r="M217" i="14"/>
  <c r="N217" i="14"/>
  <c r="M218" i="14"/>
  <c r="N218" i="14"/>
  <c r="M219" i="14"/>
  <c r="N219" i="14"/>
  <c r="M220" i="14"/>
  <c r="N220" i="14"/>
  <c r="M221" i="14"/>
  <c r="N221" i="14"/>
  <c r="M222" i="14"/>
  <c r="N222" i="14"/>
  <c r="M223" i="14"/>
  <c r="N223" i="14"/>
  <c r="M224" i="14"/>
  <c r="N224" i="14"/>
  <c r="M225" i="14"/>
  <c r="N225" i="14"/>
  <c r="M226" i="14"/>
  <c r="N226" i="14"/>
  <c r="M227" i="14"/>
  <c r="N227" i="14"/>
  <c r="M228" i="14"/>
  <c r="N228" i="14"/>
  <c r="M229" i="14"/>
  <c r="N229" i="14"/>
  <c r="M230" i="14"/>
  <c r="N230" i="14"/>
  <c r="M231" i="14"/>
  <c r="N231" i="14"/>
  <c r="M232" i="14"/>
  <c r="N232" i="14"/>
  <c r="M233" i="14"/>
  <c r="N233" i="14"/>
  <c r="M270" i="14"/>
  <c r="N270" i="14"/>
  <c r="M271" i="14"/>
  <c r="N271" i="14"/>
  <c r="M272" i="14"/>
  <c r="N272" i="14"/>
  <c r="M273" i="14"/>
  <c r="N273" i="14"/>
  <c r="M274" i="14"/>
  <c r="N274" i="14"/>
  <c r="M275" i="14"/>
  <c r="N275" i="14"/>
  <c r="M276" i="14"/>
  <c r="N276" i="14"/>
  <c r="M277" i="14"/>
  <c r="N277" i="14"/>
  <c r="M278" i="14"/>
  <c r="N278" i="14"/>
  <c r="M279" i="14"/>
  <c r="N279" i="14"/>
  <c r="M252" i="14"/>
  <c r="N252" i="14"/>
  <c r="M253" i="14"/>
  <c r="N253" i="14"/>
  <c r="M254" i="14"/>
  <c r="N254" i="14"/>
  <c r="M255" i="14"/>
  <c r="N255" i="14"/>
  <c r="M256" i="14"/>
  <c r="N256" i="14"/>
  <c r="M257" i="14"/>
  <c r="N257" i="14"/>
  <c r="M258" i="14"/>
  <c r="N258" i="14"/>
  <c r="M259" i="14"/>
  <c r="N259" i="14"/>
  <c r="M260" i="14"/>
  <c r="N260" i="14"/>
  <c r="M261" i="14"/>
  <c r="N261" i="14"/>
  <c r="M262" i="14"/>
  <c r="N262" i="14"/>
  <c r="M263" i="14"/>
  <c r="N263" i="14"/>
  <c r="M264" i="14"/>
  <c r="N264" i="14"/>
  <c r="M265" i="14"/>
  <c r="N265" i="14"/>
  <c r="M166" i="14"/>
  <c r="N166" i="14"/>
  <c r="M167" i="14"/>
  <c r="N167" i="14"/>
  <c r="M168" i="14"/>
  <c r="N168" i="14"/>
  <c r="M169" i="14"/>
  <c r="N169" i="14"/>
  <c r="M170" i="14"/>
  <c r="N170" i="14"/>
  <c r="M171" i="14"/>
  <c r="N171" i="14"/>
  <c r="M172" i="14"/>
  <c r="N172" i="14"/>
  <c r="M173" i="14"/>
  <c r="N173" i="14"/>
  <c r="M174" i="14"/>
  <c r="N174" i="14"/>
  <c r="M175" i="14"/>
  <c r="N175" i="14"/>
  <c r="M176" i="14"/>
  <c r="N176" i="14"/>
  <c r="M177" i="14"/>
  <c r="N177" i="14"/>
  <c r="M178" i="14"/>
  <c r="N178" i="14"/>
  <c r="M179" i="14"/>
  <c r="N179" i="14"/>
  <c r="M180" i="14"/>
  <c r="N180" i="14"/>
  <c r="M181" i="14"/>
  <c r="N181" i="14"/>
  <c r="M182" i="14"/>
  <c r="N182" i="14"/>
  <c r="M183" i="14"/>
  <c r="N183" i="14"/>
  <c r="M184" i="14"/>
  <c r="N184" i="14"/>
  <c r="M185" i="14"/>
  <c r="N185" i="14"/>
  <c r="M186" i="14"/>
  <c r="N186" i="14"/>
  <c r="M187" i="14"/>
  <c r="N187" i="14"/>
  <c r="M188" i="14"/>
  <c r="N188" i="14"/>
  <c r="M189" i="14"/>
  <c r="N189" i="14"/>
  <c r="M190" i="14"/>
  <c r="N190" i="14"/>
  <c r="M280" i="14"/>
  <c r="N280" i="14"/>
  <c r="M281" i="14"/>
  <c r="N281" i="14"/>
  <c r="M282" i="14"/>
  <c r="N282" i="14"/>
  <c r="M283" i="14"/>
  <c r="N283" i="14"/>
  <c r="M284" i="14"/>
  <c r="N284" i="14"/>
  <c r="M285" i="14"/>
  <c r="N285" i="14"/>
  <c r="M289" i="14"/>
  <c r="N289" i="14"/>
  <c r="M290" i="14"/>
  <c r="N290" i="14"/>
  <c r="M96" i="14"/>
  <c r="N96" i="14"/>
  <c r="M97" i="14"/>
  <c r="N97" i="14"/>
  <c r="M291" i="14"/>
  <c r="N291" i="14"/>
  <c r="M292" i="14"/>
  <c r="N292" i="14"/>
  <c r="M293" i="14"/>
  <c r="N293" i="14"/>
  <c r="M287" i="14"/>
  <c r="N287" i="14"/>
  <c r="M288" i="14"/>
  <c r="N288" i="14"/>
  <c r="I76" i="18"/>
  <c r="I75" i="18"/>
  <c r="C76" i="18"/>
  <c r="D76" i="18"/>
  <c r="H76" i="18"/>
  <c r="C75" i="18"/>
  <c r="D75" i="18"/>
  <c r="H75" i="18"/>
  <c r="H74" i="18"/>
  <c r="C74" i="18"/>
  <c r="D74" i="18"/>
  <c r="I528" i="15"/>
  <c r="B524" i="15"/>
  <c r="B525" i="15"/>
  <c r="B526" i="15"/>
  <c r="B527" i="15"/>
  <c r="B528" i="15"/>
  <c r="C524" i="15"/>
  <c r="C525" i="15"/>
  <c r="C526" i="15"/>
  <c r="C527" i="15"/>
  <c r="C528" i="15"/>
  <c r="I524" i="15"/>
  <c r="I525" i="15"/>
  <c r="I526" i="15"/>
  <c r="I527" i="15"/>
  <c r="I74" i="18"/>
  <c r="B288" i="14"/>
  <c r="C288" i="14"/>
  <c r="L288" i="14"/>
  <c r="B287" i="14"/>
  <c r="C287" i="14"/>
  <c r="L287" i="14"/>
  <c r="C90" i="10"/>
  <c r="D90" i="10"/>
  <c r="F57" i="18"/>
  <c r="I57" i="18"/>
  <c r="B541" i="15"/>
  <c r="B542" i="15"/>
  <c r="B543" i="15"/>
  <c r="C541" i="15"/>
  <c r="C542" i="15"/>
  <c r="C543" i="15"/>
  <c r="I541" i="15"/>
  <c r="I542" i="15"/>
  <c r="I543" i="15"/>
  <c r="B293" i="14"/>
  <c r="C293" i="14"/>
  <c r="L293" i="14"/>
  <c r="B292" i="14"/>
  <c r="C292" i="14"/>
  <c r="L292" i="14"/>
  <c r="B291" i="14"/>
  <c r="C291" i="14"/>
  <c r="L291" i="14"/>
  <c r="C92" i="10"/>
  <c r="D92" i="10"/>
  <c r="B285" i="15"/>
  <c r="B286" i="15"/>
  <c r="B287" i="15"/>
  <c r="B288" i="15"/>
  <c r="B289" i="15"/>
  <c r="B290" i="15"/>
  <c r="B291" i="15"/>
  <c r="B292" i="15"/>
  <c r="B293" i="15"/>
  <c r="B294" i="15"/>
  <c r="B295" i="15"/>
  <c r="C285" i="15"/>
  <c r="C286" i="15"/>
  <c r="C287" i="15"/>
  <c r="C288" i="15"/>
  <c r="C289" i="15"/>
  <c r="C290" i="15"/>
  <c r="C291" i="15"/>
  <c r="C292" i="15"/>
  <c r="C293" i="15"/>
  <c r="C294" i="15"/>
  <c r="C295" i="15"/>
  <c r="I285" i="15"/>
  <c r="I286" i="15"/>
  <c r="I287" i="15"/>
  <c r="I288" i="15"/>
  <c r="I289" i="15"/>
  <c r="I290" i="15"/>
  <c r="I291" i="15"/>
  <c r="I292" i="15"/>
  <c r="I293" i="15"/>
  <c r="I294" i="15"/>
  <c r="I295" i="15"/>
  <c r="B97" i="14"/>
  <c r="C97" i="14"/>
  <c r="L97" i="14"/>
  <c r="B96" i="14"/>
  <c r="C96" i="14"/>
  <c r="L96" i="14"/>
  <c r="C50" i="10"/>
  <c r="D50" i="10"/>
  <c r="V50" i="9"/>
  <c r="B529" i="15"/>
  <c r="B530" i="15"/>
  <c r="B531" i="15"/>
  <c r="B532" i="15"/>
  <c r="B533" i="15"/>
  <c r="B534" i="15"/>
  <c r="B535" i="15"/>
  <c r="B536" i="15"/>
  <c r="B537" i="15"/>
  <c r="B538" i="15"/>
  <c r="B539" i="15"/>
  <c r="B540" i="15"/>
  <c r="C529" i="15"/>
  <c r="C530" i="15"/>
  <c r="C531" i="15"/>
  <c r="C532" i="15"/>
  <c r="C533" i="15"/>
  <c r="C534" i="15"/>
  <c r="C535" i="15"/>
  <c r="C536" i="15"/>
  <c r="C537" i="15"/>
  <c r="C538" i="15"/>
  <c r="C539" i="15"/>
  <c r="C540" i="15"/>
  <c r="I529" i="15"/>
  <c r="I530" i="15"/>
  <c r="I531" i="15"/>
  <c r="I532" i="15"/>
  <c r="I533" i="15"/>
  <c r="I534" i="15"/>
  <c r="I535" i="15"/>
  <c r="I536" i="15"/>
  <c r="I537" i="15"/>
  <c r="I538" i="15"/>
  <c r="I539" i="15"/>
  <c r="I540" i="15"/>
  <c r="B290" i="14"/>
  <c r="C290" i="14"/>
  <c r="L290" i="14"/>
  <c r="C91" i="10"/>
  <c r="D91" i="10"/>
  <c r="C73" i="18"/>
  <c r="D73" i="18"/>
  <c r="C72" i="18"/>
  <c r="D72" i="18"/>
  <c r="C71" i="18"/>
  <c r="D71" i="18"/>
  <c r="C70" i="18"/>
  <c r="D70" i="18"/>
  <c r="L289" i="14"/>
  <c r="V88" i="9"/>
  <c r="B516" i="15"/>
  <c r="B517" i="15"/>
  <c r="B518" i="15"/>
  <c r="B519" i="15"/>
  <c r="B520" i="15"/>
  <c r="B521" i="15"/>
  <c r="B522" i="15"/>
  <c r="B523" i="15"/>
  <c r="C516" i="15"/>
  <c r="C517" i="15"/>
  <c r="C518" i="15"/>
  <c r="C519" i="15"/>
  <c r="C520" i="15"/>
  <c r="C521" i="15"/>
  <c r="C522" i="15"/>
  <c r="C523" i="15"/>
  <c r="I516" i="15"/>
  <c r="I517" i="15"/>
  <c r="I518" i="15"/>
  <c r="I519" i="15"/>
  <c r="I520" i="15"/>
  <c r="I521" i="15"/>
  <c r="I522" i="15"/>
  <c r="I523" i="15"/>
  <c r="B289" i="14"/>
  <c r="C289" i="14"/>
  <c r="B285" i="14"/>
  <c r="C285" i="14"/>
  <c r="L285" i="14"/>
  <c r="B284" i="14"/>
  <c r="C284" i="14"/>
  <c r="L284" i="14"/>
  <c r="B283" i="14"/>
  <c r="C283" i="14"/>
  <c r="L283" i="14"/>
  <c r="B282" i="14"/>
  <c r="C282" i="14"/>
  <c r="L282" i="14"/>
  <c r="C89" i="10"/>
  <c r="D89" i="10"/>
  <c r="V64" i="9"/>
  <c r="B281" i="14"/>
  <c r="C281" i="14"/>
  <c r="L281" i="14"/>
  <c r="B280" i="14"/>
  <c r="C280" i="14"/>
  <c r="L280" i="14"/>
  <c r="B190" i="14"/>
  <c r="C190" i="14"/>
  <c r="L190" i="14"/>
  <c r="B189" i="14"/>
  <c r="C189" i="14"/>
  <c r="L189" i="14"/>
  <c r="B188" i="14"/>
  <c r="C188" i="14"/>
  <c r="L188" i="14"/>
  <c r="B187" i="14"/>
  <c r="C187" i="14"/>
  <c r="L187" i="14"/>
  <c r="B186" i="14"/>
  <c r="C186" i="14"/>
  <c r="L186" i="14"/>
  <c r="B185" i="14"/>
  <c r="C185" i="14"/>
  <c r="L185" i="14"/>
  <c r="B184" i="14"/>
  <c r="C184" i="14"/>
  <c r="L184" i="14"/>
  <c r="B183" i="14"/>
  <c r="C183" i="14"/>
  <c r="L183" i="14"/>
  <c r="B182" i="14"/>
  <c r="C182" i="14"/>
  <c r="L182" i="14"/>
  <c r="B181" i="14"/>
  <c r="C181" i="14"/>
  <c r="L181" i="14"/>
  <c r="B180" i="14"/>
  <c r="C180" i="14"/>
  <c r="L180" i="14"/>
  <c r="B179" i="14"/>
  <c r="C179" i="14"/>
  <c r="L179" i="14"/>
  <c r="B178" i="14"/>
  <c r="C178" i="14"/>
  <c r="L178" i="14"/>
  <c r="B177" i="14"/>
  <c r="C177" i="14"/>
  <c r="L177" i="14"/>
  <c r="B176" i="14"/>
  <c r="C176" i="14"/>
  <c r="L176" i="14"/>
  <c r="B175" i="14"/>
  <c r="C175" i="14"/>
  <c r="L175" i="14"/>
  <c r="B174" i="14"/>
  <c r="C174" i="14"/>
  <c r="L174" i="14"/>
  <c r="B173" i="14"/>
  <c r="C173" i="14"/>
  <c r="L173" i="14"/>
  <c r="B172" i="14"/>
  <c r="C172" i="14"/>
  <c r="L172" i="14"/>
  <c r="B171" i="14"/>
  <c r="C171" i="14"/>
  <c r="L171" i="14"/>
  <c r="B170" i="14"/>
  <c r="C170" i="14"/>
  <c r="L170" i="14"/>
  <c r="B169" i="14"/>
  <c r="C169" i="14"/>
  <c r="L169" i="14"/>
  <c r="B168" i="14"/>
  <c r="C168" i="14"/>
  <c r="L168" i="14"/>
  <c r="B167" i="14"/>
  <c r="C167" i="14"/>
  <c r="L167" i="14"/>
  <c r="B166" i="14"/>
  <c r="C166" i="14"/>
  <c r="L166" i="14"/>
  <c r="C70" i="10"/>
  <c r="D70" i="10"/>
  <c r="V89" i="9"/>
  <c r="V87" i="9"/>
  <c r="V86" i="9"/>
  <c r="B472" i="15"/>
  <c r="B473" i="15"/>
  <c r="B474" i="15"/>
  <c r="B475" i="15"/>
  <c r="B476" i="15"/>
  <c r="B477" i="15"/>
  <c r="B478" i="15"/>
  <c r="B479" i="15"/>
  <c r="B480" i="15"/>
  <c r="B481" i="15"/>
  <c r="B482" i="15"/>
  <c r="C472" i="15"/>
  <c r="C473" i="15"/>
  <c r="C474" i="15"/>
  <c r="C475" i="15"/>
  <c r="C476" i="15"/>
  <c r="C477" i="15"/>
  <c r="C478" i="15"/>
  <c r="C479" i="15"/>
  <c r="C480" i="15"/>
  <c r="C481" i="15"/>
  <c r="C482" i="15"/>
  <c r="I472" i="15"/>
  <c r="I473" i="15"/>
  <c r="I474" i="15"/>
  <c r="I475" i="15"/>
  <c r="I476" i="15"/>
  <c r="I477" i="15"/>
  <c r="I478" i="15"/>
  <c r="I479" i="15"/>
  <c r="I480" i="15"/>
  <c r="I481" i="15"/>
  <c r="I482" i="15"/>
  <c r="B265" i="14"/>
  <c r="C265" i="14"/>
  <c r="L265" i="14"/>
  <c r="B264" i="14"/>
  <c r="C264" i="14"/>
  <c r="L264" i="14"/>
  <c r="B263" i="14"/>
  <c r="C263" i="14"/>
  <c r="L263" i="14"/>
  <c r="B262" i="14"/>
  <c r="C262" i="14"/>
  <c r="L262" i="14"/>
  <c r="B261" i="14"/>
  <c r="C261" i="14"/>
  <c r="L261" i="14"/>
  <c r="B260" i="14"/>
  <c r="C260" i="14"/>
  <c r="L260" i="14"/>
  <c r="B259" i="14"/>
  <c r="C259" i="14"/>
  <c r="L259" i="14"/>
  <c r="B258" i="14"/>
  <c r="C258" i="14"/>
  <c r="L258" i="14"/>
  <c r="B257" i="14"/>
  <c r="C257" i="14"/>
  <c r="L257" i="14"/>
  <c r="B256" i="14"/>
  <c r="C256" i="14"/>
  <c r="L256" i="14"/>
  <c r="B255" i="14"/>
  <c r="C255" i="14"/>
  <c r="L255" i="14"/>
  <c r="B254" i="14"/>
  <c r="C254" i="14"/>
  <c r="L254" i="14"/>
  <c r="B253" i="14"/>
  <c r="C253" i="14"/>
  <c r="L253" i="14"/>
  <c r="B252" i="14"/>
  <c r="C252" i="14"/>
  <c r="L252" i="14"/>
  <c r="C83" i="10"/>
  <c r="D83" i="10"/>
  <c r="V80" i="9"/>
  <c r="V70" i="9"/>
  <c r="I69" i="18"/>
  <c r="B506" i="15"/>
  <c r="B507" i="15"/>
  <c r="B508" i="15"/>
  <c r="B509" i="15"/>
  <c r="B510" i="15"/>
  <c r="B511" i="15"/>
  <c r="B512" i="15"/>
  <c r="B513" i="15"/>
  <c r="B514" i="15"/>
  <c r="B515" i="15"/>
  <c r="C506" i="15"/>
  <c r="C507" i="15"/>
  <c r="C508" i="15"/>
  <c r="C509" i="15"/>
  <c r="C510" i="15"/>
  <c r="C511" i="15"/>
  <c r="C512" i="15"/>
  <c r="C513" i="15"/>
  <c r="C514" i="15"/>
  <c r="C515" i="15"/>
  <c r="I506" i="15"/>
  <c r="I507" i="15"/>
  <c r="I508" i="15"/>
  <c r="I509" i="15"/>
  <c r="I510" i="15"/>
  <c r="I511" i="15"/>
  <c r="I512" i="15"/>
  <c r="I513" i="15"/>
  <c r="I514" i="15"/>
  <c r="I515" i="15"/>
  <c r="B279" i="14"/>
  <c r="C279" i="14"/>
  <c r="L279" i="14"/>
  <c r="B278" i="14"/>
  <c r="C278" i="14"/>
  <c r="L278" i="14"/>
  <c r="C88" i="10"/>
  <c r="D88" i="10"/>
  <c r="V85" i="9"/>
  <c r="C69" i="18"/>
  <c r="D69" i="18"/>
  <c r="H69" i="18"/>
  <c r="C68" i="18"/>
  <c r="D68" i="18"/>
  <c r="B494" i="15"/>
  <c r="B495" i="15"/>
  <c r="B496" i="15"/>
  <c r="B497" i="15"/>
  <c r="B498" i="15"/>
  <c r="B499" i="15"/>
  <c r="B500" i="15"/>
  <c r="B501" i="15"/>
  <c r="B502" i="15"/>
  <c r="B503" i="15"/>
  <c r="B504" i="15"/>
  <c r="B505" i="15"/>
  <c r="C494" i="15"/>
  <c r="C495" i="15"/>
  <c r="C496" i="15"/>
  <c r="C497" i="15"/>
  <c r="C498" i="15"/>
  <c r="C499" i="15"/>
  <c r="C500" i="15"/>
  <c r="C501" i="15"/>
  <c r="C502" i="15"/>
  <c r="C503" i="15"/>
  <c r="C504" i="15"/>
  <c r="C505" i="15"/>
  <c r="I494" i="15"/>
  <c r="I495" i="15"/>
  <c r="I496" i="15"/>
  <c r="I497" i="15"/>
  <c r="I498" i="15"/>
  <c r="I499" i="15"/>
  <c r="I500" i="15"/>
  <c r="I501" i="15"/>
  <c r="I502" i="15"/>
  <c r="I503" i="15"/>
  <c r="I504" i="15"/>
  <c r="I505" i="15"/>
  <c r="B277" i="14"/>
  <c r="C277" i="14"/>
  <c r="L277" i="14"/>
  <c r="B276" i="14"/>
  <c r="C276" i="14"/>
  <c r="L276" i="14"/>
  <c r="B275" i="14"/>
  <c r="C275" i="14"/>
  <c r="L275" i="14"/>
  <c r="B274" i="14"/>
  <c r="C274" i="14"/>
  <c r="L274" i="14"/>
  <c r="B273" i="14"/>
  <c r="C273" i="14"/>
  <c r="L273" i="14"/>
  <c r="B272" i="14"/>
  <c r="C272" i="14"/>
  <c r="L272" i="14"/>
  <c r="B271" i="14"/>
  <c r="C271" i="14"/>
  <c r="L271" i="14"/>
  <c r="B270" i="14"/>
  <c r="C270" i="14"/>
  <c r="L270" i="14"/>
  <c r="C87" i="10"/>
  <c r="D87" i="10"/>
  <c r="V84" i="9"/>
  <c r="B447" i="15"/>
  <c r="B448" i="15"/>
  <c r="B449" i="15"/>
  <c r="B450" i="15"/>
  <c r="B451" i="15"/>
  <c r="C447" i="15"/>
  <c r="C448" i="15"/>
  <c r="C449" i="15"/>
  <c r="C450" i="15"/>
  <c r="C451" i="15"/>
  <c r="I447" i="15"/>
  <c r="I448" i="15"/>
  <c r="I449" i="15"/>
  <c r="I450" i="15"/>
  <c r="I451" i="15"/>
  <c r="H7" i="18"/>
  <c r="H8" i="18"/>
  <c r="H9" i="18"/>
  <c r="H10" i="18"/>
  <c r="H11" i="18"/>
  <c r="H12" i="18"/>
  <c r="H18" i="18"/>
  <c r="H19" i="18"/>
  <c r="H20" i="18"/>
  <c r="H21" i="18"/>
  <c r="H22" i="18"/>
  <c r="H23" i="18"/>
  <c r="H25" i="18"/>
  <c r="H26" i="18"/>
  <c r="H27" i="18"/>
  <c r="H28" i="18"/>
  <c r="H29" i="18"/>
  <c r="H32" i="18"/>
  <c r="H36" i="18"/>
  <c r="H38" i="18"/>
  <c r="H39" i="18"/>
  <c r="H40" i="18"/>
  <c r="H41" i="18"/>
  <c r="H42" i="18"/>
  <c r="H45" i="18"/>
  <c r="H46" i="18"/>
  <c r="H47" i="18"/>
  <c r="H48" i="18"/>
  <c r="H49" i="18"/>
  <c r="H52" i="18"/>
  <c r="H53" i="18"/>
  <c r="H54" i="18"/>
  <c r="H55" i="18"/>
  <c r="H60" i="18"/>
  <c r="H61" i="18"/>
  <c r="H62" i="18"/>
  <c r="H63" i="18"/>
  <c r="H64" i="18"/>
  <c r="H65" i="18"/>
  <c r="H66" i="18"/>
  <c r="F62" i="18"/>
  <c r="I62" i="18"/>
  <c r="D62" i="18"/>
  <c r="C62" i="18"/>
  <c r="F61" i="18"/>
  <c r="I61" i="18"/>
  <c r="D61" i="18"/>
  <c r="C61" i="18"/>
  <c r="F58" i="18"/>
  <c r="I67" i="18"/>
  <c r="C67" i="18"/>
  <c r="D67" i="18"/>
  <c r="I66" i="18"/>
  <c r="C66" i="18"/>
  <c r="V68" i="9"/>
  <c r="H67" i="18"/>
  <c r="B198" i="14"/>
  <c r="C198" i="14"/>
  <c r="L198" i="14"/>
  <c r="B197" i="14"/>
  <c r="C197" i="14"/>
  <c r="L197" i="14"/>
  <c r="B196" i="14"/>
  <c r="C196" i="14"/>
  <c r="L196" i="14"/>
  <c r="B195" i="14"/>
  <c r="C195" i="14"/>
  <c r="L195" i="14"/>
  <c r="B194" i="14"/>
  <c r="C194" i="14"/>
  <c r="L194" i="14"/>
  <c r="B193" i="14"/>
  <c r="C193" i="14"/>
  <c r="L193" i="14"/>
  <c r="B192" i="14"/>
  <c r="C192" i="14"/>
  <c r="L192" i="14"/>
  <c r="V69" i="9"/>
  <c r="B233" i="14"/>
  <c r="C233" i="14"/>
  <c r="L233" i="14"/>
  <c r="B232" i="14"/>
  <c r="C232" i="14"/>
  <c r="L232" i="14"/>
  <c r="B231" i="14"/>
  <c r="C231" i="14"/>
  <c r="L231" i="14"/>
  <c r="B230" i="14"/>
  <c r="C230" i="14"/>
  <c r="L230" i="14"/>
  <c r="B441" i="15"/>
  <c r="B442" i="15"/>
  <c r="B443" i="15"/>
  <c r="B444" i="15"/>
  <c r="B445" i="15"/>
  <c r="B446" i="15"/>
  <c r="C441" i="15"/>
  <c r="C442" i="15"/>
  <c r="C443" i="15"/>
  <c r="C444" i="15"/>
  <c r="C445" i="15"/>
  <c r="C446" i="15"/>
  <c r="I441" i="15"/>
  <c r="I442" i="15"/>
  <c r="I443" i="15"/>
  <c r="I444" i="15"/>
  <c r="I445" i="15"/>
  <c r="I446" i="15"/>
  <c r="B229" i="14"/>
  <c r="C229" i="14"/>
  <c r="L229" i="14"/>
  <c r="B228" i="14"/>
  <c r="C228" i="14"/>
  <c r="L228" i="14"/>
  <c r="B227" i="14"/>
  <c r="C227" i="14"/>
  <c r="L227" i="14"/>
  <c r="C71" i="10"/>
  <c r="D71" i="10"/>
  <c r="B223" i="14"/>
  <c r="C223" i="14"/>
  <c r="L223" i="14"/>
  <c r="B222" i="14"/>
  <c r="C222" i="14"/>
  <c r="L222" i="14"/>
  <c r="B221" i="14"/>
  <c r="C221" i="14"/>
  <c r="L221" i="14"/>
  <c r="B220" i="14"/>
  <c r="C220" i="14"/>
  <c r="L220" i="14"/>
  <c r="B219" i="14"/>
  <c r="C219" i="14"/>
  <c r="L219" i="14"/>
  <c r="B218" i="14"/>
  <c r="C218" i="14"/>
  <c r="L218" i="14"/>
  <c r="B217" i="14"/>
  <c r="C217" i="14"/>
  <c r="L217" i="14"/>
  <c r="B424" i="15"/>
  <c r="B425" i="15"/>
  <c r="B426" i="15"/>
  <c r="B427" i="15"/>
  <c r="B428" i="15"/>
  <c r="B429" i="15"/>
  <c r="B430" i="15"/>
  <c r="B431" i="15"/>
  <c r="B432" i="15"/>
  <c r="B433" i="15"/>
  <c r="B434" i="15"/>
  <c r="B435" i="15"/>
  <c r="B436" i="15"/>
  <c r="C424" i="15"/>
  <c r="C425" i="15"/>
  <c r="C426" i="15"/>
  <c r="C427" i="15"/>
  <c r="C428" i="15"/>
  <c r="C429" i="15"/>
  <c r="C430" i="15"/>
  <c r="C431" i="15"/>
  <c r="C432" i="15"/>
  <c r="C433" i="15"/>
  <c r="C434" i="15"/>
  <c r="C435" i="15"/>
  <c r="C436" i="15"/>
  <c r="I424" i="15"/>
  <c r="I425" i="15"/>
  <c r="I426" i="15"/>
  <c r="I427" i="15"/>
  <c r="I428" i="15"/>
  <c r="I429" i="15"/>
  <c r="I430" i="15"/>
  <c r="I431" i="15"/>
  <c r="I432" i="15"/>
  <c r="I433" i="15"/>
  <c r="I434" i="15"/>
  <c r="I435" i="15"/>
  <c r="I436" i="15"/>
  <c r="B216" i="14"/>
  <c r="C216" i="14"/>
  <c r="L216" i="14"/>
  <c r="C75" i="10"/>
  <c r="D75" i="10"/>
  <c r="V73" i="9"/>
  <c r="I37" i="19"/>
  <c r="D37" i="19"/>
  <c r="E37" i="19"/>
  <c r="C78" i="10"/>
  <c r="D78" i="10"/>
  <c r="V76" i="9"/>
  <c r="I36" i="19"/>
  <c r="D36" i="19"/>
  <c r="E36" i="19"/>
  <c r="I35" i="19"/>
  <c r="D35" i="19"/>
  <c r="I34" i="19"/>
  <c r="D34" i="19"/>
  <c r="E34" i="19"/>
  <c r="I33" i="19"/>
  <c r="G55" i="19"/>
  <c r="D33" i="19"/>
  <c r="E33" i="19"/>
  <c r="I32" i="19"/>
  <c r="F58" i="19"/>
  <c r="I31" i="19"/>
  <c r="F55" i="19"/>
  <c r="I65" i="18"/>
  <c r="C65" i="18"/>
  <c r="D65" i="18"/>
  <c r="C63" i="18"/>
  <c r="D63" i="18"/>
  <c r="C64" i="18"/>
  <c r="D64" i="18"/>
  <c r="H11" i="9"/>
  <c r="F54" i="18"/>
  <c r="I54" i="18"/>
  <c r="F52" i="18"/>
  <c r="I52" i="18"/>
  <c r="I64" i="18"/>
  <c r="I63" i="18"/>
  <c r="I411" i="15"/>
  <c r="I410" i="15"/>
  <c r="I409" i="15"/>
  <c r="I408" i="15"/>
  <c r="I407" i="15"/>
  <c r="I406" i="15"/>
  <c r="I405" i="15"/>
  <c r="B405" i="15"/>
  <c r="B406" i="15"/>
  <c r="B407" i="15"/>
  <c r="B408" i="15"/>
  <c r="B409" i="15"/>
  <c r="B410" i="15"/>
  <c r="B411" i="15"/>
  <c r="C405" i="15"/>
  <c r="C406" i="15"/>
  <c r="C407" i="15"/>
  <c r="C408" i="15"/>
  <c r="C409" i="15"/>
  <c r="C410" i="15"/>
  <c r="C411" i="15"/>
  <c r="B207" i="14"/>
  <c r="C207" i="14"/>
  <c r="B208" i="14"/>
  <c r="C208" i="14"/>
  <c r="B209" i="14"/>
  <c r="C209" i="14"/>
  <c r="B210" i="14"/>
  <c r="C210" i="14"/>
  <c r="B211" i="14"/>
  <c r="C211" i="14"/>
  <c r="B212" i="14"/>
  <c r="C212" i="14"/>
  <c r="B213" i="14"/>
  <c r="C213" i="14"/>
  <c r="L213" i="14"/>
  <c r="L212" i="14"/>
  <c r="L211" i="14"/>
  <c r="L210" i="14"/>
  <c r="L209" i="14"/>
  <c r="L208" i="14"/>
  <c r="L207" i="14"/>
  <c r="C73" i="10"/>
  <c r="D73" i="10"/>
  <c r="V71" i="9"/>
  <c r="C52" i="18"/>
  <c r="D52" i="18"/>
  <c r="B393" i="15"/>
  <c r="B394" i="15"/>
  <c r="B395" i="15"/>
  <c r="B396" i="15"/>
  <c r="C393" i="15"/>
  <c r="C394" i="15"/>
  <c r="C395" i="15"/>
  <c r="C396" i="15"/>
  <c r="I393" i="15"/>
  <c r="I394" i="15"/>
  <c r="I395" i="15"/>
  <c r="I396" i="15"/>
  <c r="B165" i="14"/>
  <c r="C165" i="14"/>
  <c r="L165" i="14"/>
  <c r="C69" i="10"/>
  <c r="D69" i="10"/>
  <c r="V67" i="9"/>
  <c r="B437" i="15"/>
  <c r="B438" i="15"/>
  <c r="B439" i="15"/>
  <c r="B440" i="15"/>
  <c r="C437" i="15"/>
  <c r="C438" i="15"/>
  <c r="C439" i="15"/>
  <c r="C440" i="15"/>
  <c r="I437" i="15"/>
  <c r="I438" i="15"/>
  <c r="I439" i="15"/>
  <c r="I440" i="15"/>
  <c r="B226" i="14"/>
  <c r="C226" i="14"/>
  <c r="L226" i="14"/>
  <c r="C77" i="10"/>
  <c r="D77" i="10"/>
  <c r="V75" i="9"/>
  <c r="B225" i="14"/>
  <c r="C225" i="14"/>
  <c r="L225" i="14"/>
  <c r="C76" i="10"/>
  <c r="D76" i="10"/>
  <c r="V74" i="9"/>
  <c r="C7" i="10"/>
  <c r="D7" i="10"/>
  <c r="H7" i="9"/>
  <c r="V7" i="9"/>
  <c r="B239" i="15"/>
  <c r="B240" i="15"/>
  <c r="C239" i="15"/>
  <c r="C240" i="15"/>
  <c r="I239" i="15"/>
  <c r="I240" i="15"/>
  <c r="C45" i="10"/>
  <c r="D45" i="10"/>
  <c r="V45" i="9"/>
  <c r="K31" i="25"/>
  <c r="K30" i="25"/>
  <c r="D32" i="19"/>
  <c r="E32" i="19"/>
  <c r="D31" i="19"/>
  <c r="E31" i="19"/>
  <c r="F60" i="18"/>
  <c r="I60" i="18"/>
  <c r="C60" i="18"/>
  <c r="D60" i="18"/>
  <c r="B412" i="15"/>
  <c r="B413" i="15"/>
  <c r="B414" i="15"/>
  <c r="B415" i="15"/>
  <c r="B416" i="15"/>
  <c r="B417" i="15"/>
  <c r="B418" i="15"/>
  <c r="B419" i="15"/>
  <c r="B420" i="15"/>
  <c r="B421" i="15"/>
  <c r="B422" i="15"/>
  <c r="B423" i="15"/>
  <c r="C412" i="15"/>
  <c r="C413" i="15"/>
  <c r="C414" i="15"/>
  <c r="C415" i="15"/>
  <c r="C416" i="15"/>
  <c r="C417" i="15"/>
  <c r="C418" i="15"/>
  <c r="C419" i="15"/>
  <c r="C420" i="15"/>
  <c r="C421" i="15"/>
  <c r="C422" i="15"/>
  <c r="C423" i="15"/>
  <c r="I412" i="15"/>
  <c r="I413" i="15"/>
  <c r="I414" i="15"/>
  <c r="I415" i="15"/>
  <c r="I416" i="15"/>
  <c r="I417" i="15"/>
  <c r="I418" i="15"/>
  <c r="I419" i="15"/>
  <c r="I420" i="15"/>
  <c r="I421" i="15"/>
  <c r="I422" i="15"/>
  <c r="I423" i="15"/>
  <c r="B224" i="14"/>
  <c r="C224" i="14"/>
  <c r="L224" i="14"/>
  <c r="B215" i="14"/>
  <c r="C215" i="14"/>
  <c r="L215" i="14"/>
  <c r="B214" i="14"/>
  <c r="C214" i="14"/>
  <c r="L214" i="14"/>
  <c r="V72" i="9"/>
  <c r="F51" i="18"/>
  <c r="I51" i="18"/>
  <c r="C51" i="18"/>
  <c r="F53" i="18"/>
  <c r="I53" i="18"/>
  <c r="B386" i="15"/>
  <c r="B387" i="15"/>
  <c r="B388" i="15"/>
  <c r="B389" i="15"/>
  <c r="B390" i="15"/>
  <c r="B391" i="15"/>
  <c r="B392" i="15"/>
  <c r="C386" i="15"/>
  <c r="C387" i="15"/>
  <c r="C388" i="15"/>
  <c r="C389" i="15"/>
  <c r="C390" i="15"/>
  <c r="C391" i="15"/>
  <c r="C392" i="15"/>
  <c r="I386" i="15"/>
  <c r="I387" i="15"/>
  <c r="I388" i="15"/>
  <c r="I389" i="15"/>
  <c r="I390" i="15"/>
  <c r="I391" i="15"/>
  <c r="I392" i="15"/>
  <c r="B358" i="15"/>
  <c r="B359" i="15"/>
  <c r="B360" i="15"/>
  <c r="B361" i="15"/>
  <c r="B362" i="15"/>
  <c r="B363" i="15"/>
  <c r="C358" i="15"/>
  <c r="C359" i="15"/>
  <c r="C360" i="15"/>
  <c r="C361" i="15"/>
  <c r="C362" i="15"/>
  <c r="C363" i="15"/>
  <c r="I358" i="15"/>
  <c r="I359" i="15"/>
  <c r="I360" i="15"/>
  <c r="I361" i="15"/>
  <c r="I362" i="15"/>
  <c r="I363" i="15"/>
  <c r="B364" i="15"/>
  <c r="B365" i="15"/>
  <c r="B366" i="15"/>
  <c r="B367" i="15"/>
  <c r="B368" i="15"/>
  <c r="B369" i="15"/>
  <c r="B370" i="15"/>
  <c r="C364" i="15"/>
  <c r="C365" i="15"/>
  <c r="C366" i="15"/>
  <c r="C367" i="15"/>
  <c r="C368" i="15"/>
  <c r="C369" i="15"/>
  <c r="C370" i="15"/>
  <c r="I364" i="15"/>
  <c r="I365" i="15"/>
  <c r="I366" i="15"/>
  <c r="I367" i="15"/>
  <c r="I368" i="15"/>
  <c r="I369" i="15"/>
  <c r="I370" i="15"/>
  <c r="B147" i="14"/>
  <c r="C147" i="14"/>
  <c r="L147" i="14"/>
  <c r="B146" i="14"/>
  <c r="C146" i="14"/>
  <c r="L146" i="14"/>
  <c r="B145" i="14"/>
  <c r="C145" i="14"/>
  <c r="L145" i="14"/>
  <c r="B144" i="14"/>
  <c r="C144" i="14"/>
  <c r="L144" i="14"/>
  <c r="B143" i="14"/>
  <c r="C143" i="14"/>
  <c r="L143" i="14"/>
  <c r="B142" i="14"/>
  <c r="C142" i="14"/>
  <c r="L142" i="14"/>
  <c r="B141" i="14"/>
  <c r="C141" i="14"/>
  <c r="L141" i="14"/>
  <c r="B139" i="14"/>
  <c r="C139" i="14"/>
  <c r="L139" i="14"/>
  <c r="B138" i="14"/>
  <c r="C138" i="14"/>
  <c r="L138" i="14"/>
  <c r="H59" i="18"/>
  <c r="B137" i="14"/>
  <c r="C137" i="14"/>
  <c r="L137" i="14"/>
  <c r="B136" i="14"/>
  <c r="C136" i="14"/>
  <c r="L136" i="14"/>
  <c r="B135" i="14"/>
  <c r="C135" i="14"/>
  <c r="L135" i="14"/>
  <c r="B134" i="14"/>
  <c r="C134" i="14"/>
  <c r="L134" i="14"/>
  <c r="B133" i="14"/>
  <c r="C133" i="14"/>
  <c r="L133" i="14"/>
  <c r="H58" i="18"/>
  <c r="B163" i="14"/>
  <c r="C163" i="14"/>
  <c r="L163" i="14"/>
  <c r="B162" i="14"/>
  <c r="C162" i="14"/>
  <c r="L162" i="14"/>
  <c r="B161" i="14"/>
  <c r="C161" i="14"/>
  <c r="L161" i="14"/>
  <c r="B160" i="14"/>
  <c r="C160" i="14"/>
  <c r="L160" i="14"/>
  <c r="C74" i="10"/>
  <c r="D74" i="10"/>
  <c r="I58" i="18"/>
  <c r="B383" i="15"/>
  <c r="B384" i="15"/>
  <c r="B385" i="15"/>
  <c r="C383" i="15"/>
  <c r="C384" i="15"/>
  <c r="C385" i="15"/>
  <c r="I383" i="15"/>
  <c r="I384" i="15"/>
  <c r="I385" i="15"/>
  <c r="B159" i="14"/>
  <c r="C159" i="14"/>
  <c r="L159" i="14"/>
  <c r="B158" i="14"/>
  <c r="C158" i="14"/>
  <c r="L158" i="14"/>
  <c r="H68" i="18"/>
  <c r="I68" i="18"/>
  <c r="C68" i="10"/>
  <c r="D68" i="10"/>
  <c r="C67" i="10"/>
  <c r="D67" i="10"/>
  <c r="V66" i="9"/>
  <c r="V65" i="9"/>
  <c r="B346" i="15"/>
  <c r="B347" i="15"/>
  <c r="B348" i="15"/>
  <c r="B349" i="15"/>
  <c r="B350" i="15"/>
  <c r="C346" i="15"/>
  <c r="C347" i="15"/>
  <c r="C348" i="15"/>
  <c r="C349" i="15"/>
  <c r="C350" i="15"/>
  <c r="I346" i="15"/>
  <c r="I347" i="15"/>
  <c r="I348" i="15"/>
  <c r="I349" i="15"/>
  <c r="I350" i="15"/>
  <c r="B376" i="15"/>
  <c r="B377" i="15"/>
  <c r="B378" i="15"/>
  <c r="B379" i="15"/>
  <c r="B380" i="15"/>
  <c r="B381" i="15"/>
  <c r="B382" i="15"/>
  <c r="C376" i="15"/>
  <c r="C377" i="15"/>
  <c r="C378" i="15"/>
  <c r="C379" i="15"/>
  <c r="C380" i="15"/>
  <c r="C381" i="15"/>
  <c r="C382" i="15"/>
  <c r="I376" i="15"/>
  <c r="I377" i="15"/>
  <c r="I378" i="15"/>
  <c r="I379" i="15"/>
  <c r="I380" i="15"/>
  <c r="I381" i="15"/>
  <c r="I382" i="15"/>
  <c r="C56" i="10"/>
  <c r="D56" i="10"/>
  <c r="B156" i="14"/>
  <c r="C156" i="14"/>
  <c r="L156" i="14"/>
  <c r="B155" i="14"/>
  <c r="C155" i="14"/>
  <c r="L155" i="14"/>
  <c r="B154" i="14"/>
  <c r="C154" i="14"/>
  <c r="L154" i="14"/>
  <c r="B153" i="14"/>
  <c r="C153" i="14"/>
  <c r="L153" i="14"/>
  <c r="B152" i="14"/>
  <c r="C152" i="14"/>
  <c r="L152" i="14"/>
  <c r="B151" i="14"/>
  <c r="C151" i="14"/>
  <c r="L151" i="14"/>
  <c r="B150" i="14"/>
  <c r="C150" i="14"/>
  <c r="L150" i="14"/>
  <c r="B149" i="14"/>
  <c r="C149" i="14"/>
  <c r="L149" i="14"/>
  <c r="F50" i="18"/>
  <c r="I50" i="18"/>
  <c r="C50" i="18"/>
  <c r="B375" i="15"/>
  <c r="C375" i="15"/>
  <c r="I375" i="15"/>
  <c r="B374" i="15"/>
  <c r="C374" i="15"/>
  <c r="I374" i="15"/>
  <c r="B373" i="15"/>
  <c r="C373" i="15"/>
  <c r="I373" i="15"/>
  <c r="B372" i="15"/>
  <c r="C372" i="15"/>
  <c r="I372" i="15"/>
  <c r="B371" i="15"/>
  <c r="C371" i="15"/>
  <c r="I371" i="15"/>
  <c r="B124" i="14"/>
  <c r="C124" i="14"/>
  <c r="L124" i="14"/>
  <c r="B123" i="14"/>
  <c r="C123" i="14"/>
  <c r="L123" i="14"/>
  <c r="B122" i="14"/>
  <c r="C122" i="14"/>
  <c r="L122" i="14"/>
  <c r="B121" i="14"/>
  <c r="C121" i="14"/>
  <c r="L121" i="14"/>
  <c r="I77" i="18"/>
  <c r="H77" i="18"/>
  <c r="V63" i="9"/>
  <c r="B326" i="15"/>
  <c r="B327" i="15"/>
  <c r="B328" i="15"/>
  <c r="B329" i="15"/>
  <c r="C326" i="15"/>
  <c r="C327" i="15"/>
  <c r="C328" i="15"/>
  <c r="C329" i="15"/>
  <c r="I326" i="15"/>
  <c r="I327" i="15"/>
  <c r="I328" i="15"/>
  <c r="I329" i="15"/>
  <c r="B325" i="15"/>
  <c r="C325" i="15"/>
  <c r="I325" i="15"/>
  <c r="L103" i="14"/>
  <c r="B103" i="14"/>
  <c r="C103" i="14"/>
  <c r="H56" i="18"/>
  <c r="H73" i="18"/>
  <c r="I73" i="18"/>
  <c r="C63" i="10"/>
  <c r="D63" i="10"/>
  <c r="C59" i="18"/>
  <c r="D59" i="18"/>
  <c r="C58" i="18"/>
  <c r="D58" i="18"/>
  <c r="C57" i="18"/>
  <c r="D57" i="18"/>
  <c r="C56" i="18"/>
  <c r="D56" i="18"/>
  <c r="C55" i="18"/>
  <c r="D55" i="18"/>
  <c r="C54" i="18"/>
  <c r="D54" i="18"/>
  <c r="C53" i="18"/>
  <c r="D53" i="18"/>
  <c r="I30" i="19"/>
  <c r="D30" i="19"/>
  <c r="E30" i="19"/>
  <c r="I29" i="19"/>
  <c r="D29" i="19"/>
  <c r="E29" i="19"/>
  <c r="I28" i="19"/>
  <c r="D28" i="19"/>
  <c r="E28" i="19"/>
  <c r="I27" i="19"/>
  <c r="D27" i="19"/>
  <c r="E27" i="19"/>
  <c r="I26" i="19"/>
  <c r="D26" i="19"/>
  <c r="E26" i="19"/>
  <c r="I25" i="19"/>
  <c r="D25" i="19"/>
  <c r="E25" i="19"/>
  <c r="I24" i="19"/>
  <c r="D24" i="19"/>
  <c r="E24" i="19"/>
  <c r="I23" i="19"/>
  <c r="D23" i="19"/>
  <c r="E23" i="19"/>
  <c r="I22" i="19"/>
  <c r="D22" i="19"/>
  <c r="E22" i="19"/>
  <c r="I21" i="19"/>
  <c r="D21" i="19"/>
  <c r="E21" i="19"/>
  <c r="I20" i="19"/>
  <c r="D20" i="19"/>
  <c r="E20" i="19"/>
  <c r="H28" i="25"/>
  <c r="K28" i="25"/>
  <c r="N28" i="25"/>
  <c r="L28" i="25"/>
  <c r="L29" i="25"/>
  <c r="L30" i="25"/>
  <c r="L31" i="25"/>
  <c r="M28" i="25"/>
  <c r="M29" i="25"/>
  <c r="M30" i="25"/>
  <c r="M31" i="25"/>
  <c r="K26" i="25"/>
  <c r="C62" i="10"/>
  <c r="D62" i="10"/>
  <c r="V62" i="9"/>
  <c r="C61" i="10"/>
  <c r="D61" i="10"/>
  <c r="V61" i="9"/>
  <c r="P52" i="14"/>
  <c r="P51" i="14"/>
  <c r="F49" i="18"/>
  <c r="I49" i="18"/>
  <c r="D49" i="18"/>
  <c r="C49" i="18"/>
  <c r="F48" i="18"/>
  <c r="I48" i="18"/>
  <c r="B351" i="15"/>
  <c r="B352" i="15"/>
  <c r="B353" i="15"/>
  <c r="B354" i="15"/>
  <c r="B355" i="15"/>
  <c r="B356" i="15"/>
  <c r="B357" i="15"/>
  <c r="C351" i="15"/>
  <c r="C352" i="15"/>
  <c r="C353" i="15"/>
  <c r="C354" i="15"/>
  <c r="C355" i="15"/>
  <c r="C356" i="15"/>
  <c r="C357" i="15"/>
  <c r="I351" i="15"/>
  <c r="I352" i="15"/>
  <c r="I353" i="15"/>
  <c r="I354" i="15"/>
  <c r="I355" i="15"/>
  <c r="I356" i="15"/>
  <c r="I357" i="15"/>
  <c r="L126" i="14"/>
  <c r="B131" i="14"/>
  <c r="C131" i="14"/>
  <c r="L131" i="14"/>
  <c r="B130" i="14"/>
  <c r="C130" i="14"/>
  <c r="L130" i="14"/>
  <c r="B129" i="14"/>
  <c r="C129" i="14"/>
  <c r="L129" i="14"/>
  <c r="B128" i="14"/>
  <c r="C128" i="14"/>
  <c r="L128" i="14"/>
  <c r="B127" i="14"/>
  <c r="C127" i="14"/>
  <c r="L127" i="14"/>
  <c r="B126" i="14"/>
  <c r="C126" i="14"/>
  <c r="B125" i="14"/>
  <c r="C125" i="14"/>
  <c r="L125" i="14"/>
  <c r="C60" i="10"/>
  <c r="D60" i="10"/>
  <c r="V60" i="9"/>
  <c r="C59" i="10"/>
  <c r="D59" i="10"/>
  <c r="V59" i="9"/>
  <c r="C58" i="10"/>
  <c r="D58" i="10"/>
  <c r="H58" i="9"/>
  <c r="V58" i="9"/>
  <c r="B338" i="15"/>
  <c r="B339" i="15"/>
  <c r="B340" i="15"/>
  <c r="B341" i="15"/>
  <c r="B342" i="15"/>
  <c r="B343" i="15"/>
  <c r="B344" i="15"/>
  <c r="B345" i="15"/>
  <c r="C338" i="15"/>
  <c r="C339" i="15"/>
  <c r="C340" i="15"/>
  <c r="C341" i="15"/>
  <c r="C342" i="15"/>
  <c r="C343" i="15"/>
  <c r="C344" i="15"/>
  <c r="C345" i="15"/>
  <c r="I338" i="15"/>
  <c r="I339" i="15"/>
  <c r="I340" i="15"/>
  <c r="I341" i="15"/>
  <c r="I342" i="15"/>
  <c r="I343" i="15"/>
  <c r="I344" i="15"/>
  <c r="I345" i="15"/>
  <c r="B119" i="14"/>
  <c r="C119" i="14"/>
  <c r="L119" i="14"/>
  <c r="B118" i="14"/>
  <c r="C118" i="14"/>
  <c r="L118" i="14"/>
  <c r="B117" i="14"/>
  <c r="C117" i="14"/>
  <c r="L117" i="14"/>
  <c r="B116" i="14"/>
  <c r="C116" i="14"/>
  <c r="L116" i="14"/>
  <c r="B115" i="14"/>
  <c r="C115" i="14"/>
  <c r="L115" i="14"/>
  <c r="B114" i="14"/>
  <c r="C114" i="14"/>
  <c r="L114" i="14"/>
  <c r="B113" i="14"/>
  <c r="C113" i="14"/>
  <c r="L113" i="14"/>
  <c r="B112" i="14"/>
  <c r="C112" i="14"/>
  <c r="L112" i="14"/>
  <c r="H57" i="18"/>
  <c r="V57" i="9"/>
  <c r="H56" i="9"/>
  <c r="V56" i="9"/>
  <c r="C57" i="10"/>
  <c r="D57" i="10"/>
  <c r="B330" i="15"/>
  <c r="B331" i="15"/>
  <c r="B332" i="15"/>
  <c r="B333" i="15"/>
  <c r="B334" i="15"/>
  <c r="B335" i="15"/>
  <c r="B336" i="15"/>
  <c r="B337" i="15"/>
  <c r="C330" i="15"/>
  <c r="C331" i="15"/>
  <c r="C332" i="15"/>
  <c r="C333" i="15"/>
  <c r="C334" i="15"/>
  <c r="C335" i="15"/>
  <c r="C336" i="15"/>
  <c r="C337" i="15"/>
  <c r="I330" i="15"/>
  <c r="I331" i="15"/>
  <c r="I332" i="15"/>
  <c r="I333" i="15"/>
  <c r="I334" i="15"/>
  <c r="I335" i="15"/>
  <c r="I336" i="15"/>
  <c r="I337" i="15"/>
  <c r="B110" i="14"/>
  <c r="C110" i="14"/>
  <c r="L110" i="14"/>
  <c r="B109" i="14"/>
  <c r="C109" i="14"/>
  <c r="L109" i="14"/>
  <c r="B108" i="14"/>
  <c r="C108" i="14"/>
  <c r="L108" i="14"/>
  <c r="B107" i="14"/>
  <c r="C107" i="14"/>
  <c r="L107" i="14"/>
  <c r="B106" i="14"/>
  <c r="C106" i="14"/>
  <c r="L106" i="14"/>
  <c r="B105" i="14"/>
  <c r="C105" i="14"/>
  <c r="L105" i="14"/>
  <c r="B104" i="14"/>
  <c r="C104" i="14"/>
  <c r="L104" i="14"/>
  <c r="C55" i="10"/>
  <c r="D55" i="10"/>
  <c r="V55" i="9"/>
  <c r="C54" i="10"/>
  <c r="D54" i="10"/>
  <c r="V54" i="9"/>
  <c r="B319" i="15"/>
  <c r="B320" i="15"/>
  <c r="B321" i="15"/>
  <c r="B322" i="15"/>
  <c r="B323" i="15"/>
  <c r="B324" i="15"/>
  <c r="C319" i="15"/>
  <c r="C320" i="15"/>
  <c r="C321" i="15"/>
  <c r="C322" i="15"/>
  <c r="C323" i="15"/>
  <c r="C324" i="15"/>
  <c r="I319" i="15"/>
  <c r="I320" i="15"/>
  <c r="I321" i="15"/>
  <c r="I322" i="15"/>
  <c r="I323" i="15"/>
  <c r="I324" i="15"/>
  <c r="B102" i="14"/>
  <c r="C102" i="14"/>
  <c r="L102" i="14"/>
  <c r="I72" i="18"/>
  <c r="H72" i="18"/>
  <c r="C53" i="10"/>
  <c r="D53" i="10"/>
  <c r="V53" i="9"/>
  <c r="B313" i="15"/>
  <c r="B314" i="15"/>
  <c r="B315" i="15"/>
  <c r="B316" i="15"/>
  <c r="B317" i="15"/>
  <c r="B318" i="15"/>
  <c r="C313" i="15"/>
  <c r="C314" i="15"/>
  <c r="C315" i="15"/>
  <c r="C316" i="15"/>
  <c r="C317" i="15"/>
  <c r="C318" i="15"/>
  <c r="I313" i="15"/>
  <c r="I314" i="15"/>
  <c r="I315" i="15"/>
  <c r="I316" i="15"/>
  <c r="I317" i="15"/>
  <c r="I318" i="15"/>
  <c r="B101" i="14"/>
  <c r="C101" i="14"/>
  <c r="L101" i="14"/>
  <c r="I71" i="18"/>
  <c r="H71" i="18"/>
  <c r="V52" i="9"/>
  <c r="B308" i="15"/>
  <c r="B309" i="15"/>
  <c r="B310" i="15"/>
  <c r="B311" i="15"/>
  <c r="B312" i="15"/>
  <c r="C308" i="15"/>
  <c r="C309" i="15"/>
  <c r="C310" i="15"/>
  <c r="C311" i="15"/>
  <c r="C312" i="15"/>
  <c r="I308" i="15"/>
  <c r="I309" i="15"/>
  <c r="I310" i="15"/>
  <c r="I311" i="15"/>
  <c r="I312" i="15"/>
  <c r="B307" i="15"/>
  <c r="C307" i="15"/>
  <c r="I307" i="15"/>
  <c r="B100" i="14"/>
  <c r="C100" i="14"/>
  <c r="L100" i="14"/>
  <c r="C52" i="10"/>
  <c r="D52" i="10"/>
  <c r="H70" i="18"/>
  <c r="I70" i="18"/>
  <c r="I90" i="18"/>
  <c r="C51" i="10"/>
  <c r="D51" i="10"/>
  <c r="B275" i="15"/>
  <c r="B276" i="15"/>
  <c r="B277" i="15"/>
  <c r="B278" i="15"/>
  <c r="B279" i="15"/>
  <c r="B280" i="15"/>
  <c r="B281" i="15"/>
  <c r="B282" i="15"/>
  <c r="B283" i="15"/>
  <c r="B284" i="15"/>
  <c r="I275" i="15"/>
  <c r="I276" i="15"/>
  <c r="I277" i="15"/>
  <c r="I278" i="15"/>
  <c r="I279" i="15"/>
  <c r="I280" i="15"/>
  <c r="I281" i="15"/>
  <c r="I282" i="15"/>
  <c r="I283" i="15"/>
  <c r="I284" i="15"/>
  <c r="B95" i="14"/>
  <c r="L95" i="14"/>
  <c r="B94" i="14"/>
  <c r="L94" i="14"/>
  <c r="H51" i="18"/>
  <c r="F37" i="18"/>
  <c r="I37" i="18"/>
  <c r="C37" i="18"/>
  <c r="D37" i="18"/>
  <c r="V51" i="9"/>
  <c r="E35" i="25"/>
  <c r="O34" i="25"/>
  <c r="K25" i="25"/>
  <c r="I19" i="19"/>
  <c r="D19" i="19"/>
  <c r="E19" i="19"/>
  <c r="I18" i="19"/>
  <c r="D18" i="19"/>
  <c r="E18" i="19"/>
  <c r="P17" i="25"/>
  <c r="P16" i="25"/>
  <c r="P15" i="25"/>
  <c r="P14" i="25"/>
  <c r="P13" i="25"/>
  <c r="P12" i="25"/>
  <c r="P11" i="25"/>
  <c r="P10" i="25"/>
  <c r="P9" i="25"/>
  <c r="P8" i="25"/>
  <c r="P7" i="25"/>
  <c r="P6" i="25"/>
  <c r="P5" i="25"/>
  <c r="P4" i="25"/>
  <c r="P24" i="25"/>
  <c r="P23" i="25"/>
  <c r="O39" i="25"/>
  <c r="K24" i="25"/>
  <c r="K23" i="25"/>
  <c r="K22" i="25"/>
  <c r="P22" i="25"/>
  <c r="C49" i="10"/>
  <c r="V49" i="9"/>
  <c r="C49" i="9"/>
  <c r="I49" i="10"/>
  <c r="J49" i="10"/>
  <c r="C48" i="18"/>
  <c r="D48" i="18"/>
  <c r="I274" i="15"/>
  <c r="I273" i="15"/>
  <c r="I272" i="15"/>
  <c r="I271" i="15"/>
  <c r="I270" i="15"/>
  <c r="I269" i="15"/>
  <c r="I268" i="15"/>
  <c r="I267" i="15"/>
  <c r="I266" i="15"/>
  <c r="I265" i="15"/>
  <c r="I264" i="15"/>
  <c r="I263" i="15"/>
  <c r="I262" i="15"/>
  <c r="I261" i="15"/>
  <c r="I260" i="15"/>
  <c r="I259" i="15"/>
  <c r="I258" i="15"/>
  <c r="I257" i="15"/>
  <c r="I256" i="15"/>
  <c r="I255" i="15"/>
  <c r="I254" i="15"/>
  <c r="I253" i="15"/>
  <c r="I252" i="15"/>
  <c r="I251" i="15"/>
  <c r="I250" i="15"/>
  <c r="I249" i="15"/>
  <c r="I248" i="15"/>
  <c r="I247" i="15"/>
  <c r="I246" i="15"/>
  <c r="I245" i="15"/>
  <c r="I244" i="15"/>
  <c r="I243" i="15"/>
  <c r="I242" i="15"/>
  <c r="I241" i="15"/>
  <c r="I168" i="15"/>
  <c r="I167" i="15"/>
  <c r="I166" i="15"/>
  <c r="I165" i="15"/>
  <c r="I164" i="15"/>
  <c r="I163" i="15"/>
  <c r="I238" i="15"/>
  <c r="I237" i="15"/>
  <c r="I236" i="15"/>
  <c r="I235" i="15"/>
  <c r="I234" i="15"/>
  <c r="I233" i="15"/>
  <c r="I232" i="15"/>
  <c r="I231" i="15"/>
  <c r="I230" i="15"/>
  <c r="I229" i="15"/>
  <c r="I228" i="15"/>
  <c r="I227" i="15"/>
  <c r="I226" i="15"/>
  <c r="I225" i="15"/>
  <c r="I224" i="15"/>
  <c r="I223" i="15"/>
  <c r="I222" i="15"/>
  <c r="I221" i="15"/>
  <c r="I220" i="15"/>
  <c r="I219" i="15"/>
  <c r="I218" i="15"/>
  <c r="I217" i="15"/>
  <c r="I216" i="15"/>
  <c r="I215" i="15"/>
  <c r="I214" i="15"/>
  <c r="I213" i="15"/>
  <c r="I212" i="15"/>
  <c r="I211" i="15"/>
  <c r="I210" i="15"/>
  <c r="I209" i="15"/>
  <c r="I201" i="15"/>
  <c r="I200" i="15"/>
  <c r="I199" i="15"/>
  <c r="I198" i="15"/>
  <c r="I197" i="15"/>
  <c r="I196" i="15"/>
  <c r="I195" i="15"/>
  <c r="I194" i="15"/>
  <c r="I193" i="15"/>
  <c r="I192" i="15"/>
  <c r="I208" i="15"/>
  <c r="I207" i="15"/>
  <c r="I206" i="15"/>
  <c r="I205" i="15"/>
  <c r="I204" i="15"/>
  <c r="I203" i="15"/>
  <c r="I202" i="15"/>
  <c r="I191" i="15"/>
  <c r="I190" i="15"/>
  <c r="I140" i="15"/>
  <c r="I139" i="15"/>
  <c r="I138" i="15"/>
  <c r="I137" i="15"/>
  <c r="I136" i="15"/>
  <c r="I135" i="15"/>
  <c r="I134" i="15"/>
  <c r="I133" i="15"/>
  <c r="I132" i="15"/>
  <c r="I131" i="15"/>
  <c r="I130" i="15"/>
  <c r="I129" i="15"/>
  <c r="I128" i="15"/>
  <c r="I127" i="15"/>
  <c r="I126" i="15"/>
  <c r="I125" i="15"/>
  <c r="I124" i="15"/>
  <c r="I123" i="15"/>
  <c r="I122" i="15"/>
  <c r="I121" i="15"/>
  <c r="I120" i="15"/>
  <c r="I119" i="15"/>
  <c r="I118" i="15"/>
  <c r="I117" i="15"/>
  <c r="I116" i="15"/>
  <c r="I115" i="15"/>
  <c r="I114" i="15"/>
  <c r="I113" i="15"/>
  <c r="I112" i="15"/>
  <c r="I111" i="15"/>
  <c r="I110" i="15"/>
  <c r="I109" i="15"/>
  <c r="I108" i="15"/>
  <c r="I107" i="15"/>
  <c r="I106" i="15"/>
  <c r="I105" i="15"/>
  <c r="I104" i="15"/>
  <c r="I103" i="15"/>
  <c r="I102" i="15"/>
  <c r="I101" i="15"/>
  <c r="I100" i="15"/>
  <c r="I99" i="15"/>
  <c r="I98" i="15"/>
  <c r="I97" i="15"/>
  <c r="I96" i="15"/>
  <c r="I95" i="15"/>
  <c r="I94" i="15"/>
  <c r="I5" i="15"/>
  <c r="I4" i="15"/>
  <c r="I3" i="15"/>
  <c r="I2" i="15"/>
  <c r="I92" i="15"/>
  <c r="I91" i="15"/>
  <c r="I90" i="15"/>
  <c r="I89" i="15"/>
  <c r="I88" i="15"/>
  <c r="I87" i="15"/>
  <c r="I86" i="15"/>
  <c r="I85" i="15"/>
  <c r="I84" i="15"/>
  <c r="I83" i="15"/>
  <c r="I82" i="15"/>
  <c r="I81" i="15"/>
  <c r="I80" i="15"/>
  <c r="I79" i="15"/>
  <c r="I78" i="15"/>
  <c r="I77" i="15"/>
  <c r="I76" i="15"/>
  <c r="I75" i="15"/>
  <c r="I74" i="15"/>
  <c r="I73" i="15"/>
  <c r="I72" i="15"/>
  <c r="I71" i="15"/>
  <c r="I70" i="15"/>
  <c r="I69" i="15"/>
  <c r="I68" i="15"/>
  <c r="I67" i="15"/>
  <c r="I66" i="15"/>
  <c r="I65" i="15"/>
  <c r="I64" i="15"/>
  <c r="I63" i="15"/>
  <c r="I62" i="15"/>
  <c r="I61" i="15"/>
  <c r="I60" i="15"/>
  <c r="I59" i="15"/>
  <c r="I58" i="15"/>
  <c r="I57" i="15"/>
  <c r="I150" i="15"/>
  <c r="I149" i="15"/>
  <c r="I148" i="15"/>
  <c r="I147" i="15"/>
  <c r="I146" i="15"/>
  <c r="I145" i="15"/>
  <c r="I144" i="15"/>
  <c r="I143" i="15"/>
  <c r="I142" i="15"/>
  <c r="I141" i="15"/>
  <c r="I189" i="15"/>
  <c r="I188" i="15"/>
  <c r="I187" i="15"/>
  <c r="I186" i="15"/>
  <c r="I185" i="15"/>
  <c r="I184" i="15"/>
  <c r="I183" i="15"/>
  <c r="I182" i="15"/>
  <c r="I181" i="15"/>
  <c r="I180" i="15"/>
  <c r="I179" i="15"/>
  <c r="I178" i="15"/>
  <c r="I177" i="15"/>
  <c r="I176" i="15"/>
  <c r="I175" i="15"/>
  <c r="I174" i="15"/>
  <c r="I173" i="15"/>
  <c r="I172" i="15"/>
  <c r="I171" i="15"/>
  <c r="I170" i="15"/>
  <c r="I169" i="15"/>
  <c r="I162" i="15"/>
  <c r="I161" i="15"/>
  <c r="I160" i="15"/>
  <c r="I159" i="15"/>
  <c r="I158" i="15"/>
  <c r="I157" i="15"/>
  <c r="I156" i="15"/>
  <c r="I155" i="15"/>
  <c r="I154" i="15"/>
  <c r="I153" i="15"/>
  <c r="I152" i="15"/>
  <c r="I151" i="15"/>
  <c r="I19" i="15"/>
  <c r="I18" i="15"/>
  <c r="I17" i="15"/>
  <c r="I16" i="15"/>
  <c r="I15" i="15"/>
  <c r="I14" i="15"/>
  <c r="I13" i="15"/>
  <c r="I12" i="15"/>
  <c r="I11" i="15"/>
  <c r="I10" i="15"/>
  <c r="I9" i="15"/>
  <c r="I8" i="15"/>
  <c r="I7" i="15"/>
  <c r="I6" i="15"/>
  <c r="I56" i="15"/>
  <c r="I55" i="15"/>
  <c r="I54" i="15"/>
  <c r="I53" i="15"/>
  <c r="I52" i="15"/>
  <c r="I51" i="15"/>
  <c r="I50" i="15"/>
  <c r="I49" i="15"/>
  <c r="I48" i="15"/>
  <c r="I47" i="15"/>
  <c r="I46" i="15"/>
  <c r="I45" i="15"/>
  <c r="I44" i="15"/>
  <c r="I43" i="15"/>
  <c r="I42" i="15"/>
  <c r="I33" i="15"/>
  <c r="I32" i="15"/>
  <c r="I31" i="15"/>
  <c r="I30" i="15"/>
  <c r="I29" i="15"/>
  <c r="I28" i="15"/>
  <c r="I27" i="15"/>
  <c r="I39" i="15"/>
  <c r="I38" i="15"/>
  <c r="I37" i="15"/>
  <c r="I36" i="15"/>
  <c r="I35" i="15"/>
  <c r="I34" i="15"/>
  <c r="I26" i="15"/>
  <c r="I25" i="15"/>
  <c r="I24" i="15"/>
  <c r="I23" i="15"/>
  <c r="I22" i="15"/>
  <c r="I21" i="15"/>
  <c r="B263" i="15"/>
  <c r="B264" i="15"/>
  <c r="B265" i="15"/>
  <c r="B266" i="15"/>
  <c r="B267" i="15"/>
  <c r="B268" i="15"/>
  <c r="B269" i="15"/>
  <c r="B270" i="15"/>
  <c r="B271" i="15"/>
  <c r="B272" i="15"/>
  <c r="B273" i="15"/>
  <c r="B274" i="15"/>
  <c r="C263" i="15"/>
  <c r="C264" i="15"/>
  <c r="C265" i="15"/>
  <c r="C266" i="15"/>
  <c r="C269" i="15"/>
  <c r="C273" i="15"/>
  <c r="C274" i="15"/>
  <c r="B93" i="14"/>
  <c r="C93" i="14"/>
  <c r="L93" i="14"/>
  <c r="B92" i="14"/>
  <c r="C92" i="14"/>
  <c r="L92" i="14"/>
  <c r="C48" i="10"/>
  <c r="D48" i="10"/>
  <c r="V48" i="9"/>
  <c r="C48" i="9"/>
  <c r="M92" i="14"/>
  <c r="N92" i="14"/>
  <c r="D50" i="18"/>
  <c r="B251" i="15"/>
  <c r="B252" i="15"/>
  <c r="B253" i="15"/>
  <c r="B254" i="15"/>
  <c r="B255" i="15"/>
  <c r="B256" i="15"/>
  <c r="B257" i="15"/>
  <c r="B258" i="15"/>
  <c r="B259" i="15"/>
  <c r="B260" i="15"/>
  <c r="B261" i="15"/>
  <c r="B262" i="15"/>
  <c r="C251" i="15"/>
  <c r="C252" i="15"/>
  <c r="C253" i="15"/>
  <c r="C254" i="15"/>
  <c r="C255" i="15"/>
  <c r="C256" i="15"/>
  <c r="C257" i="15"/>
  <c r="C258" i="15"/>
  <c r="C259" i="15"/>
  <c r="C260" i="15"/>
  <c r="C261" i="15"/>
  <c r="C262" i="15"/>
  <c r="L91" i="14"/>
  <c r="L90" i="14"/>
  <c r="B91" i="14"/>
  <c r="C91" i="14"/>
  <c r="B90" i="14"/>
  <c r="C90" i="14"/>
  <c r="C271" i="15"/>
  <c r="C272" i="15"/>
  <c r="C270" i="15"/>
  <c r="D51" i="18"/>
  <c r="C276" i="15"/>
  <c r="C277" i="15"/>
  <c r="C278" i="15"/>
  <c r="C279" i="15"/>
  <c r="C280" i="15"/>
  <c r="C95" i="14"/>
  <c r="C281" i="15"/>
  <c r="C282" i="15"/>
  <c r="C94" i="14"/>
  <c r="C275" i="15"/>
  <c r="C283" i="15"/>
  <c r="C284" i="15"/>
  <c r="C268" i="15"/>
  <c r="C267" i="15"/>
  <c r="D49" i="10"/>
  <c r="C47" i="10"/>
  <c r="D47" i="10"/>
  <c r="V47" i="9"/>
  <c r="F47" i="18"/>
  <c r="I47" i="18"/>
  <c r="C47" i="18"/>
  <c r="D47" i="18"/>
  <c r="B241" i="15"/>
  <c r="B242" i="15"/>
  <c r="B243" i="15"/>
  <c r="B244" i="15"/>
  <c r="B245" i="15"/>
  <c r="B246" i="15"/>
  <c r="B247" i="15"/>
  <c r="B248" i="15"/>
  <c r="B249" i="15"/>
  <c r="B250" i="15"/>
  <c r="C241" i="15"/>
  <c r="C242" i="15"/>
  <c r="C245" i="15"/>
  <c r="C246" i="15"/>
  <c r="C247" i="15"/>
  <c r="C248" i="15"/>
  <c r="C249" i="15"/>
  <c r="C250" i="15"/>
  <c r="J89" i="14"/>
  <c r="L89" i="14"/>
  <c r="L88" i="14"/>
  <c r="B89" i="14"/>
  <c r="C89" i="14"/>
  <c r="B88" i="14"/>
  <c r="C88" i="14"/>
  <c r="C46" i="10"/>
  <c r="D46" i="10"/>
  <c r="C46" i="9"/>
  <c r="M89" i="14"/>
  <c r="E35" i="19"/>
  <c r="V46" i="9"/>
  <c r="C244" i="15"/>
  <c r="C243" i="15"/>
  <c r="B163" i="15"/>
  <c r="B164" i="15"/>
  <c r="B165" i="15"/>
  <c r="B166" i="15"/>
  <c r="B167" i="15"/>
  <c r="B168" i="15"/>
  <c r="C163" i="15"/>
  <c r="C164" i="15"/>
  <c r="C165" i="15"/>
  <c r="C166" i="15"/>
  <c r="C167" i="15"/>
  <c r="C168" i="15"/>
  <c r="B61" i="14"/>
  <c r="C61" i="14"/>
  <c r="L61" i="14"/>
  <c r="J58" i="14"/>
  <c r="L58" i="14"/>
  <c r="J57" i="14"/>
  <c r="L57" i="14"/>
  <c r="J56" i="14"/>
  <c r="L56" i="14"/>
  <c r="J55" i="14"/>
  <c r="L55" i="14"/>
  <c r="B60" i="14"/>
  <c r="C60" i="14"/>
  <c r="L60" i="14"/>
  <c r="B59" i="14"/>
  <c r="C59" i="14"/>
  <c r="L59" i="14"/>
  <c r="B58" i="14"/>
  <c r="C58" i="14"/>
  <c r="B57" i="14"/>
  <c r="C57" i="14"/>
  <c r="B56" i="14"/>
  <c r="C56" i="14"/>
  <c r="B55" i="14"/>
  <c r="C55" i="14"/>
  <c r="C35" i="10"/>
  <c r="D35" i="10"/>
  <c r="V35" i="9"/>
  <c r="C41" i="10"/>
  <c r="D41" i="10"/>
  <c r="C41" i="9"/>
  <c r="H41" i="9"/>
  <c r="V41" i="9"/>
  <c r="C6" i="10"/>
  <c r="D6" i="10"/>
  <c r="H6" i="9"/>
  <c r="V6" i="9"/>
  <c r="B229" i="15"/>
  <c r="B230" i="15"/>
  <c r="B231" i="15"/>
  <c r="B232" i="15"/>
  <c r="B233" i="15"/>
  <c r="B234" i="15"/>
  <c r="B235" i="15"/>
  <c r="B236" i="15"/>
  <c r="B237" i="15"/>
  <c r="B238" i="15"/>
  <c r="J87" i="14"/>
  <c r="L87" i="14"/>
  <c r="B87" i="14"/>
  <c r="J86" i="14"/>
  <c r="L86" i="14"/>
  <c r="C44" i="10"/>
  <c r="V44" i="9"/>
  <c r="C44" i="9"/>
  <c r="K230" i="15"/>
  <c r="F46" i="18"/>
  <c r="I46" i="18"/>
  <c r="C46" i="18"/>
  <c r="D46" i="18"/>
  <c r="F45" i="18"/>
  <c r="I45" i="18"/>
  <c r="C45" i="18"/>
  <c r="D45" i="18"/>
  <c r="B219" i="15"/>
  <c r="B220" i="15"/>
  <c r="B221" i="15"/>
  <c r="B222" i="15"/>
  <c r="B223" i="15"/>
  <c r="B224" i="15"/>
  <c r="B225" i="15"/>
  <c r="B226" i="15"/>
  <c r="B227" i="15"/>
  <c r="B228" i="15"/>
  <c r="C219" i="15"/>
  <c r="C220" i="15"/>
  <c r="C221" i="15"/>
  <c r="C222" i="15"/>
  <c r="C223" i="15"/>
  <c r="C224" i="15"/>
  <c r="C225" i="15"/>
  <c r="C226" i="15"/>
  <c r="C227" i="15"/>
  <c r="C228" i="15"/>
  <c r="B86" i="14"/>
  <c r="C86" i="14"/>
  <c r="J84" i="14"/>
  <c r="L84" i="14"/>
  <c r="B85" i="14"/>
  <c r="C85" i="14"/>
  <c r="L85" i="14"/>
  <c r="L83" i="14"/>
  <c r="B84" i="14"/>
  <c r="C84" i="14"/>
  <c r="B83" i="14"/>
  <c r="C83" i="14"/>
  <c r="C43" i="10"/>
  <c r="D43" i="10"/>
  <c r="V43" i="9"/>
  <c r="H25" i="24"/>
  <c r="I25" i="24"/>
  <c r="E24" i="24"/>
  <c r="H24" i="24"/>
  <c r="I24" i="24"/>
  <c r="D66" i="18"/>
  <c r="C233" i="15"/>
  <c r="C234" i="15"/>
  <c r="C229" i="15"/>
  <c r="C231" i="15"/>
  <c r="C235" i="15"/>
  <c r="C236" i="15"/>
  <c r="C237" i="15"/>
  <c r="C238" i="15"/>
  <c r="C87" i="14"/>
  <c r="C230" i="15"/>
  <c r="C232" i="15"/>
  <c r="D44" i="10"/>
  <c r="H23" i="24"/>
  <c r="I23" i="24"/>
  <c r="H17" i="19"/>
  <c r="G17" i="19"/>
  <c r="D17" i="19"/>
  <c r="C29" i="18"/>
  <c r="D29" i="18"/>
  <c r="F29" i="18"/>
  <c r="I29" i="18"/>
  <c r="F44" i="18"/>
  <c r="I44" i="18"/>
  <c r="C44" i="18"/>
  <c r="B209" i="15"/>
  <c r="B210" i="15"/>
  <c r="B211" i="15"/>
  <c r="B212" i="15"/>
  <c r="B213" i="15"/>
  <c r="B214" i="15"/>
  <c r="B215" i="15"/>
  <c r="B216" i="15"/>
  <c r="B217" i="15"/>
  <c r="B218" i="15"/>
  <c r="J82" i="14"/>
  <c r="L82" i="14"/>
  <c r="J81" i="14"/>
  <c r="L81" i="14"/>
  <c r="B82" i="14"/>
  <c r="B81" i="14"/>
  <c r="C42" i="10"/>
  <c r="I17" i="19"/>
  <c r="V42" i="9"/>
  <c r="C42" i="9"/>
  <c r="K214" i="15"/>
  <c r="G16" i="19"/>
  <c r="I16" i="19"/>
  <c r="D16" i="19"/>
  <c r="E16" i="19"/>
  <c r="H15" i="19"/>
  <c r="G15" i="19"/>
  <c r="D15" i="19"/>
  <c r="E15" i="19"/>
  <c r="H14" i="19"/>
  <c r="G14" i="19"/>
  <c r="D14" i="19"/>
  <c r="E14" i="19"/>
  <c r="H13" i="19"/>
  <c r="G13" i="19"/>
  <c r="E17" i="19"/>
  <c r="C81" i="14"/>
  <c r="C215" i="15"/>
  <c r="C209" i="15"/>
  <c r="C213" i="15"/>
  <c r="D44" i="18"/>
  <c r="C214" i="15"/>
  <c r="C216" i="15"/>
  <c r="C217" i="15"/>
  <c r="C218" i="15"/>
  <c r="C210" i="15"/>
  <c r="D42" i="10"/>
  <c r="C211" i="15"/>
  <c r="C212" i="15"/>
  <c r="C82" i="14"/>
  <c r="H50" i="18"/>
  <c r="H37" i="18"/>
  <c r="I13" i="19"/>
  <c r="I15" i="19"/>
  <c r="I14" i="19"/>
  <c r="D13" i="19"/>
  <c r="E13" i="19"/>
  <c r="I22" i="24"/>
  <c r="H22" i="24"/>
  <c r="P19" i="25"/>
  <c r="K18" i="25"/>
  <c r="P18" i="25"/>
  <c r="K21" i="25"/>
  <c r="P21" i="25"/>
  <c r="H12" i="19"/>
  <c r="G12" i="19"/>
  <c r="D12" i="19"/>
  <c r="E12" i="19"/>
  <c r="H11" i="19"/>
  <c r="G11" i="19"/>
  <c r="D11" i="19"/>
  <c r="E11" i="19"/>
  <c r="H10" i="19"/>
  <c r="G10" i="19"/>
  <c r="D10" i="19"/>
  <c r="I10" i="19"/>
  <c r="I12" i="19"/>
  <c r="I11" i="19"/>
  <c r="I21" i="24"/>
  <c r="H21" i="24"/>
  <c r="K20" i="25"/>
  <c r="N19" i="25"/>
  <c r="P20" i="25"/>
  <c r="P35" i="25"/>
  <c r="L19" i="25"/>
  <c r="M19" i="25"/>
  <c r="L20" i="25"/>
  <c r="L21" i="25"/>
  <c r="L22" i="25"/>
  <c r="L23" i="25"/>
  <c r="L24" i="25"/>
  <c r="L25" i="25"/>
  <c r="L26" i="25"/>
  <c r="L27" i="25"/>
  <c r="I20" i="24"/>
  <c r="H20" i="24"/>
  <c r="M20" i="25"/>
  <c r="M21" i="25"/>
  <c r="M22" i="25"/>
  <c r="M23" i="25"/>
  <c r="M24" i="25"/>
  <c r="M25" i="25"/>
  <c r="M26" i="25"/>
  <c r="M27" i="25"/>
  <c r="H19" i="24"/>
  <c r="I19" i="24"/>
  <c r="L37" i="25"/>
  <c r="O28" i="25"/>
  <c r="O19" i="25"/>
  <c r="N13" i="25"/>
  <c r="O13" i="25"/>
  <c r="L13" i="25"/>
  <c r="L14" i="25"/>
  <c r="L15" i="25"/>
  <c r="L16" i="25"/>
  <c r="L17" i="25"/>
  <c r="L18" i="25"/>
  <c r="N5" i="25"/>
  <c r="M5" i="25"/>
  <c r="M6" i="25"/>
  <c r="M7" i="25"/>
  <c r="M8" i="25"/>
  <c r="M9" i="25"/>
  <c r="M10" i="25"/>
  <c r="M11" i="25"/>
  <c r="M12" i="25"/>
  <c r="L5" i="25"/>
  <c r="L6" i="25"/>
  <c r="L7" i="25"/>
  <c r="L8" i="25"/>
  <c r="L9" i="25"/>
  <c r="L10" i="25"/>
  <c r="L11" i="25"/>
  <c r="L12" i="25"/>
  <c r="M4" i="25"/>
  <c r="L4" i="25"/>
  <c r="G26" i="24"/>
  <c r="H18" i="24"/>
  <c r="I18" i="24"/>
  <c r="N35" i="25"/>
  <c r="M13" i="25"/>
  <c r="M14" i="25"/>
  <c r="M15" i="25"/>
  <c r="M16" i="25"/>
  <c r="M17" i="25"/>
  <c r="M18" i="25"/>
  <c r="O5" i="25"/>
  <c r="J46" i="14"/>
  <c r="L46" i="14"/>
  <c r="F31" i="18"/>
  <c r="C31" i="18"/>
  <c r="D31" i="18"/>
  <c r="B122" i="15"/>
  <c r="B123" i="15"/>
  <c r="B124" i="15"/>
  <c r="B125" i="15"/>
  <c r="B126" i="15"/>
  <c r="B127" i="15"/>
  <c r="B128" i="15"/>
  <c r="B129" i="15"/>
  <c r="C122" i="15"/>
  <c r="C123" i="15"/>
  <c r="C124" i="15"/>
  <c r="C125" i="15"/>
  <c r="C126" i="15"/>
  <c r="C127" i="15"/>
  <c r="C128" i="15"/>
  <c r="C129" i="15"/>
  <c r="J44" i="14"/>
  <c r="L44" i="14"/>
  <c r="J43" i="14"/>
  <c r="L43" i="14"/>
  <c r="J48" i="14"/>
  <c r="L48" i="14"/>
  <c r="P49" i="14"/>
  <c r="B51" i="14"/>
  <c r="B52" i="14"/>
  <c r="C51" i="14"/>
  <c r="C52" i="14"/>
  <c r="L51" i="14"/>
  <c r="L52" i="14"/>
  <c r="C33" i="10"/>
  <c r="D33" i="10"/>
  <c r="V32" i="9"/>
  <c r="P71" i="14"/>
  <c r="P70" i="14"/>
  <c r="P69" i="14"/>
  <c r="P68" i="14"/>
  <c r="P50" i="14"/>
  <c r="P47" i="14"/>
  <c r="P45" i="14"/>
  <c r="P66" i="14"/>
  <c r="P65" i="14"/>
  <c r="P64" i="14"/>
  <c r="P63" i="14"/>
  <c r="C5" i="10"/>
  <c r="D5" i="10"/>
  <c r="H5" i="9"/>
  <c r="V5" i="9"/>
  <c r="I17" i="24"/>
  <c r="H17" i="24"/>
  <c r="J72" i="14"/>
  <c r="P72" i="14"/>
  <c r="J54" i="14"/>
  <c r="L54" i="14"/>
  <c r="Q42" i="14"/>
  <c r="F42" i="18"/>
  <c r="I42" i="18"/>
  <c r="C42" i="18"/>
  <c r="B193" i="15"/>
  <c r="B194" i="15"/>
  <c r="B195" i="15"/>
  <c r="B196" i="15"/>
  <c r="B197" i="15"/>
  <c r="B198" i="15"/>
  <c r="B199" i="15"/>
  <c r="B200" i="15"/>
  <c r="B201" i="15"/>
  <c r="B192" i="15"/>
  <c r="B72" i="14"/>
  <c r="B71" i="14"/>
  <c r="L71" i="14"/>
  <c r="C39" i="10"/>
  <c r="C39" i="9"/>
  <c r="K198" i="15"/>
  <c r="E10" i="19"/>
  <c r="V39" i="9"/>
  <c r="C194" i="15"/>
  <c r="C71" i="14"/>
  <c r="C193" i="15"/>
  <c r="C201" i="15"/>
  <c r="D42" i="18"/>
  <c r="D39" i="10"/>
  <c r="C200" i="15"/>
  <c r="C198" i="15"/>
  <c r="C196" i="15"/>
  <c r="C195" i="15"/>
  <c r="C72" i="14"/>
  <c r="C192" i="15"/>
  <c r="C199" i="15"/>
  <c r="C197" i="15"/>
  <c r="F43" i="18"/>
  <c r="I43" i="18"/>
  <c r="B77" i="14"/>
  <c r="B78" i="14"/>
  <c r="B79" i="14"/>
  <c r="L77" i="14"/>
  <c r="L78" i="14"/>
  <c r="L79" i="14"/>
  <c r="C43" i="18"/>
  <c r="B203" i="15"/>
  <c r="B204" i="15"/>
  <c r="B205" i="15"/>
  <c r="B206" i="15"/>
  <c r="B207" i="15"/>
  <c r="B208" i="15"/>
  <c r="B202" i="15"/>
  <c r="J75" i="14"/>
  <c r="L75" i="14"/>
  <c r="J73" i="14"/>
  <c r="L73" i="14"/>
  <c r="B74" i="14"/>
  <c r="B75" i="14"/>
  <c r="B76" i="14"/>
  <c r="L74" i="14"/>
  <c r="L76" i="14"/>
  <c r="B73" i="14"/>
  <c r="C40" i="10"/>
  <c r="C40" i="9"/>
  <c r="K206" i="15"/>
  <c r="V40" i="9"/>
  <c r="G9" i="19"/>
  <c r="I9" i="19"/>
  <c r="F61" i="19"/>
  <c r="D9" i="19"/>
  <c r="E9" i="19"/>
  <c r="I16" i="24"/>
  <c r="C80" i="14"/>
  <c r="C76" i="14"/>
  <c r="C203" i="15"/>
  <c r="C204" i="15"/>
  <c r="C205" i="15"/>
  <c r="C78" i="14"/>
  <c r="C73" i="14"/>
  <c r="C207" i="15"/>
  <c r="C208" i="15"/>
  <c r="C202" i="15"/>
  <c r="D43" i="18"/>
  <c r="C74" i="14"/>
  <c r="C75" i="14"/>
  <c r="C79" i="14"/>
  <c r="C77" i="14"/>
  <c r="C206" i="15"/>
  <c r="D40" i="10"/>
  <c r="H44" i="18"/>
  <c r="H16" i="24"/>
  <c r="D8" i="19"/>
  <c r="E8" i="19"/>
  <c r="D7" i="19"/>
  <c r="E7" i="19"/>
  <c r="I15" i="24"/>
  <c r="I14" i="24"/>
  <c r="I13" i="24"/>
  <c r="I12" i="24"/>
  <c r="I11" i="24"/>
  <c r="I10" i="24"/>
  <c r="I9" i="24"/>
  <c r="I8" i="24"/>
  <c r="I7" i="24"/>
  <c r="H15" i="24"/>
  <c r="H14" i="24"/>
  <c r="H13" i="24"/>
  <c r="H12" i="24"/>
  <c r="H11" i="24"/>
  <c r="H10" i="24"/>
  <c r="H9" i="24"/>
  <c r="H8" i="24"/>
  <c r="H7" i="24"/>
  <c r="I8" i="19"/>
  <c r="I7" i="19"/>
  <c r="H34" i="24"/>
  <c r="F41" i="18"/>
  <c r="I41" i="18"/>
  <c r="C41" i="18"/>
  <c r="D41" i="18"/>
  <c r="B190" i="15"/>
  <c r="B191" i="15"/>
  <c r="C190" i="15"/>
  <c r="C191" i="15"/>
  <c r="B70" i="14"/>
  <c r="C70" i="14"/>
  <c r="L70" i="14"/>
  <c r="B69" i="14"/>
  <c r="C69" i="14"/>
  <c r="L69" i="14"/>
  <c r="B68" i="14"/>
  <c r="C68" i="14"/>
  <c r="L68" i="14"/>
  <c r="J67" i="14"/>
  <c r="L67" i="14"/>
  <c r="B67" i="14"/>
  <c r="C67" i="14"/>
  <c r="H43" i="18"/>
  <c r="C38" i="10"/>
  <c r="D38" i="10"/>
  <c r="V38" i="9"/>
  <c r="F32" i="18"/>
  <c r="I32" i="18"/>
  <c r="B131" i="15"/>
  <c r="B132" i="15"/>
  <c r="B133" i="15"/>
  <c r="B134" i="15"/>
  <c r="B135" i="15"/>
  <c r="B136" i="15"/>
  <c r="B137" i="15"/>
  <c r="B138" i="15"/>
  <c r="B139" i="15"/>
  <c r="B140" i="15"/>
  <c r="C131" i="15"/>
  <c r="C132" i="15"/>
  <c r="C133" i="15"/>
  <c r="C134" i="15"/>
  <c r="C135" i="15"/>
  <c r="C136" i="15"/>
  <c r="C137" i="15"/>
  <c r="C138" i="15"/>
  <c r="C139" i="15"/>
  <c r="C140" i="15"/>
  <c r="B130" i="15"/>
  <c r="C130" i="15"/>
  <c r="B50" i="14"/>
  <c r="C50" i="14"/>
  <c r="L50" i="14"/>
  <c r="B49" i="14"/>
  <c r="C49" i="14"/>
  <c r="C32" i="10"/>
  <c r="D32" i="10"/>
  <c r="V33" i="9"/>
  <c r="C32" i="18"/>
  <c r="D32" i="18"/>
  <c r="F30" i="18"/>
  <c r="D30" i="18"/>
  <c r="C30" i="18"/>
  <c r="F27" i="18"/>
  <c r="I27" i="18"/>
  <c r="D27" i="18"/>
  <c r="C27" i="18"/>
  <c r="F28" i="18"/>
  <c r="B112" i="15"/>
  <c r="B113" i="15"/>
  <c r="B114" i="15"/>
  <c r="B115" i="15"/>
  <c r="B116" i="15"/>
  <c r="B117" i="15"/>
  <c r="B118" i="15"/>
  <c r="B119" i="15"/>
  <c r="B120" i="15"/>
  <c r="B121" i="15"/>
  <c r="C112" i="15"/>
  <c r="C113" i="15"/>
  <c r="C114" i="15"/>
  <c r="C115" i="15"/>
  <c r="C116" i="15"/>
  <c r="C117" i="15"/>
  <c r="C118" i="15"/>
  <c r="C119" i="15"/>
  <c r="C120" i="15"/>
  <c r="C121" i="15"/>
  <c r="L47" i="14"/>
  <c r="B48" i="14"/>
  <c r="C48" i="14"/>
  <c r="B47" i="14"/>
  <c r="C47" i="14"/>
  <c r="C31" i="10"/>
  <c r="D31" i="10"/>
  <c r="V31" i="9"/>
  <c r="C28" i="18"/>
  <c r="D28" i="18"/>
  <c r="B105" i="15"/>
  <c r="B106" i="15"/>
  <c r="B107" i="15"/>
  <c r="B108" i="15"/>
  <c r="B109" i="15"/>
  <c r="B110" i="15"/>
  <c r="B111" i="15"/>
  <c r="C105" i="15"/>
  <c r="C106" i="15"/>
  <c r="C107" i="15"/>
  <c r="C108" i="15"/>
  <c r="C109" i="15"/>
  <c r="C110" i="15"/>
  <c r="C111" i="15"/>
  <c r="B104" i="15"/>
  <c r="C104" i="15"/>
  <c r="B46" i="14"/>
  <c r="C46" i="14"/>
  <c r="B45" i="14"/>
  <c r="C45" i="14"/>
  <c r="L45" i="14"/>
  <c r="C30" i="10"/>
  <c r="D30" i="10"/>
  <c r="V30" i="9"/>
  <c r="F26" i="18"/>
  <c r="I26" i="18"/>
  <c r="C26" i="18"/>
  <c r="D26" i="18"/>
  <c r="B95" i="15"/>
  <c r="B96" i="15"/>
  <c r="B97" i="15"/>
  <c r="B98" i="15"/>
  <c r="B99" i="15"/>
  <c r="B100" i="15"/>
  <c r="B101" i="15"/>
  <c r="B102" i="15"/>
  <c r="B103" i="15"/>
  <c r="C95" i="15"/>
  <c r="C96" i="15"/>
  <c r="C97" i="15"/>
  <c r="C98" i="15"/>
  <c r="C99" i="15"/>
  <c r="C100" i="15"/>
  <c r="C101" i="15"/>
  <c r="C102" i="15"/>
  <c r="C103" i="15"/>
  <c r="B94" i="15"/>
  <c r="C94" i="15"/>
  <c r="B44" i="14"/>
  <c r="C44" i="14"/>
  <c r="I31" i="18"/>
  <c r="H31" i="18"/>
  <c r="I28" i="18"/>
  <c r="C29" i="10"/>
  <c r="D29" i="10"/>
  <c r="V29" i="9"/>
  <c r="D18" i="18"/>
  <c r="D17" i="18"/>
  <c r="D16" i="18"/>
  <c r="D15" i="18"/>
  <c r="D14" i="18"/>
  <c r="D13" i="18"/>
  <c r="B3" i="15"/>
  <c r="B4" i="15"/>
  <c r="B5" i="15"/>
  <c r="C3" i="15"/>
  <c r="C4" i="15"/>
  <c r="C5" i="15"/>
  <c r="B2" i="15"/>
  <c r="C2" i="15"/>
  <c r="L15" i="14"/>
  <c r="L16" i="14"/>
  <c r="L17" i="14"/>
  <c r="L18" i="14"/>
  <c r="L19" i="14"/>
  <c r="L22" i="14"/>
  <c r="L23" i="14"/>
  <c r="L24" i="14"/>
  <c r="L25" i="14"/>
  <c r="L26" i="14"/>
  <c r="L27" i="14"/>
  <c r="L28" i="14"/>
  <c r="L29" i="14"/>
  <c r="L20" i="14"/>
  <c r="L30" i="14"/>
  <c r="L31" i="14"/>
  <c r="L32" i="14"/>
  <c r="L33" i="14"/>
  <c r="L34" i="14"/>
  <c r="L36" i="14"/>
  <c r="L4" i="14"/>
  <c r="L5" i="14"/>
  <c r="L6" i="14"/>
  <c r="L7" i="14"/>
  <c r="L8" i="14"/>
  <c r="L9" i="14"/>
  <c r="L10" i="14"/>
  <c r="L11" i="14"/>
  <c r="L12" i="14"/>
  <c r="L13" i="14"/>
  <c r="L14" i="14"/>
  <c r="L37" i="14"/>
  <c r="L38" i="14"/>
  <c r="L39" i="14"/>
  <c r="L40" i="14"/>
  <c r="L41" i="14"/>
  <c r="L42" i="14"/>
  <c r="L53" i="14"/>
  <c r="L403" i="14"/>
  <c r="L404" i="14"/>
  <c r="L405" i="14"/>
  <c r="L406" i="14"/>
  <c r="L407" i="14"/>
  <c r="L408" i="14"/>
  <c r="L409" i="14"/>
  <c r="L410" i="14"/>
  <c r="L64" i="14"/>
  <c r="L65" i="14"/>
  <c r="L66" i="14"/>
  <c r="L3" i="14"/>
  <c r="C12" i="10"/>
  <c r="D12" i="10"/>
  <c r="V14" i="9"/>
  <c r="C4" i="18"/>
  <c r="I30" i="18"/>
  <c r="H30" i="18"/>
  <c r="H18" i="9"/>
  <c r="V18" i="9"/>
  <c r="H17" i="9"/>
  <c r="H16" i="9"/>
  <c r="H3" i="9"/>
  <c r="V37" i="9"/>
  <c r="V36" i="9"/>
  <c r="V112" i="9"/>
  <c r="V34" i="9"/>
  <c r="V28" i="9"/>
  <c r="V27" i="9"/>
  <c r="V26" i="9"/>
  <c r="V25" i="9"/>
  <c r="V24" i="9"/>
  <c r="V23" i="9"/>
  <c r="V22" i="9"/>
  <c r="V21" i="9"/>
  <c r="V20" i="9"/>
  <c r="V19" i="9"/>
  <c r="V17" i="9"/>
  <c r="V16" i="9"/>
  <c r="V15" i="9"/>
  <c r="V13" i="9"/>
  <c r="V12" i="9"/>
  <c r="V4" i="9"/>
  <c r="V3" i="9"/>
  <c r="V2" i="9"/>
  <c r="B82" i="15"/>
  <c r="B83" i="15"/>
  <c r="B84" i="15"/>
  <c r="B85" i="15"/>
  <c r="B86" i="15"/>
  <c r="B87" i="15"/>
  <c r="B88" i="15"/>
  <c r="B89" i="15"/>
  <c r="B90" i="15"/>
  <c r="B91" i="15"/>
  <c r="B92" i="15"/>
  <c r="C82" i="15"/>
  <c r="C83" i="15"/>
  <c r="C84" i="15"/>
  <c r="C85" i="15"/>
  <c r="C86" i="15"/>
  <c r="C87" i="15"/>
  <c r="C88" i="15"/>
  <c r="C89" i="15"/>
  <c r="C90" i="15"/>
  <c r="C91" i="15"/>
  <c r="C92" i="15"/>
  <c r="B81" i="15"/>
  <c r="C81" i="15"/>
  <c r="B70" i="15"/>
  <c r="B71" i="15"/>
  <c r="B72" i="15"/>
  <c r="B73" i="15"/>
  <c r="B74" i="15"/>
  <c r="B75" i="15"/>
  <c r="B76" i="15"/>
  <c r="B77" i="15"/>
  <c r="B78" i="15"/>
  <c r="B79" i="15"/>
  <c r="B80" i="15"/>
  <c r="C70" i="15"/>
  <c r="C71" i="15"/>
  <c r="C72" i="15"/>
  <c r="C73" i="15"/>
  <c r="C74" i="15"/>
  <c r="C75" i="15"/>
  <c r="C76" i="15"/>
  <c r="C77" i="15"/>
  <c r="C78" i="15"/>
  <c r="C79" i="15"/>
  <c r="C80" i="15"/>
  <c r="B69" i="15"/>
  <c r="C69" i="15"/>
  <c r="B62" i="15"/>
  <c r="B63" i="15"/>
  <c r="B64" i="15"/>
  <c r="B65" i="15"/>
  <c r="B66" i="15"/>
  <c r="B67" i="15"/>
  <c r="B68" i="15"/>
  <c r="C62" i="15"/>
  <c r="C63" i="15"/>
  <c r="C64" i="15"/>
  <c r="C65" i="15"/>
  <c r="C66" i="15"/>
  <c r="C67" i="15"/>
  <c r="C68" i="15"/>
  <c r="B61" i="15"/>
  <c r="C61" i="15"/>
  <c r="B60" i="15"/>
  <c r="C60" i="15"/>
  <c r="B59" i="15"/>
  <c r="C59" i="15"/>
  <c r="B58" i="15"/>
  <c r="C58" i="15"/>
  <c r="B57" i="15"/>
  <c r="C57" i="15"/>
  <c r="B150" i="15"/>
  <c r="C150" i="15"/>
  <c r="B149" i="15"/>
  <c r="C149" i="15"/>
  <c r="B148" i="15"/>
  <c r="C148" i="15"/>
  <c r="B147" i="15"/>
  <c r="C147" i="15"/>
  <c r="B146" i="15"/>
  <c r="C146" i="15"/>
  <c r="B145" i="15"/>
  <c r="C145" i="15"/>
  <c r="B144" i="15"/>
  <c r="C144" i="15"/>
  <c r="B143" i="15"/>
  <c r="C143" i="15"/>
  <c r="B142" i="15"/>
  <c r="C142" i="15"/>
  <c r="H4" i="9"/>
  <c r="H13" i="18"/>
  <c r="H14" i="18"/>
  <c r="H15" i="18"/>
  <c r="H16" i="18"/>
  <c r="H17" i="18"/>
  <c r="H24" i="18"/>
  <c r="H33" i="18"/>
  <c r="H34" i="18"/>
  <c r="H35" i="18"/>
  <c r="F40" i="18"/>
  <c r="I40" i="18"/>
  <c r="F39" i="18"/>
  <c r="I39" i="18"/>
  <c r="F38" i="18"/>
  <c r="I38" i="18"/>
  <c r="C40" i="18"/>
  <c r="D40" i="18"/>
  <c r="C39" i="18"/>
  <c r="D39" i="18"/>
  <c r="C38" i="18"/>
  <c r="D38" i="18"/>
  <c r="B141" i="15"/>
  <c r="C141" i="15"/>
  <c r="B189" i="15"/>
  <c r="C189" i="15"/>
  <c r="B188" i="15"/>
  <c r="C188" i="15"/>
  <c r="B187" i="15"/>
  <c r="C187" i="15"/>
  <c r="B186" i="15"/>
  <c r="C186" i="15"/>
  <c r="B185" i="15"/>
  <c r="C185" i="15"/>
  <c r="B184" i="15"/>
  <c r="C184" i="15"/>
  <c r="B183" i="15"/>
  <c r="C183" i="15"/>
  <c r="B182" i="15"/>
  <c r="C182" i="15"/>
  <c r="K63" i="14"/>
  <c r="L63" i="14"/>
  <c r="I5" i="19"/>
  <c r="E6" i="19"/>
  <c r="D6" i="19"/>
  <c r="E5" i="19"/>
  <c r="D5" i="19"/>
  <c r="E4" i="19"/>
  <c r="D4" i="19"/>
  <c r="E3" i="19"/>
  <c r="D3" i="19"/>
  <c r="F23" i="18"/>
  <c r="I23" i="18"/>
  <c r="F22" i="18"/>
  <c r="I22" i="18"/>
  <c r="I4" i="19"/>
  <c r="I6" i="19"/>
  <c r="I3" i="19"/>
  <c r="C23" i="18"/>
  <c r="D23" i="18"/>
  <c r="C22" i="18"/>
  <c r="D22" i="18"/>
  <c r="F20" i="18"/>
  <c r="I20" i="18"/>
  <c r="C20" i="18"/>
  <c r="D20" i="18"/>
  <c r="F36" i="18"/>
  <c r="I36" i="18"/>
  <c r="I52" i="19"/>
  <c r="F8" i="18"/>
  <c r="I8" i="18"/>
  <c r="F7" i="18"/>
  <c r="I7" i="18"/>
  <c r="H13" i="9"/>
  <c r="H12" i="9"/>
  <c r="F9" i="18"/>
  <c r="I9" i="18"/>
  <c r="H15" i="9"/>
  <c r="F35" i="18"/>
  <c r="I35" i="18"/>
  <c r="F34" i="18"/>
  <c r="I34" i="18"/>
  <c r="F33" i="18"/>
  <c r="I33" i="18"/>
  <c r="F11" i="18"/>
  <c r="F24" i="18"/>
  <c r="F21" i="18"/>
  <c r="I21" i="18"/>
  <c r="F19" i="18"/>
  <c r="I19" i="18"/>
  <c r="F10" i="18"/>
  <c r="F18" i="18"/>
  <c r="I18" i="18"/>
  <c r="F12" i="18"/>
  <c r="F25" i="18"/>
  <c r="I25" i="18"/>
  <c r="F17" i="18"/>
  <c r="I17" i="18"/>
  <c r="F16" i="18"/>
  <c r="I16" i="18"/>
  <c r="F15" i="18"/>
  <c r="I15" i="18"/>
  <c r="F14" i="18"/>
  <c r="I14" i="18"/>
  <c r="F13" i="18"/>
  <c r="I13" i="18"/>
  <c r="D35" i="18"/>
  <c r="C35" i="18"/>
  <c r="D34" i="18"/>
  <c r="C34" i="18"/>
  <c r="D36" i="18"/>
  <c r="C36" i="18"/>
  <c r="D8" i="18"/>
  <c r="C8" i="18"/>
  <c r="D7" i="18"/>
  <c r="C7" i="18"/>
  <c r="D9" i="18"/>
  <c r="C9" i="18"/>
  <c r="D33" i="18"/>
  <c r="C33" i="18"/>
  <c r="D11" i="18"/>
  <c r="C11" i="18"/>
  <c r="D24" i="18"/>
  <c r="C24" i="18"/>
  <c r="D21" i="18"/>
  <c r="C21" i="18"/>
  <c r="D19" i="18"/>
  <c r="C19" i="18"/>
  <c r="D10" i="18"/>
  <c r="C10" i="18"/>
  <c r="C18" i="18"/>
  <c r="D12" i="18"/>
  <c r="C12" i="18"/>
  <c r="D25" i="18"/>
  <c r="C25" i="18"/>
  <c r="C17" i="18"/>
  <c r="C16" i="18"/>
  <c r="C15" i="18"/>
  <c r="C14" i="18"/>
  <c r="C13" i="18"/>
  <c r="C36" i="14"/>
  <c r="I24" i="18"/>
  <c r="B8" i="12"/>
  <c r="C8" i="12"/>
  <c r="B7" i="12"/>
  <c r="C7" i="12"/>
  <c r="E18" i="10"/>
  <c r="E131" i="10"/>
  <c r="C42" i="14"/>
  <c r="B42" i="14"/>
  <c r="C41" i="14"/>
  <c r="B41" i="14"/>
  <c r="H2" i="9"/>
  <c r="C19" i="15"/>
  <c r="B19" i="15"/>
  <c r="C18" i="15"/>
  <c r="B18" i="15"/>
  <c r="C17" i="15"/>
  <c r="B17" i="15"/>
  <c r="C16" i="15"/>
  <c r="B16" i="15"/>
  <c r="C15" i="15"/>
  <c r="B15" i="15"/>
  <c r="C14" i="15"/>
  <c r="B14" i="15"/>
  <c r="C13" i="15"/>
  <c r="B13" i="15"/>
  <c r="C12" i="15"/>
  <c r="B12" i="15"/>
  <c r="C11" i="15"/>
  <c r="B11" i="15"/>
  <c r="C10" i="15"/>
  <c r="B10" i="15"/>
  <c r="C9" i="15"/>
  <c r="B9" i="15"/>
  <c r="C8" i="15"/>
  <c r="B8" i="15"/>
  <c r="C7" i="15"/>
  <c r="B7" i="15"/>
  <c r="C6" i="15"/>
  <c r="B6" i="15"/>
  <c r="B36" i="14"/>
  <c r="B32" i="14"/>
  <c r="C32" i="14"/>
  <c r="B31" i="14"/>
  <c r="C31" i="14"/>
  <c r="K35" i="14"/>
  <c r="L35" i="14"/>
  <c r="D13" i="10"/>
  <c r="C13" i="10"/>
  <c r="D11" i="10"/>
  <c r="C11" i="10"/>
  <c r="D10" i="10"/>
  <c r="C10" i="10"/>
  <c r="D3" i="10"/>
  <c r="C3" i="10"/>
  <c r="D4" i="10"/>
  <c r="C4" i="10"/>
  <c r="D37" i="10"/>
  <c r="C37" i="10"/>
  <c r="D36" i="10"/>
  <c r="C36" i="10"/>
  <c r="D117" i="10"/>
  <c r="C117" i="10"/>
  <c r="D34" i="10"/>
  <c r="C34" i="10"/>
  <c r="D15" i="10"/>
  <c r="C15" i="10"/>
  <c r="D18" i="10"/>
  <c r="C18" i="10"/>
  <c r="D27" i="10"/>
  <c r="C27" i="10"/>
  <c r="D26" i="10"/>
  <c r="C26" i="10"/>
  <c r="D25" i="10"/>
  <c r="C25" i="10"/>
  <c r="D14" i="10"/>
  <c r="C14" i="10"/>
  <c r="D24" i="10"/>
  <c r="C24" i="10"/>
  <c r="D17" i="10"/>
  <c r="C17" i="10"/>
  <c r="C16" i="10"/>
  <c r="D16" i="10"/>
  <c r="B53" i="15"/>
  <c r="B54" i="15"/>
  <c r="B55" i="15"/>
  <c r="B56" i="15"/>
  <c r="B151" i="15"/>
  <c r="B152" i="15"/>
  <c r="B153" i="15"/>
  <c r="B154" i="15"/>
  <c r="B155" i="15"/>
  <c r="B156" i="15"/>
  <c r="B157" i="15"/>
  <c r="B158" i="15"/>
  <c r="B159" i="15"/>
  <c r="B160" i="15"/>
  <c r="B161" i="15"/>
  <c r="B162" i="15"/>
  <c r="B169" i="15"/>
  <c r="B170" i="15"/>
  <c r="B171" i="15"/>
  <c r="B172" i="15"/>
  <c r="B173" i="15"/>
  <c r="B174" i="15"/>
  <c r="B175" i="15"/>
  <c r="B176" i="15"/>
  <c r="B177" i="15"/>
  <c r="B178" i="15"/>
  <c r="B179" i="15"/>
  <c r="B180" i="15"/>
  <c r="B181" i="15"/>
  <c r="C53" i="15"/>
  <c r="C54" i="15"/>
  <c r="C55" i="15"/>
  <c r="C56" i="15"/>
  <c r="C151" i="15"/>
  <c r="C152" i="15"/>
  <c r="C153" i="15"/>
  <c r="C154" i="15"/>
  <c r="C155" i="15"/>
  <c r="C156" i="15"/>
  <c r="C157" i="15"/>
  <c r="C158" i="15"/>
  <c r="C159" i="15"/>
  <c r="C160" i="15"/>
  <c r="C161" i="15"/>
  <c r="C162" i="15"/>
  <c r="C169" i="15"/>
  <c r="C170" i="15"/>
  <c r="C171" i="15"/>
  <c r="C172" i="15"/>
  <c r="C173" i="15"/>
  <c r="C174" i="15"/>
  <c r="C175" i="15"/>
  <c r="C176" i="15"/>
  <c r="C177" i="15"/>
  <c r="C178" i="15"/>
  <c r="C179" i="15"/>
  <c r="C180" i="15"/>
  <c r="C181" i="15"/>
  <c r="B35" i="14"/>
  <c r="B4" i="14"/>
  <c r="B5" i="14"/>
  <c r="B6" i="14"/>
  <c r="B7" i="14"/>
  <c r="B8" i="14"/>
  <c r="B9" i="14"/>
  <c r="B10" i="14"/>
  <c r="B11" i="14"/>
  <c r="B12" i="14"/>
  <c r="B13" i="14"/>
  <c r="B14" i="14"/>
  <c r="B37" i="14"/>
  <c r="B38" i="14"/>
  <c r="B39" i="14"/>
  <c r="B40" i="14"/>
  <c r="B53" i="14"/>
  <c r="B54" i="14"/>
  <c r="B403" i="14"/>
  <c r="B404" i="14"/>
  <c r="B405" i="14"/>
  <c r="B406" i="14"/>
  <c r="B407" i="14"/>
  <c r="B408" i="14"/>
  <c r="B409" i="14"/>
  <c r="B410" i="14"/>
  <c r="B63" i="14"/>
  <c r="B64" i="14"/>
  <c r="B65" i="14"/>
  <c r="B66" i="14"/>
  <c r="B3" i="14"/>
  <c r="B43" i="14"/>
  <c r="C35" i="14"/>
  <c r="C4" i="14"/>
  <c r="C5" i="14"/>
  <c r="C6" i="14"/>
  <c r="C7" i="14"/>
  <c r="C8" i="14"/>
  <c r="C9" i="14"/>
  <c r="C10" i="14"/>
  <c r="C11" i="14"/>
  <c r="C12" i="14"/>
  <c r="C13" i="14"/>
  <c r="C14" i="14"/>
  <c r="C37" i="14"/>
  <c r="C38" i="14"/>
  <c r="C39" i="14"/>
  <c r="C40" i="14"/>
  <c r="C53" i="14"/>
  <c r="C54" i="14"/>
  <c r="C403" i="14"/>
  <c r="C404" i="14"/>
  <c r="C405" i="14"/>
  <c r="C406" i="14"/>
  <c r="C407" i="14"/>
  <c r="C408" i="14"/>
  <c r="C409" i="14"/>
  <c r="C410" i="14"/>
  <c r="C63" i="14"/>
  <c r="C64" i="14"/>
  <c r="C65" i="14"/>
  <c r="C66" i="14"/>
  <c r="C3" i="14"/>
  <c r="C43" i="14"/>
  <c r="G93" i="15"/>
  <c r="I93" i="15"/>
  <c r="H28" i="9"/>
  <c r="B93" i="15"/>
  <c r="C93" i="15"/>
  <c r="B6" i="12"/>
  <c r="C6" i="12"/>
  <c r="C28" i="10"/>
  <c r="D28" i="10"/>
  <c r="B34" i="14"/>
  <c r="C34" i="14"/>
  <c r="B33" i="14"/>
  <c r="C33" i="14"/>
  <c r="B43" i="15"/>
  <c r="C43" i="15"/>
  <c r="B44" i="15"/>
  <c r="C44" i="15"/>
  <c r="B45" i="15"/>
  <c r="C45" i="15"/>
  <c r="B46" i="15"/>
  <c r="C46" i="15"/>
  <c r="B47" i="15"/>
  <c r="C47" i="15"/>
  <c r="B48" i="15"/>
  <c r="C48" i="15"/>
  <c r="B49" i="15"/>
  <c r="C49" i="15"/>
  <c r="B50" i="15"/>
  <c r="C50" i="15"/>
  <c r="B51" i="15"/>
  <c r="C51" i="15"/>
  <c r="C23" i="10"/>
  <c r="D23" i="10"/>
  <c r="G41" i="15"/>
  <c r="I41" i="15"/>
  <c r="C22" i="10"/>
  <c r="D22" i="10"/>
  <c r="B5" i="12"/>
  <c r="C5" i="12"/>
  <c r="B52" i="15"/>
  <c r="C52" i="15"/>
  <c r="B42" i="15"/>
  <c r="C42" i="15"/>
  <c r="B41" i="15"/>
  <c r="C41" i="15"/>
  <c r="B33" i="15"/>
  <c r="C33" i="15"/>
  <c r="K21" i="14"/>
  <c r="L21" i="14"/>
  <c r="B30" i="14"/>
  <c r="C30" i="14"/>
  <c r="B21" i="14"/>
  <c r="C21" i="14"/>
  <c r="B20" i="14"/>
  <c r="C20" i="14"/>
  <c r="B4" i="12"/>
  <c r="C4" i="12"/>
  <c r="C3" i="12"/>
  <c r="C32" i="15"/>
  <c r="C31" i="15"/>
  <c r="C30" i="15"/>
  <c r="C29" i="15"/>
  <c r="C28" i="15"/>
  <c r="C27" i="15"/>
  <c r="C40" i="15"/>
  <c r="C39" i="15"/>
  <c r="C38" i="15"/>
  <c r="C37" i="15"/>
  <c r="C36" i="15"/>
  <c r="C35" i="15"/>
  <c r="C34" i="15"/>
  <c r="C26" i="15"/>
  <c r="C25" i="15"/>
  <c r="C24" i="15"/>
  <c r="C23" i="15"/>
  <c r="C22" i="15"/>
  <c r="C21" i="15"/>
  <c r="C20" i="15"/>
  <c r="C29" i="14"/>
  <c r="C28" i="14"/>
  <c r="C27" i="14"/>
  <c r="C26" i="14"/>
  <c r="C25" i="14"/>
  <c r="C24" i="14"/>
  <c r="C23" i="14"/>
  <c r="C22" i="14"/>
  <c r="C19" i="14"/>
  <c r="C18" i="14"/>
  <c r="C17" i="14"/>
  <c r="C16" i="14"/>
  <c r="C15" i="14"/>
  <c r="D2" i="10"/>
  <c r="D21" i="10"/>
  <c r="D20" i="10"/>
  <c r="D19" i="10"/>
  <c r="B2" i="12"/>
  <c r="C2" i="12"/>
  <c r="B32" i="15"/>
  <c r="B31" i="15"/>
  <c r="B30" i="15"/>
  <c r="B29" i="15"/>
  <c r="B28" i="15"/>
  <c r="B27" i="15"/>
  <c r="B40" i="15"/>
  <c r="B39" i="15"/>
  <c r="B38" i="15"/>
  <c r="B37" i="15"/>
  <c r="B36" i="15"/>
  <c r="B35" i="15"/>
  <c r="B34" i="15"/>
  <c r="B26" i="15"/>
  <c r="B25" i="15"/>
  <c r="B24" i="15"/>
  <c r="B23" i="15"/>
  <c r="B22" i="15"/>
  <c r="B21" i="15"/>
  <c r="B20" i="15"/>
  <c r="B29" i="14"/>
  <c r="B28" i="14"/>
  <c r="B27" i="14"/>
  <c r="B26" i="14"/>
  <c r="B25" i="14"/>
  <c r="B24" i="14"/>
  <c r="B23" i="14"/>
  <c r="B22" i="14"/>
  <c r="B19" i="14"/>
  <c r="B18" i="14"/>
  <c r="B17" i="14"/>
  <c r="B16" i="14"/>
  <c r="B15" i="14"/>
  <c r="B3" i="12"/>
  <c r="C2" i="10"/>
  <c r="C21" i="10"/>
  <c r="C20" i="10"/>
  <c r="C19" i="10"/>
  <c r="G40" i="15"/>
  <c r="I40" i="15"/>
  <c r="I20" i="15"/>
  <c r="L38" i="25"/>
  <c r="L39" i="25"/>
  <c r="L40" i="25"/>
  <c r="L41" i="25"/>
  <c r="L642" i="15"/>
  <c r="E86" i="18"/>
  <c r="H86" i="18"/>
  <c r="H10" i="9"/>
  <c r="P67" i="14"/>
  <c r="H77" i="9"/>
  <c r="L72" i="15"/>
  <c r="L214" i="15"/>
  <c r="O166" i="14"/>
  <c r="L646" i="15"/>
  <c r="L644" i="15"/>
  <c r="L645" i="15"/>
  <c r="L641" i="15"/>
  <c r="L318" i="15"/>
  <c r="L538" i="15"/>
  <c r="L496" i="15"/>
  <c r="L51" i="15"/>
  <c r="P48" i="14"/>
  <c r="L79" i="15"/>
  <c r="L294" i="15"/>
  <c r="L562" i="15"/>
  <c r="H102" i="9"/>
  <c r="E85" i="18"/>
  <c r="H85" i="18"/>
  <c r="K197" i="15"/>
  <c r="L197" i="15"/>
  <c r="K270" i="15"/>
  <c r="L270" i="15"/>
  <c r="L299" i="15"/>
  <c r="L608" i="15"/>
  <c r="L604" i="15"/>
  <c r="L637" i="15"/>
  <c r="L340" i="15"/>
  <c r="L153" i="15"/>
  <c r="L339" i="15"/>
  <c r="L640" i="15"/>
  <c r="H14" i="9"/>
  <c r="L639" i="15"/>
  <c r="L638" i="15"/>
  <c r="L543" i="15"/>
  <c r="L517" i="15"/>
  <c r="L434" i="15"/>
  <c r="L366" i="15"/>
  <c r="L350" i="15"/>
  <c r="L258" i="15"/>
  <c r="L222" i="15"/>
  <c r="L19" i="15"/>
  <c r="L3" i="15"/>
  <c r="L542" i="15"/>
  <c r="L537" i="15"/>
  <c r="L516" i="15"/>
  <c r="L495" i="15"/>
  <c r="L433" i="15"/>
  <c r="L421" i="15"/>
  <c r="L405" i="15"/>
  <c r="L365" i="15"/>
  <c r="L349" i="15"/>
  <c r="L317" i="15"/>
  <c r="L257" i="15"/>
  <c r="L221" i="15"/>
  <c r="L18" i="15"/>
  <c r="L2" i="15"/>
  <c r="L298" i="15"/>
  <c r="L607" i="15"/>
  <c r="L541" i="15"/>
  <c r="L482" i="15"/>
  <c r="L432" i="15"/>
  <c r="L396" i="15"/>
  <c r="L364" i="15"/>
  <c r="L348" i="15"/>
  <c r="L332" i="15"/>
  <c r="L316" i="15"/>
  <c r="L220" i="15"/>
  <c r="L65" i="15"/>
  <c r="L33" i="15"/>
  <c r="L17" i="15"/>
  <c r="L297" i="15"/>
  <c r="L606" i="15"/>
  <c r="L175" i="15"/>
  <c r="L63" i="15"/>
  <c r="L142" i="15"/>
  <c r="L72" i="14"/>
  <c r="H39" i="9"/>
  <c r="P43" i="14"/>
  <c r="E80" i="18"/>
  <c r="I80" i="18"/>
  <c r="P46" i="14"/>
  <c r="N62" i="14"/>
  <c r="K274" i="15"/>
  <c r="L274" i="15"/>
  <c r="N191" i="14"/>
  <c r="N58" i="14"/>
  <c r="K212" i="15"/>
  <c r="L212" i="15"/>
  <c r="N84" i="14"/>
  <c r="K282" i="15"/>
  <c r="L282" i="15"/>
  <c r="K279" i="15"/>
  <c r="L279" i="15"/>
  <c r="N57" i="14"/>
  <c r="N89" i="14"/>
  <c r="K233" i="15"/>
  <c r="L233" i="15"/>
  <c r="I42" i="10"/>
  <c r="J42" i="10"/>
  <c r="M95" i="14"/>
  <c r="N95" i="14"/>
  <c r="K275" i="15"/>
  <c r="L275" i="15"/>
  <c r="N56" i="14"/>
  <c r="K271" i="15"/>
  <c r="L271" i="15"/>
  <c r="L120" i="15"/>
  <c r="M88" i="14"/>
  <c r="N88" i="14"/>
  <c r="K278" i="15"/>
  <c r="L278" i="15"/>
  <c r="K243" i="15"/>
  <c r="L243" i="15"/>
  <c r="K280" i="15"/>
  <c r="L280" i="15"/>
  <c r="K218" i="15"/>
  <c r="L218" i="15"/>
  <c r="K217" i="15"/>
  <c r="L217" i="15"/>
  <c r="K205" i="15"/>
  <c r="L205" i="15"/>
  <c r="K209" i="15"/>
  <c r="L209" i="15"/>
  <c r="K211" i="15"/>
  <c r="L211" i="15"/>
  <c r="L461" i="15"/>
  <c r="L137" i="15"/>
  <c r="L140" i="15"/>
  <c r="L526" i="15"/>
  <c r="L520" i="15"/>
  <c r="L438" i="15"/>
  <c r="L22" i="15"/>
  <c r="L6" i="15"/>
  <c r="L484" i="15"/>
  <c r="L483" i="15"/>
  <c r="L121" i="15"/>
  <c r="L398" i="15"/>
  <c r="L525" i="15"/>
  <c r="L540" i="15"/>
  <c r="L519" i="15"/>
  <c r="L498" i="15"/>
  <c r="L436" i="15"/>
  <c r="L437" i="15"/>
  <c r="L408" i="15"/>
  <c r="L384" i="15"/>
  <c r="L368" i="15"/>
  <c r="L352" i="15"/>
  <c r="L320" i="15"/>
  <c r="L260" i="15"/>
  <c r="L149" i="15"/>
  <c r="L133" i="15"/>
  <c r="L117" i="15"/>
  <c r="L101" i="15"/>
  <c r="L69" i="15"/>
  <c r="L53" i="15"/>
  <c r="L37" i="15"/>
  <c r="L21" i="15"/>
  <c r="L5" i="15"/>
  <c r="L301" i="15"/>
  <c r="L610" i="15"/>
  <c r="L403" i="15"/>
  <c r="L401" i="15"/>
  <c r="L397" i="15"/>
  <c r="L524" i="15"/>
  <c r="L539" i="15"/>
  <c r="L518" i="15"/>
  <c r="L497" i="15"/>
  <c r="L435" i="15"/>
  <c r="L383" i="15"/>
  <c r="L367" i="15"/>
  <c r="L351" i="15"/>
  <c r="L319" i="15"/>
  <c r="L259" i="15"/>
  <c r="L180" i="15"/>
  <c r="L132" i="15"/>
  <c r="L116" i="15"/>
  <c r="L100" i="15"/>
  <c r="L84" i="15"/>
  <c r="L52" i="15"/>
  <c r="L20" i="15"/>
  <c r="L4" i="15"/>
  <c r="L300" i="15"/>
  <c r="L609" i="15"/>
  <c r="L605" i="15"/>
  <c r="L423" i="15"/>
  <c r="L382" i="15"/>
  <c r="L163" i="15"/>
  <c r="L67" i="15"/>
  <c r="L178" i="15"/>
  <c r="L146" i="15"/>
  <c r="L82" i="15"/>
  <c r="L34" i="15"/>
  <c r="L494" i="15"/>
  <c r="L97" i="15"/>
  <c r="L404" i="15"/>
  <c r="L485" i="15"/>
  <c r="L530" i="15"/>
  <c r="L504" i="15"/>
  <c r="L414" i="15"/>
  <c r="L342" i="15"/>
  <c r="L139" i="15"/>
  <c r="L123" i="15"/>
  <c r="L107" i="15"/>
  <c r="L465" i="15"/>
  <c r="L463" i="15"/>
  <c r="L614" i="15"/>
  <c r="L594" i="15"/>
  <c r="L462" i="15"/>
  <c r="L224" i="15"/>
  <c r="I791" i="15"/>
  <c r="L223" i="15"/>
  <c r="L164" i="15"/>
  <c r="L68" i="15"/>
  <c r="L406" i="15"/>
  <c r="L179" i="15"/>
  <c r="L147" i="15"/>
  <c r="L83" i="15"/>
  <c r="L35" i="15"/>
  <c r="H45" i="9"/>
  <c r="L66" i="15"/>
  <c r="L536" i="15"/>
  <c r="L177" i="15"/>
  <c r="L145" i="15"/>
  <c r="L113" i="15"/>
  <c r="L81" i="15"/>
  <c r="H46" i="9"/>
  <c r="L230" i="15"/>
  <c r="L529" i="15"/>
  <c r="L503" i="15"/>
  <c r="L413" i="15"/>
  <c r="L373" i="15"/>
  <c r="L138" i="15"/>
  <c r="L122" i="15"/>
  <c r="L402" i="15"/>
  <c r="L288" i="15"/>
  <c r="L502" i="15"/>
  <c r="L528" i="15"/>
  <c r="L522" i="15"/>
  <c r="L473" i="15"/>
  <c r="L501" i="15"/>
  <c r="L440" i="15"/>
  <c r="L152" i="15"/>
  <c r="L56" i="15"/>
  <c r="L400" i="15"/>
  <c r="L527" i="15"/>
  <c r="L521" i="15"/>
  <c r="L472" i="15"/>
  <c r="L500" i="15"/>
  <c r="L439" i="15"/>
  <c r="L262" i="15"/>
  <c r="L23" i="15"/>
  <c r="L453" i="15"/>
  <c r="L303" i="15"/>
  <c r="L612" i="15"/>
  <c r="L611" i="15"/>
  <c r="L335" i="15"/>
  <c r="L129" i="15"/>
  <c r="L49" i="15"/>
  <c r="L471" i="15"/>
  <c r="H52" i="9"/>
  <c r="H54" i="9"/>
  <c r="H75" i="9"/>
  <c r="L336" i="15"/>
  <c r="L513" i="15"/>
  <c r="L333" i="15"/>
  <c r="L603" i="15"/>
  <c r="L489" i="15"/>
  <c r="L534" i="15"/>
  <c r="L480" i="15"/>
  <c r="L508" i="15"/>
  <c r="L181" i="15"/>
  <c r="L381" i="15"/>
  <c r="L162" i="15"/>
  <c r="L491" i="15"/>
  <c r="H67" i="9"/>
  <c r="L148" i="15"/>
  <c r="L420" i="15"/>
  <c r="L130" i="15"/>
  <c r="L380" i="15"/>
  <c r="L256" i="15"/>
  <c r="L514" i="15"/>
  <c r="L407" i="15"/>
  <c r="L422" i="15"/>
  <c r="L131" i="15"/>
  <c r="L492" i="15"/>
  <c r="L510" i="15"/>
  <c r="L161" i="15"/>
  <c r="L602" i="15"/>
  <c r="L290" i="15"/>
  <c r="L476" i="15"/>
  <c r="L446" i="15"/>
  <c r="L426" i="15"/>
  <c r="L390" i="15"/>
  <c r="L374" i="15"/>
  <c r="L358" i="15"/>
  <c r="L326" i="15"/>
  <c r="L310" i="15"/>
  <c r="L240" i="15"/>
  <c r="L187" i="15"/>
  <c r="L171" i="15"/>
  <c r="L155" i="15"/>
  <c r="L91" i="15"/>
  <c r="L75" i="15"/>
  <c r="L59" i="15"/>
  <c r="L43" i="15"/>
  <c r="L27" i="15"/>
  <c r="L11" i="15"/>
  <c r="L85" i="15"/>
  <c r="L512" i="15"/>
  <c r="L511" i="15"/>
  <c r="L289" i="15"/>
  <c r="L475" i="15"/>
  <c r="L445" i="15"/>
  <c r="L425" i="15"/>
  <c r="L389" i="15"/>
  <c r="L357" i="15"/>
  <c r="L341" i="15"/>
  <c r="L325" i="15"/>
  <c r="L309" i="15"/>
  <c r="L239" i="15"/>
  <c r="L186" i="15"/>
  <c r="L170" i="15"/>
  <c r="L154" i="15"/>
  <c r="L106" i="15"/>
  <c r="L90" i="15"/>
  <c r="L74" i="15"/>
  <c r="L58" i="15"/>
  <c r="L42" i="15"/>
  <c r="L26" i="15"/>
  <c r="L10" i="15"/>
  <c r="L456" i="15"/>
  <c r="L50" i="15"/>
  <c r="L523" i="15"/>
  <c r="L474" i="15"/>
  <c r="L444" i="15"/>
  <c r="L424" i="15"/>
  <c r="L412" i="15"/>
  <c r="L388" i="15"/>
  <c r="L372" i="15"/>
  <c r="L356" i="15"/>
  <c r="L324" i="15"/>
  <c r="L308" i="15"/>
  <c r="L228" i="15"/>
  <c r="L185" i="15"/>
  <c r="L169" i="15"/>
  <c r="L105" i="15"/>
  <c r="L89" i="15"/>
  <c r="L73" i="15"/>
  <c r="L57" i="15"/>
  <c r="L41" i="15"/>
  <c r="L25" i="15"/>
  <c r="L9" i="15"/>
  <c r="L455" i="15"/>
  <c r="L165" i="15"/>
  <c r="L493" i="15"/>
  <c r="L115" i="15"/>
  <c r="H51" i="9"/>
  <c r="L287" i="15"/>
  <c r="L443" i="15"/>
  <c r="L411" i="15"/>
  <c r="L387" i="15"/>
  <c r="L371" i="15"/>
  <c r="L355" i="15"/>
  <c r="L323" i="15"/>
  <c r="L307" i="15"/>
  <c r="L227" i="15"/>
  <c r="L184" i="15"/>
  <c r="L168" i="15"/>
  <c r="L136" i="15"/>
  <c r="L104" i="15"/>
  <c r="L88" i="15"/>
  <c r="L40" i="15"/>
  <c r="L24" i="15"/>
  <c r="L8" i="15"/>
  <c r="L334" i="15"/>
  <c r="L99" i="15"/>
  <c r="L98" i="15"/>
  <c r="L286" i="15"/>
  <c r="L442" i="15"/>
  <c r="L410" i="15"/>
  <c r="L386" i="15"/>
  <c r="L370" i="15"/>
  <c r="L354" i="15"/>
  <c r="L338" i="15"/>
  <c r="L322" i="15"/>
  <c r="L226" i="15"/>
  <c r="L183" i="15"/>
  <c r="L167" i="15"/>
  <c r="L151" i="15"/>
  <c r="L135" i="15"/>
  <c r="L119" i="15"/>
  <c r="L103" i="15"/>
  <c r="L87" i="15"/>
  <c r="L71" i="15"/>
  <c r="L55" i="15"/>
  <c r="L39" i="15"/>
  <c r="L7" i="15"/>
  <c r="L36" i="15"/>
  <c r="L114" i="15"/>
  <c r="L206" i="15"/>
  <c r="H53" i="9"/>
  <c r="L399" i="15"/>
  <c r="L285" i="15"/>
  <c r="L515" i="15"/>
  <c r="L499" i="15"/>
  <c r="L441" i="15"/>
  <c r="L409" i="15"/>
  <c r="L385" i="15"/>
  <c r="L369" i="15"/>
  <c r="L353" i="15"/>
  <c r="L337" i="15"/>
  <c r="L321" i="15"/>
  <c r="L261" i="15"/>
  <c r="L225" i="15"/>
  <c r="L182" i="15"/>
  <c r="L166" i="15"/>
  <c r="L150" i="15"/>
  <c r="L134" i="15"/>
  <c r="L118" i="15"/>
  <c r="L102" i="15"/>
  <c r="L86" i="15"/>
  <c r="L70" i="15"/>
  <c r="L54" i="15"/>
  <c r="L38" i="15"/>
  <c r="L490" i="15"/>
  <c r="L295" i="15"/>
  <c r="L535" i="15"/>
  <c r="L481" i="15"/>
  <c r="L509" i="15"/>
  <c r="L451" i="15"/>
  <c r="L431" i="15"/>
  <c r="L419" i="15"/>
  <c r="L395" i="15"/>
  <c r="L379" i="15"/>
  <c r="L363" i="15"/>
  <c r="L347" i="15"/>
  <c r="L331" i="15"/>
  <c r="L315" i="15"/>
  <c r="L255" i="15"/>
  <c r="L219" i="15"/>
  <c r="L176" i="15"/>
  <c r="L160" i="15"/>
  <c r="L144" i="15"/>
  <c r="L128" i="15"/>
  <c r="L112" i="15"/>
  <c r="L96" i="15"/>
  <c r="L80" i="15"/>
  <c r="L64" i="15"/>
  <c r="L48" i="15"/>
  <c r="L32" i="15"/>
  <c r="L16" i="15"/>
  <c r="L470" i="15"/>
  <c r="L296" i="15"/>
  <c r="L601" i="15"/>
  <c r="L469" i="15"/>
  <c r="L600" i="15"/>
  <c r="L450" i="15"/>
  <c r="L430" i="15"/>
  <c r="L418" i="15"/>
  <c r="L394" i="15"/>
  <c r="L378" i="15"/>
  <c r="L362" i="15"/>
  <c r="L346" i="15"/>
  <c r="L330" i="15"/>
  <c r="L314" i="15"/>
  <c r="L254" i="15"/>
  <c r="L191" i="15"/>
  <c r="L159" i="15"/>
  <c r="L143" i="15"/>
  <c r="L127" i="15"/>
  <c r="L111" i="15"/>
  <c r="L95" i="15"/>
  <c r="L47" i="15"/>
  <c r="L31" i="15"/>
  <c r="L15" i="15"/>
  <c r="L488" i="15"/>
  <c r="L293" i="15"/>
  <c r="L533" i="15"/>
  <c r="L479" i="15"/>
  <c r="L507" i="15"/>
  <c r="L449" i="15"/>
  <c r="L429" i="15"/>
  <c r="L417" i="15"/>
  <c r="L393" i="15"/>
  <c r="L377" i="15"/>
  <c r="L361" i="15"/>
  <c r="L345" i="15"/>
  <c r="L329" i="15"/>
  <c r="L313" i="15"/>
  <c r="L253" i="15"/>
  <c r="L190" i="15"/>
  <c r="L174" i="15"/>
  <c r="L158" i="15"/>
  <c r="L126" i="15"/>
  <c r="L110" i="15"/>
  <c r="L94" i="15"/>
  <c r="L78" i="15"/>
  <c r="L62" i="15"/>
  <c r="L46" i="15"/>
  <c r="L30" i="15"/>
  <c r="L14" i="15"/>
  <c r="L468" i="15"/>
  <c r="L599" i="15"/>
  <c r="L198" i="15"/>
  <c r="L487" i="15"/>
  <c r="L292" i="15"/>
  <c r="L532" i="15"/>
  <c r="L478" i="15"/>
  <c r="L506" i="15"/>
  <c r="L448" i="15"/>
  <c r="L428" i="15"/>
  <c r="L416" i="15"/>
  <c r="L392" i="15"/>
  <c r="L376" i="15"/>
  <c r="L360" i="15"/>
  <c r="L344" i="15"/>
  <c r="L328" i="15"/>
  <c r="L312" i="15"/>
  <c r="L252" i="15"/>
  <c r="L189" i="15"/>
  <c r="L173" i="15"/>
  <c r="L157" i="15"/>
  <c r="L141" i="15"/>
  <c r="L125" i="15"/>
  <c r="L109" i="15"/>
  <c r="L93" i="15"/>
  <c r="L77" i="15"/>
  <c r="L61" i="15"/>
  <c r="L45" i="15"/>
  <c r="L29" i="15"/>
  <c r="L13" i="15"/>
  <c r="L459" i="15"/>
  <c r="L467" i="15"/>
  <c r="L561" i="15"/>
  <c r="L598" i="15"/>
  <c r="L486" i="15"/>
  <c r="L291" i="15"/>
  <c r="L531" i="15"/>
  <c r="L477" i="15"/>
  <c r="L505" i="15"/>
  <c r="L447" i="15"/>
  <c r="L427" i="15"/>
  <c r="L415" i="15"/>
  <c r="L391" i="15"/>
  <c r="L375" i="15"/>
  <c r="L359" i="15"/>
  <c r="L343" i="15"/>
  <c r="L327" i="15"/>
  <c r="L311" i="15"/>
  <c r="L251" i="15"/>
  <c r="L188" i="15"/>
  <c r="L172" i="15"/>
  <c r="L156" i="15"/>
  <c r="L124" i="15"/>
  <c r="L108" i="15"/>
  <c r="L92" i="15"/>
  <c r="L76" i="15"/>
  <c r="L60" i="15"/>
  <c r="L44" i="15"/>
  <c r="L28" i="15"/>
  <c r="L12" i="15"/>
  <c r="L458" i="15"/>
  <c r="L466" i="15"/>
  <c r="L560" i="15"/>
  <c r="L597" i="15"/>
  <c r="L457" i="15"/>
  <c r="L559" i="15"/>
  <c r="L596" i="15"/>
  <c r="L464" i="15"/>
  <c r="L306" i="15"/>
  <c r="L558" i="15"/>
  <c r="L615" i="15"/>
  <c r="L595" i="15"/>
  <c r="L305" i="15"/>
  <c r="L557" i="15"/>
  <c r="L454" i="15"/>
  <c r="L304" i="15"/>
  <c r="L613" i="15"/>
  <c r="L593" i="15"/>
  <c r="H98" i="9"/>
  <c r="L452" i="15"/>
  <c r="L460" i="15"/>
  <c r="L302" i="15"/>
  <c r="H64" i="9"/>
  <c r="N49" i="14"/>
  <c r="L49" i="14"/>
  <c r="H32" i="9"/>
  <c r="H26" i="9"/>
  <c r="N48" i="14"/>
  <c r="N43" i="14"/>
  <c r="N54" i="14"/>
  <c r="H79" i="9"/>
  <c r="P44" i="14"/>
  <c r="H74" i="9"/>
  <c r="N55" i="14"/>
  <c r="N46" i="14"/>
  <c r="N67" i="14"/>
  <c r="N44" i="14"/>
  <c r="H65" i="9"/>
  <c r="E82" i="18"/>
  <c r="I82" i="18"/>
  <c r="H88" i="9"/>
  <c r="H85" i="9"/>
  <c r="H99" i="9"/>
  <c r="H87" i="9"/>
  <c r="H21" i="9"/>
  <c r="H43" i="9"/>
  <c r="H72" i="9"/>
  <c r="H63" i="9"/>
  <c r="H34" i="9"/>
  <c r="H22" i="9"/>
  <c r="H38" i="9"/>
  <c r="H59" i="9"/>
  <c r="H92" i="9"/>
  <c r="H61" i="9"/>
  <c r="H70" i="9"/>
  <c r="H37" i="9"/>
  <c r="H81" i="9"/>
  <c r="H23" i="9"/>
  <c r="H84" i="9"/>
  <c r="K231" i="15"/>
  <c r="L231" i="15"/>
  <c r="K242" i="15"/>
  <c r="L242" i="15"/>
  <c r="K193" i="15"/>
  <c r="L193" i="15"/>
  <c r="K216" i="15"/>
  <c r="L216" i="15"/>
  <c r="K194" i="15"/>
  <c r="L194" i="15"/>
  <c r="K213" i="15"/>
  <c r="L213" i="15"/>
  <c r="M77" i="14"/>
  <c r="N77" i="14"/>
  <c r="K235" i="15"/>
  <c r="L235" i="15"/>
  <c r="H44" i="9"/>
  <c r="K283" i="15"/>
  <c r="L283" i="15"/>
  <c r="I39" i="10"/>
  <c r="J39" i="10"/>
  <c r="M85" i="14"/>
  <c r="N85" i="14"/>
  <c r="M94" i="14"/>
  <c r="N94" i="14"/>
  <c r="K241" i="15"/>
  <c r="L241" i="15"/>
  <c r="K244" i="15"/>
  <c r="L244" i="15"/>
  <c r="K277" i="15"/>
  <c r="L277" i="15"/>
  <c r="K192" i="15"/>
  <c r="L192" i="15"/>
  <c r="K247" i="15"/>
  <c r="L247" i="15"/>
  <c r="K237" i="15"/>
  <c r="L237" i="15"/>
  <c r="K246" i="15"/>
  <c r="L246" i="15"/>
  <c r="K201" i="15"/>
  <c r="L201" i="15"/>
  <c r="K238" i="15"/>
  <c r="L238" i="15"/>
  <c r="K248" i="15"/>
  <c r="L248" i="15"/>
  <c r="K284" i="15"/>
  <c r="L284" i="15"/>
  <c r="K199" i="15"/>
  <c r="L199" i="15"/>
  <c r="M82" i="14"/>
  <c r="N82" i="14"/>
  <c r="I46" i="10"/>
  <c r="J46" i="10"/>
  <c r="M76" i="14"/>
  <c r="N76" i="14"/>
  <c r="H42" i="9"/>
  <c r="K234" i="15"/>
  <c r="L234" i="15"/>
  <c r="K245" i="15"/>
  <c r="L245" i="15"/>
  <c r="K276" i="15"/>
  <c r="L276" i="15"/>
  <c r="H19" i="9"/>
  <c r="J18" i="10"/>
  <c r="M75" i="14"/>
  <c r="N75" i="14"/>
  <c r="K267" i="15"/>
  <c r="L267" i="15"/>
  <c r="K264" i="15"/>
  <c r="L264" i="15"/>
  <c r="M74" i="14"/>
  <c r="N74" i="14"/>
  <c r="I44" i="10"/>
  <c r="J44" i="10"/>
  <c r="K215" i="15"/>
  <c r="L215" i="15"/>
  <c r="I41" i="10"/>
  <c r="J41" i="10"/>
  <c r="K250" i="15"/>
  <c r="L250" i="15"/>
  <c r="K268" i="15"/>
  <c r="L268" i="15"/>
  <c r="K266" i="15"/>
  <c r="L266" i="15"/>
  <c r="K281" i="15"/>
  <c r="L281" i="15"/>
  <c r="K263" i="15"/>
  <c r="L263" i="15"/>
  <c r="M73" i="14"/>
  <c r="N73" i="14"/>
  <c r="K195" i="15"/>
  <c r="L195" i="15"/>
  <c r="I40" i="10"/>
  <c r="J40" i="10"/>
  <c r="M80" i="14"/>
  <c r="N80" i="14"/>
  <c r="K196" i="15"/>
  <c r="L196" i="15"/>
  <c r="K236" i="15"/>
  <c r="L236" i="15"/>
  <c r="K204" i="15"/>
  <c r="L204" i="15"/>
  <c r="K203" i="15"/>
  <c r="L203" i="15"/>
  <c r="K269" i="15"/>
  <c r="L269" i="15"/>
  <c r="K202" i="15"/>
  <c r="L202" i="15"/>
  <c r="M81" i="14"/>
  <c r="N81" i="14"/>
  <c r="K229" i="15"/>
  <c r="L229" i="15"/>
  <c r="K210" i="15"/>
  <c r="L210" i="15"/>
  <c r="K249" i="15"/>
  <c r="L249" i="15"/>
  <c r="K273" i="15"/>
  <c r="L273" i="15"/>
  <c r="K265" i="15"/>
  <c r="L265" i="15"/>
  <c r="K208" i="15"/>
  <c r="L208" i="15"/>
  <c r="K272" i="15"/>
  <c r="L272" i="15"/>
  <c r="I48" i="10"/>
  <c r="J48" i="10"/>
  <c r="M79" i="14"/>
  <c r="N79" i="14"/>
  <c r="K207" i="15"/>
  <c r="L207" i="15"/>
  <c r="M72" i="14"/>
  <c r="N72" i="14"/>
  <c r="K200" i="15"/>
  <c r="L200" i="15"/>
  <c r="M87" i="14"/>
  <c r="N87" i="14"/>
  <c r="K232" i="15"/>
  <c r="L232" i="15"/>
  <c r="M93" i="14"/>
  <c r="N93" i="14"/>
  <c r="M78" i="14"/>
  <c r="N78" i="14"/>
  <c r="M71" i="14"/>
  <c r="N71" i="14"/>
  <c r="M86" i="14"/>
  <c r="N86" i="14"/>
  <c r="H20" i="9"/>
  <c r="H62" i="9"/>
  <c r="H25" i="9"/>
  <c r="H55" i="9"/>
  <c r="H71" i="9"/>
  <c r="E79" i="18"/>
  <c r="H79" i="18"/>
  <c r="H91" i="9"/>
  <c r="H48" i="9"/>
  <c r="H66" i="9"/>
  <c r="H27" i="9"/>
  <c r="H80" i="9"/>
  <c r="H60" i="9"/>
  <c r="H57" i="9"/>
  <c r="H68" i="9"/>
  <c r="E81" i="18"/>
  <c r="I81" i="18"/>
  <c r="H33" i="9"/>
  <c r="H40" i="9"/>
  <c r="H35" i="9"/>
  <c r="H50" i="9"/>
  <c r="H112" i="9"/>
  <c r="H89" i="9"/>
  <c r="H24" i="9"/>
  <c r="H36" i="9"/>
  <c r="H73" i="9"/>
  <c r="H78" i="9"/>
  <c r="H86" i="9"/>
  <c r="H76" i="9"/>
  <c r="H69" i="9"/>
  <c r="L467" i="14"/>
  <c r="I468" i="14"/>
  <c r="H80" i="18"/>
  <c r="I79" i="18"/>
  <c r="I87" i="18"/>
  <c r="H82" i="18"/>
  <c r="E87" i="18"/>
  <c r="E90" i="18"/>
  <c r="H81" i="18"/>
  <c r="L791" i="15"/>
  <c r="J131" i="10"/>
  <c r="H125" i="9"/>
  <c r="H128" i="9"/>
  <c r="H129" i="9"/>
  <c r="H87" i="18"/>
  <c r="E91" i="18"/>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481022D-B84E-430B-940E-F577E69404E8}"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F2FF1DDF-B637-4583-8D59-7CDC2AECF9B9}" name="WorksheetConnection_Controlled Project 2023_by Jonal.xlsx!BNW" type="102" refreshedVersion="8" minRefreshableVersion="5">
    <extLst>
      <ext xmlns:x15="http://schemas.microsoft.com/office/spreadsheetml/2010/11/main" uri="{DE250136-89BD-433C-8126-D09CA5730AF9}">
        <x15:connection id="BNW">
          <x15:rangePr sourceName="_xlcn.WorksheetConnection_ControlledProject2023_byJonal.xlsxBNW1"/>
        </x15:connection>
      </ext>
    </extLst>
  </connection>
  <connection id="3" xr16:uid="{7954CABB-DB3F-4AF7-8641-0403BE396CC8}" name="WorksheetConnection_Controlled Project 2023_by Jonal.xlsx!Table2" type="102" refreshedVersion="8" minRefreshableVersion="5">
    <extLst>
      <ext xmlns:x15="http://schemas.microsoft.com/office/spreadsheetml/2010/11/main" uri="{DE250136-89BD-433C-8126-D09CA5730AF9}">
        <x15:connection id="Table2">
          <x15:rangePr sourceName="_xlcn.WorksheetConnection_ControlledProject2023_byJonal.xlsxTable21"/>
        </x15:connection>
      </ext>
    </extLst>
  </connection>
  <connection id="4" xr16:uid="{355354C6-3302-49F0-B191-9763A306C7B9}" name="WorksheetConnection_Controlled Project 2023_by Jonal.xlsx!Table3" type="102" refreshedVersion="8" minRefreshableVersion="5">
    <extLst>
      <ext xmlns:x15="http://schemas.microsoft.com/office/spreadsheetml/2010/11/main" uri="{DE250136-89BD-433C-8126-D09CA5730AF9}">
        <x15:connection id="Table3">
          <x15:rangePr sourceName="_xlcn.WorksheetConnection_ControlledProject2023_byJonal.xlsxTable31"/>
        </x15:connection>
      </ext>
    </extLst>
  </connection>
  <connection id="5" xr16:uid="{0B5BB835-3B47-43A9-A04C-53658E90F2B6}" name="WorksheetConnection_Controlled Project 2023_by Jonal.xlsx!Table328" type="102" refreshedVersion="8" minRefreshableVersion="5">
    <extLst>
      <ext xmlns:x15="http://schemas.microsoft.com/office/spreadsheetml/2010/11/main" uri="{DE250136-89BD-433C-8126-D09CA5730AF9}">
        <x15:connection id="Table328">
          <x15:rangePr sourceName="_xlcn.WorksheetConnection_ControlledProject2023_byJonal.xlsxTable3281"/>
        </x15:connection>
      </ext>
    </extLst>
  </connection>
  <connection id="6" xr16:uid="{B29607A0-6E92-4A46-B42C-7B9EF4AF4308}" name="WorksheetConnection_Controlled Project 2023_by Jonal.xlsx!Table4" type="102" refreshedVersion="8" minRefreshableVersion="5">
    <extLst>
      <ext xmlns:x15="http://schemas.microsoft.com/office/spreadsheetml/2010/11/main" uri="{DE250136-89BD-433C-8126-D09CA5730AF9}">
        <x15:connection id="Table4">
          <x15:rangePr sourceName="_xlcn.WorksheetConnection_ControlledProject2023_byJonal.xlsxTable41"/>
        </x15:connection>
      </ext>
    </extLst>
  </connection>
  <connection id="7" xr16:uid="{B811C202-D798-4117-8556-3AED39E97B11}" name="WorksheetConnection_Controlled Project 2023_by Jonal.xlsx!Table5" type="102" refreshedVersion="8" minRefreshableVersion="5">
    <extLst>
      <ext xmlns:x15="http://schemas.microsoft.com/office/spreadsheetml/2010/11/main" uri="{DE250136-89BD-433C-8126-D09CA5730AF9}">
        <x15:connection id="Table5">
          <x15:rangePr sourceName="_xlcn.WorksheetConnection_ControlledProject2023_byJonal.xlsxTable51"/>
        </x15:connection>
      </ext>
    </extLst>
  </connection>
</connections>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23">
    <bk>
      <extLst>
        <ext uri="{3e2802c4-a4d2-4d8b-9148-e3be6c30e623}">
          <xlrd:rvb i="0"/>
        </ext>
      </extLst>
    </bk>
    <bk>
      <extLst>
        <ext uri="{3e2802c4-a4d2-4d8b-9148-e3be6c30e623}">
          <xlrd:rvb i="22"/>
        </ext>
      </extLst>
    </bk>
    <bk>
      <extLst>
        <ext uri="{3e2802c4-a4d2-4d8b-9148-e3be6c30e623}">
          <xlrd:rvb i="33"/>
        </ext>
      </extLst>
    </bk>
    <bk>
      <extLst>
        <ext uri="{3e2802c4-a4d2-4d8b-9148-e3be6c30e623}">
          <xlrd:rvb i="51"/>
        </ext>
      </extLst>
    </bk>
    <bk>
      <extLst>
        <ext uri="{3e2802c4-a4d2-4d8b-9148-e3be6c30e623}">
          <xlrd:rvb i="77"/>
        </ext>
      </extLst>
    </bk>
    <bk>
      <extLst>
        <ext uri="{3e2802c4-a4d2-4d8b-9148-e3be6c30e623}">
          <xlrd:rvb i="105"/>
        </ext>
      </extLst>
    </bk>
    <bk>
      <extLst>
        <ext uri="{3e2802c4-a4d2-4d8b-9148-e3be6c30e623}">
          <xlrd:rvb i="119"/>
        </ext>
      </extLst>
    </bk>
    <bk>
      <extLst>
        <ext uri="{3e2802c4-a4d2-4d8b-9148-e3be6c30e623}">
          <xlrd:rvb i="145"/>
        </ext>
      </extLst>
    </bk>
    <bk>
      <extLst>
        <ext uri="{3e2802c4-a4d2-4d8b-9148-e3be6c30e623}">
          <xlrd:rvb i="166"/>
        </ext>
      </extLst>
    </bk>
    <bk>
      <extLst>
        <ext uri="{3e2802c4-a4d2-4d8b-9148-e3be6c30e623}">
          <xlrd:rvb i="195"/>
        </ext>
      </extLst>
    </bk>
    <bk>
      <extLst>
        <ext uri="{3e2802c4-a4d2-4d8b-9148-e3be6c30e623}">
          <xlrd:rvb i="212"/>
        </ext>
      </extLst>
    </bk>
    <bk>
      <extLst>
        <ext uri="{3e2802c4-a4d2-4d8b-9148-e3be6c30e623}">
          <xlrd:rvb i="231"/>
        </ext>
      </extLst>
    </bk>
    <bk>
      <extLst>
        <ext uri="{3e2802c4-a4d2-4d8b-9148-e3be6c30e623}">
          <xlrd:rvb i="250"/>
        </ext>
      </extLst>
    </bk>
    <bk>
      <extLst>
        <ext uri="{3e2802c4-a4d2-4d8b-9148-e3be6c30e623}">
          <xlrd:rvb i="277"/>
        </ext>
      </extLst>
    </bk>
    <bk>
      <extLst>
        <ext uri="{3e2802c4-a4d2-4d8b-9148-e3be6c30e623}">
          <xlrd:rvb i="296"/>
        </ext>
      </extLst>
    </bk>
    <bk>
      <extLst>
        <ext uri="{3e2802c4-a4d2-4d8b-9148-e3be6c30e623}">
          <xlrd:rvb i="167"/>
        </ext>
      </extLst>
    </bk>
    <bk>
      <extLst>
        <ext uri="{3e2802c4-a4d2-4d8b-9148-e3be6c30e623}">
          <xlrd:rvb i="314"/>
        </ext>
      </extLst>
    </bk>
    <bk>
      <extLst>
        <ext uri="{3e2802c4-a4d2-4d8b-9148-e3be6c30e623}">
          <xlrd:rvb i="323"/>
        </ext>
      </extLst>
    </bk>
    <bk>
      <extLst>
        <ext uri="{3e2802c4-a4d2-4d8b-9148-e3be6c30e623}">
          <xlrd:rvb i="343"/>
        </ext>
      </extLst>
    </bk>
    <bk>
      <extLst>
        <ext uri="{3e2802c4-a4d2-4d8b-9148-e3be6c30e623}">
          <xlrd:rvb i="120"/>
        </ext>
      </extLst>
    </bk>
    <bk>
      <extLst>
        <ext uri="{3e2802c4-a4d2-4d8b-9148-e3be6c30e623}">
          <xlrd:rvb i="361"/>
        </ext>
      </extLst>
    </bk>
    <bk>
      <extLst>
        <ext uri="{3e2802c4-a4d2-4d8b-9148-e3be6c30e623}">
          <xlrd:rvb i="345"/>
        </ext>
      </extLst>
    </bk>
    <bk>
      <extLst>
        <ext uri="{3e2802c4-a4d2-4d8b-9148-e3be6c30e623}">
          <xlrd:rvb i="380"/>
        </ext>
      </extLst>
    </bk>
  </futureMetadata>
  <valueMetadata count="23">
    <bk>
      <rc t="1" v="0"/>
    </bk>
    <bk>
      <rc t="1" v="1"/>
    </bk>
    <bk>
      <rc t="1" v="2"/>
    </bk>
    <bk>
      <rc t="1" v="3"/>
    </bk>
    <bk>
      <rc t="1" v="4"/>
    </bk>
    <bk>
      <rc t="1" v="5"/>
    </bk>
    <bk>
      <rc t="1" v="6"/>
    </bk>
    <bk>
      <rc t="1" v="7"/>
    </bk>
    <bk>
      <rc t="1" v="8"/>
    </bk>
    <bk>
      <rc t="1" v="9"/>
    </bk>
    <bk>
      <rc t="1" v="10"/>
    </bk>
    <bk>
      <rc t="1" v="11"/>
    </bk>
    <bk>
      <rc t="1" v="12"/>
    </bk>
    <bk>
      <rc t="1" v="13"/>
    </bk>
    <bk>
      <rc t="1" v="14"/>
    </bk>
    <bk>
      <rc t="1" v="15"/>
    </bk>
    <bk>
      <rc t="1" v="16"/>
    </bk>
    <bk>
      <rc t="1" v="17"/>
    </bk>
    <bk>
      <rc t="1" v="18"/>
    </bk>
    <bk>
      <rc t="1" v="19"/>
    </bk>
    <bk>
      <rc t="1" v="20"/>
    </bk>
    <bk>
      <rc t="1" v="21"/>
    </bk>
    <bk>
      <rc t="1" v="22"/>
    </bk>
  </valueMetadata>
</metadata>
</file>

<file path=xl/sharedStrings.xml><?xml version="1.0" encoding="utf-8"?>
<sst xmlns="http://schemas.openxmlformats.org/spreadsheetml/2006/main" count="7604" uniqueCount="1323">
  <si>
    <t>No.</t>
  </si>
  <si>
    <t xml:space="preserve">Deskripsi 
Pekerjaan </t>
  </si>
  <si>
    <t>Client</t>
  </si>
  <si>
    <t>Daerah</t>
  </si>
  <si>
    <t>Girder</t>
  </si>
  <si>
    <t>PT. SAWIT KAPUAS KENCANA</t>
  </si>
  <si>
    <t>Marketing</t>
  </si>
  <si>
    <t>Date PON</t>
  </si>
  <si>
    <t>Date Finish</t>
  </si>
  <si>
    <t>NO. PON</t>
  </si>
  <si>
    <t>W-499</t>
  </si>
  <si>
    <t>Type 
Struktur</t>
  </si>
  <si>
    <t>Marking
Struktur</t>
  </si>
  <si>
    <t>AG30</t>
  </si>
  <si>
    <t>Pembangunan Jalan Jembatan Sidangoli</t>
  </si>
  <si>
    <t>CV. YEMIMA KARYA UTAMA</t>
  </si>
  <si>
    <t>JON PUTRA</t>
  </si>
  <si>
    <t>W-500</t>
  </si>
  <si>
    <t>ATADIWIRA KANAN</t>
  </si>
  <si>
    <t>W-501</t>
  </si>
  <si>
    <t>AG20</t>
  </si>
  <si>
    <t>PEMBANGUNAN JALAN MALINAU - LONG SEMAMU</t>
  </si>
  <si>
    <t>PT. BUDI BAKTI - DUTA MEGA, KSO</t>
  </si>
  <si>
    <t>CHAKIM</t>
  </si>
  <si>
    <t>JEMBATAN PANEL BAJA 33 METER DI SUNGAU MAWANG ESTATE (SMWE)</t>
  </si>
  <si>
    <t>Total Berat
(Kg)</t>
  </si>
  <si>
    <t>Status</t>
  </si>
  <si>
    <t>No.PON</t>
  </si>
  <si>
    <t>Berat Fabrikasi</t>
  </si>
  <si>
    <t>Vendor</t>
  </si>
  <si>
    <t>DHJ</t>
  </si>
  <si>
    <t>HOLD</t>
  </si>
  <si>
    <t>STATUS</t>
  </si>
  <si>
    <t>ON GOING</t>
  </si>
  <si>
    <t>33M DSR2 - SS400</t>
  </si>
  <si>
    <t>Date Release SD</t>
  </si>
  <si>
    <t>ISSUE</t>
  </si>
  <si>
    <t>Date Finish 
Aktual</t>
  </si>
  <si>
    <t>Date Start 
PON</t>
  </si>
  <si>
    <t>Date Finish
 PON</t>
  </si>
  <si>
    <t>Date Issue</t>
  </si>
  <si>
    <t>Penambahan Lubang Bondeck</t>
  </si>
  <si>
    <t>Purchase</t>
  </si>
  <si>
    <t>Bondeck</t>
  </si>
  <si>
    <t>Bearing</t>
  </si>
  <si>
    <t>Marking
Aksesories</t>
  </si>
  <si>
    <t>AG30-EB1</t>
  </si>
  <si>
    <t>Qty
(pcs)</t>
  </si>
  <si>
    <t>Berat/pcs
(Kg)</t>
  </si>
  <si>
    <t>AG30-EB2</t>
  </si>
  <si>
    <t>Dimensi/Ukuran</t>
  </si>
  <si>
    <t>Bearing 41*350*300</t>
  </si>
  <si>
    <t>Bearing 20*200*170</t>
  </si>
  <si>
    <t>M25X420</t>
  </si>
  <si>
    <t>Angkur Railing</t>
  </si>
  <si>
    <t>M16X185</t>
  </si>
  <si>
    <t>Ubolt</t>
  </si>
  <si>
    <t>U BOLT 2.1/2 "-M12</t>
  </si>
  <si>
    <t>U Bolt</t>
  </si>
  <si>
    <t>AG20-EB1</t>
  </si>
  <si>
    <t>Bearing 50*350*260</t>
  </si>
  <si>
    <t>AG20-EB2</t>
  </si>
  <si>
    <t>Bearing 20*200*150</t>
  </si>
  <si>
    <t>AG20-PD1</t>
  </si>
  <si>
    <t>PL0.75*1450</t>
  </si>
  <si>
    <t>AG20-PD2</t>
  </si>
  <si>
    <t>AG20-PD3</t>
  </si>
  <si>
    <t>W-498</t>
  </si>
  <si>
    <t>Jembatan Gantung</t>
  </si>
  <si>
    <t>PT. DHARMA KARYA DHIKA ALAMBHANA</t>
  </si>
  <si>
    <t>Optimalisasi SPAM Kec. Dumbo Raya
PDAM Kota Gorontalo</t>
  </si>
  <si>
    <t>Dimensi</t>
  </si>
  <si>
    <t>Grade</t>
  </si>
  <si>
    <t>Qty
(Set)</t>
  </si>
  <si>
    <t>Spesifikasi</t>
  </si>
  <si>
    <t>Berat Satuan
(Kg)</t>
  </si>
  <si>
    <t>Date Release</t>
  </si>
  <si>
    <t>M24X100</t>
  </si>
  <si>
    <t>M24X90</t>
  </si>
  <si>
    <t>M24X75</t>
  </si>
  <si>
    <t>M20X60</t>
  </si>
  <si>
    <t>M20X55</t>
  </si>
  <si>
    <t>M20X50</t>
  </si>
  <si>
    <t>M12X55</t>
  </si>
  <si>
    <t>M20X85</t>
  </si>
  <si>
    <t>M20X75</t>
  </si>
  <si>
    <t>M20X70</t>
  </si>
  <si>
    <t>M16X50</t>
  </si>
  <si>
    <t>M16X45</t>
  </si>
  <si>
    <t>M12X40</t>
  </si>
  <si>
    <t>B/N/2WP (F35) - HDG</t>
  </si>
  <si>
    <t>B/N/2WP (STD) - HDG</t>
  </si>
  <si>
    <t>MARKETING</t>
  </si>
  <si>
    <t>WIRA KANAN</t>
  </si>
  <si>
    <t>YUSUF</t>
  </si>
  <si>
    <t>COMPLETED</t>
  </si>
  <si>
    <t>AKSESORIS</t>
  </si>
  <si>
    <t>Qty
(Unit)</t>
  </si>
  <si>
    <t>Keterangan</t>
  </si>
  <si>
    <t>Penambahan Bondeck</t>
  </si>
  <si>
    <t>Shop Drawing Baru Turun</t>
  </si>
  <si>
    <t>AS PIN</t>
  </si>
  <si>
    <t>PIN1</t>
  </si>
  <si>
    <t>PIN 60.8*213</t>
  </si>
  <si>
    <t>PIN 69*394 + PL16*40</t>
  </si>
  <si>
    <t>PIN2 + P15</t>
  </si>
  <si>
    <t>B/N/2WP - HDG (std)</t>
  </si>
  <si>
    <t>B/N/2WP - HDG (F436)</t>
  </si>
  <si>
    <t>M12X201</t>
  </si>
  <si>
    <t>M12X181</t>
  </si>
  <si>
    <t>M12X174</t>
  </si>
  <si>
    <t>M12X130</t>
  </si>
  <si>
    <t>1/2"X3"</t>
  </si>
  <si>
    <t>5/8"X2"</t>
  </si>
  <si>
    <t>1/2"X1-3/4"</t>
  </si>
  <si>
    <t>4.6/8.8</t>
  </si>
  <si>
    <t>A325</t>
  </si>
  <si>
    <t>STKJ18</t>
  </si>
  <si>
    <t>KOMPONEN BAILEY</t>
  </si>
  <si>
    <t>STOCK</t>
  </si>
  <si>
    <t>N/A</t>
  </si>
  <si>
    <t>Bentangan Berubah menjadi 105 Meter</t>
  </si>
  <si>
    <t>W-502</t>
  </si>
  <si>
    <t>AG8</t>
  </si>
  <si>
    <t>Preservasi Jalan Asam Baru - Sp. Bangkal - Bts. Kota Sampit</t>
  </si>
  <si>
    <t>PT. BAWAN PERMAI GROUP</t>
  </si>
  <si>
    <t>AG8-EB1</t>
  </si>
  <si>
    <t>Bearing 30*300*300</t>
  </si>
  <si>
    <t>W-505</t>
  </si>
  <si>
    <t>W-503</t>
  </si>
  <si>
    <t>KONSTRUKSI JEMBATAN BAILEY 42DSR GORONTALO</t>
  </si>
  <si>
    <t>PT. HARMONIS PERKASAINDAH POHUWATO</t>
  </si>
  <si>
    <t>M24X130</t>
  </si>
  <si>
    <t>M24 x 90</t>
  </si>
  <si>
    <t>M24 x 70</t>
  </si>
  <si>
    <t>M24 x 60</t>
  </si>
  <si>
    <t>M24 x 55</t>
  </si>
  <si>
    <t>M20 x 140</t>
  </si>
  <si>
    <t>M20 x 65</t>
  </si>
  <si>
    <t>M20 x 55</t>
  </si>
  <si>
    <t>M20 x 45</t>
  </si>
  <si>
    <t>M16 x 45</t>
  </si>
  <si>
    <t>M16 x 40</t>
  </si>
  <si>
    <t>48.6*213</t>
  </si>
  <si>
    <t>42 DSR2-EW + TRESTLE</t>
  </si>
  <si>
    <t>M20X420</t>
  </si>
  <si>
    <t>KOMPONEN BAILEY KAB.BOGOR</t>
  </si>
  <si>
    <t>DINAS PUPR KAB. BOGOR</t>
  </si>
  <si>
    <t>Dikirim ke Site</t>
  </si>
  <si>
    <t>M20X140</t>
  </si>
  <si>
    <t>ASAP</t>
  </si>
  <si>
    <t>JG105 - PIPA</t>
  </si>
  <si>
    <t>RFD</t>
  </si>
  <si>
    <t>JG105-PIN1</t>
  </si>
  <si>
    <t>JG105-PIN2</t>
  </si>
  <si>
    <t>Struktur Trestle</t>
  </si>
  <si>
    <t>PIN2 + PIN3</t>
  </si>
  <si>
    <t>PIN80*317</t>
  </si>
  <si>
    <t>AS PIN SUPPORT TRESTLE</t>
  </si>
  <si>
    <t>PANEL BAILEY 1X42 DSR2-EW</t>
  </si>
  <si>
    <t>M24X65</t>
  </si>
  <si>
    <t>M10X40</t>
  </si>
  <si>
    <t>STRUKTUR TRESTLE</t>
  </si>
  <si>
    <t>PANEL BAILEY 1X42 DSR2-EW (*HH*)</t>
  </si>
  <si>
    <t>JEMBATAN PANCOKANG/ 944</t>
  </si>
  <si>
    <t>PT. FREYSSINET TOTAL TECHNOLOGY</t>
  </si>
  <si>
    <t>W-495A-02</t>
  </si>
  <si>
    <t>BASEPLATE FOR LRB</t>
  </si>
  <si>
    <t>UNTEK</t>
  </si>
  <si>
    <t>KAKADA</t>
  </si>
  <si>
    <t>JG105-NUT1</t>
  </si>
  <si>
    <t>JG105-RB3</t>
  </si>
  <si>
    <t>JG105-RB27</t>
  </si>
  <si>
    <t>RING PLATE BAJA</t>
  </si>
  <si>
    <t>JG105-RL1</t>
  </si>
  <si>
    <t>JG105-RL2</t>
  </si>
  <si>
    <t>NUT-M38</t>
  </si>
  <si>
    <t>RING PLATE BAJA 5MM</t>
  </si>
  <si>
    <t>NUT_M16</t>
  </si>
  <si>
    <t>D60</t>
  </si>
  <si>
    <t>D32</t>
  </si>
  <si>
    <t>D16</t>
  </si>
  <si>
    <t>ROD38</t>
  </si>
  <si>
    <t>ROD30</t>
  </si>
  <si>
    <t>ROD50</t>
  </si>
  <si>
    <t>D140</t>
  </si>
  <si>
    <t>NUT_M38</t>
  </si>
  <si>
    <t>RING M38</t>
  </si>
  <si>
    <t>MUR M16</t>
  </si>
  <si>
    <t>AS D16</t>
  </si>
  <si>
    <t>AS D38</t>
  </si>
  <si>
    <t>MUR M38</t>
  </si>
  <si>
    <t>AS ROLLER</t>
  </si>
  <si>
    <t>ANGKUR TRESTLE</t>
  </si>
  <si>
    <t>List Revisi ke2 menambahkan material fabrikasi yang awalnya di masining</t>
  </si>
  <si>
    <t>ENIFA INDO JAYA</t>
  </si>
  <si>
    <t>PIN CLAMP HANGER</t>
  </si>
  <si>
    <t>JG105-PIN24</t>
  </si>
  <si>
    <t>D24*85</t>
  </si>
  <si>
    <t>M24X50</t>
  </si>
  <si>
    <t>M20X45</t>
  </si>
  <si>
    <t>M16X160</t>
  </si>
  <si>
    <t>M16X55</t>
  </si>
  <si>
    <t>M16X40</t>
  </si>
  <si>
    <t>M16X35</t>
  </si>
  <si>
    <t>M12X35</t>
  </si>
  <si>
    <t>M12X30</t>
  </si>
  <si>
    <t>M10X25</t>
  </si>
  <si>
    <t>M6X20</t>
  </si>
  <si>
    <t>LRB1-PCK &amp; LRB2-PCK</t>
  </si>
  <si>
    <t>12 SSR-EW</t>
  </si>
  <si>
    <t>Pembangunan Jalan dan Jembatan Ruas Saketa – Dehepodo (MY)</t>
  </si>
  <si>
    <t>PT. HIJRAH NUSATAMA</t>
  </si>
  <si>
    <t>15 SSR-EW</t>
  </si>
  <si>
    <t>21 SSR-EW</t>
  </si>
  <si>
    <t>W-504A</t>
  </si>
  <si>
    <t>W-504B</t>
  </si>
  <si>
    <t>W-504C</t>
  </si>
  <si>
    <t>Progress
(%)</t>
  </si>
  <si>
    <t>No. PO</t>
  </si>
  <si>
    <t>Wire lock di supply oleh DHJ</t>
  </si>
  <si>
    <t>Wirelock di fabrikasi oleh DHJ</t>
  </si>
  <si>
    <t>W-496-A</t>
  </si>
  <si>
    <t>MAKASSAR NEW PORT/ 928</t>
  </si>
  <si>
    <t>W-507</t>
  </si>
  <si>
    <t>30 DSR2-EW</t>
  </si>
  <si>
    <t>Pengadaan Jembatan Ruas Jalan Tering - Ujoh Bilang - Long Bagun - Long Pahangai</t>
  </si>
  <si>
    <t>Total 
(pcs)</t>
  </si>
  <si>
    <t>DINAS PEKERJAAN UMUM, PENATAAN RUANG DAN PERUMAHAN RAKYAT PROVINSI KALIMANTAN TIMUR</t>
  </si>
  <si>
    <t>STKJ19</t>
  </si>
  <si>
    <t>Berat Packing</t>
  </si>
  <si>
    <t>Harga Satuan
(Rp)</t>
  </si>
  <si>
    <t>Total Tagihan
(Rp)</t>
  </si>
  <si>
    <t>BY DHJ</t>
  </si>
  <si>
    <t>KETERANGAN</t>
  </si>
  <si>
    <t>Keterangan2</t>
  </si>
  <si>
    <t>UNIT I</t>
  </si>
  <si>
    <t>UNIT II</t>
  </si>
  <si>
    <t>UNIT III</t>
  </si>
  <si>
    <t>Tanggal Penagihan ke P. AGUS</t>
  </si>
  <si>
    <t>W-494</t>
  </si>
  <si>
    <t>FENCING SHELTER &amp; STAIRCASES</t>
  </si>
  <si>
    <t>FENCING</t>
  </si>
  <si>
    <t>PT. PETROSEA TBK  (PTRO - NHM SERVICE)</t>
  </si>
  <si>
    <t>W-489A</t>
  </si>
  <si>
    <t>SHIM PLATE TEBAL 3MM</t>
  </si>
  <si>
    <t>W-489B</t>
  </si>
  <si>
    <t>YOGYA BAWEN/ 909</t>
  </si>
  <si>
    <t>W-509</t>
  </si>
  <si>
    <t>Truss Modullar</t>
  </si>
  <si>
    <t>RB40</t>
  </si>
  <si>
    <t>AMAR - SEJAHTERA KSO</t>
  </si>
  <si>
    <t>STJ12</t>
  </si>
  <si>
    <t>TRESTLE</t>
  </si>
  <si>
    <t>Tanggal Penagihan ke 
WGJ</t>
  </si>
  <si>
    <t>STATUS
PENAGIHAN</t>
  </si>
  <si>
    <t>CONSUMABLE PACKING</t>
  </si>
  <si>
    <t>Deskripsi Consumable</t>
  </si>
  <si>
    <t>Total Belanja</t>
  </si>
  <si>
    <t>Tanggal 
Pengajuan</t>
  </si>
  <si>
    <t>Pembelian Pilox</t>
  </si>
  <si>
    <t>KEBUTUHAN UNIT II</t>
  </si>
  <si>
    <t>Pembelian Drum</t>
  </si>
  <si>
    <t>Pembelian Balok</t>
  </si>
  <si>
    <t>MARET</t>
  </si>
  <si>
    <t>TYPICAL DESIGN W-423</t>
  </si>
  <si>
    <t>RB40-EB1</t>
  </si>
  <si>
    <t>RB40-EB2</t>
  </si>
  <si>
    <t>RB40-EB3</t>
  </si>
  <si>
    <t>PL68*450*450</t>
  </si>
  <si>
    <t>PL45*300*300</t>
  </si>
  <si>
    <t>PL20*200*200</t>
  </si>
  <si>
    <t>M32X850</t>
  </si>
  <si>
    <t>RB40-PD1</t>
  </si>
  <si>
    <t>RB40-PD2</t>
  </si>
  <si>
    <t>RB40-PD3</t>
  </si>
  <si>
    <t>RB40-PD4</t>
  </si>
  <si>
    <t>PL1*1124*1270</t>
  </si>
  <si>
    <t>PL1*1081*1270</t>
  </si>
  <si>
    <t>PL1*1124*1256</t>
  </si>
  <si>
    <t>PL1*1081*1256</t>
  </si>
  <si>
    <t>M20X90</t>
  </si>
  <si>
    <t>M20X80</t>
  </si>
  <si>
    <t>M20X65</t>
  </si>
  <si>
    <t>M12X60</t>
  </si>
  <si>
    <t>42 DSR2-EW (U120)</t>
  </si>
  <si>
    <t>W-512A</t>
  </si>
  <si>
    <t xml:space="preserve">Paket Pekerjaan Pembangunan Jembatan Sei. Paluq – Mahakam Hulu </t>
  </si>
  <si>
    <t xml:space="preserve"> PT. JALADARA SUMBER LESTARI</t>
  </si>
  <si>
    <t>STKJ20</t>
  </si>
  <si>
    <t>W-512B</t>
  </si>
  <si>
    <t>45 DSR2H**-EW (U120)</t>
  </si>
  <si>
    <t>Total Berat Baut
(Kg)</t>
  </si>
  <si>
    <t>Total Berat
Aksesories
(Kg)</t>
  </si>
  <si>
    <t>M20 x 90</t>
  </si>
  <si>
    <t>M20 x 80</t>
  </si>
  <si>
    <t>F10T</t>
  </si>
  <si>
    <t>TAHUN</t>
  </si>
  <si>
    <t>W-496-B</t>
  </si>
  <si>
    <t>UPDATE</t>
  </si>
  <si>
    <t>W-493</t>
  </si>
  <si>
    <t>PIPE RACK</t>
  </si>
  <si>
    <t>AB-M22-300</t>
  </si>
  <si>
    <t>ANGKUR BOLT</t>
  </si>
  <si>
    <t>Paket Pekerjaan PENGGANTIAN JEMBATAN SAGITSI, CS pada PELAKSANAAN JALAN NASIONAL WILAYAH I PROVINSI SUMBAR</t>
  </si>
  <si>
    <t>W-506A</t>
  </si>
  <si>
    <t>PT. ALBARKA ABDUL AZIZ</t>
  </si>
  <si>
    <t>Pembangunan Jalan dan Jembatan Ruas Gane Luar - Rangaranga (MY)</t>
  </si>
  <si>
    <t>W-506B</t>
  </si>
  <si>
    <t>W-506C</t>
  </si>
  <si>
    <t>W-506D</t>
  </si>
  <si>
    <t>33 DSR2H*-EW (U120)</t>
  </si>
  <si>
    <t>LUNAS</t>
  </si>
  <si>
    <t>W-512C</t>
  </si>
  <si>
    <t>BEAM TRESTLE</t>
  </si>
  <si>
    <t>TRESTLE BEAM</t>
  </si>
  <si>
    <t>PIN2</t>
  </si>
  <si>
    <t>PIN3</t>
  </si>
  <si>
    <t>TF1</t>
  </si>
  <si>
    <t>ROD76</t>
  </si>
  <si>
    <t>TF10*250</t>
  </si>
  <si>
    <t>PIN 60*317</t>
  </si>
  <si>
    <t>BEAM TRESTLE 1X42 &amp; 1X45</t>
  </si>
  <si>
    <t>Type</t>
  </si>
  <si>
    <t>Tanggal Pencairan</t>
  </si>
  <si>
    <t>Tanggal Pengiriman 
Data ke Soleh</t>
  </si>
  <si>
    <t>Harga ke Tim Trial
(Rp)</t>
  </si>
  <si>
    <t>Total Harga
(Rp)</t>
  </si>
  <si>
    <t>Berat
(Kg)</t>
  </si>
  <si>
    <t>W507</t>
  </si>
  <si>
    <t>W504</t>
  </si>
  <si>
    <t>12 DSR2-EW</t>
  </si>
  <si>
    <t>W503</t>
  </si>
  <si>
    <t>33 SSR_SS400</t>
  </si>
  <si>
    <t>W500</t>
  </si>
  <si>
    <t>1X42 DSR2</t>
  </si>
  <si>
    <t>W512</t>
  </si>
  <si>
    <t>Harga ke DHJ</t>
  </si>
  <si>
    <t>Total Harga DHJ
(Rp)</t>
  </si>
  <si>
    <t>REKAP TRIAL PANEL BAILEY 2023</t>
  </si>
  <si>
    <t>APRIL</t>
  </si>
  <si>
    <t>Tanggal Pengiriman 
Invoice</t>
  </si>
  <si>
    <t>No. Invoice</t>
  </si>
  <si>
    <t>1x18 SSR</t>
  </si>
  <si>
    <t>W506</t>
  </si>
  <si>
    <t>Status
Ke Tim Trial</t>
  </si>
  <si>
    <t>Status Ke DHJ</t>
  </si>
  <si>
    <t>OK</t>
  </si>
  <si>
    <t>W-514</t>
  </si>
  <si>
    <t>CG30</t>
  </si>
  <si>
    <t>Pembangunan Jembatan Muara Danau</t>
  </si>
  <si>
    <t>CV. BROTHER’S MONTY</t>
  </si>
  <si>
    <t>Fabrikasi mengganti proyek W499 yang terpakai</t>
  </si>
  <si>
    <t>PL0.75*1452</t>
  </si>
  <si>
    <t>GC30-PD1</t>
  </si>
  <si>
    <t>GC30-PD2</t>
  </si>
  <si>
    <t>GC30-PD3</t>
  </si>
  <si>
    <t>PENGAMBILAN UNIT DARI W499 (A30)</t>
  </si>
  <si>
    <t>W-513</t>
  </si>
  <si>
    <t>Pengadaan Jembatan Rangka Baja Panel Darurat</t>
  </si>
  <si>
    <t>Dinas Pekerjaan Umum, Penataan Ruang, Perumahan dan Kawasan Permukiman Provinsi Gorontalo</t>
  </si>
  <si>
    <t>W513</t>
  </si>
  <si>
    <t>STKJ21</t>
  </si>
  <si>
    <t>Qty</t>
  </si>
  <si>
    <t>24 DSR2-EW</t>
  </si>
  <si>
    <t>21 DS-EW</t>
  </si>
  <si>
    <t>18 DSR1-EW</t>
  </si>
  <si>
    <t>W-506E</t>
  </si>
  <si>
    <t>PERUBAHAN TYPE DAN BENTANG</t>
  </si>
  <si>
    <t>1x18 SSR-EW</t>
  </si>
  <si>
    <t>No</t>
  </si>
  <si>
    <t>PON</t>
  </si>
  <si>
    <t>Berat JO</t>
  </si>
  <si>
    <t>Trial Data</t>
  </si>
  <si>
    <t>Berat Jembatan 
(Kg)</t>
  </si>
  <si>
    <t>Tanggal Pengambilan 
Invoice</t>
  </si>
  <si>
    <t>No Invoice</t>
  </si>
  <si>
    <t>Berat Invoice Total
(Kg)</t>
  </si>
  <si>
    <t>Total Invoice</t>
  </si>
  <si>
    <t>Sisa Invoice</t>
  </si>
  <si>
    <t>Total Sudah 
di Trial</t>
  </si>
  <si>
    <t>Check</t>
  </si>
  <si>
    <t>STKJ 17</t>
  </si>
  <si>
    <t>W-507 - 02/03/2023</t>
  </si>
  <si>
    <t>02163/AGUSWAN/INVOICE/III/2023</t>
  </si>
  <si>
    <t>STKJ 18</t>
  </si>
  <si>
    <t>02164/AGUSWAN/INVOICE/III/2023</t>
  </si>
  <si>
    <t>02165/AGUSWAN/INVOICE/III/2023</t>
  </si>
  <si>
    <t>02166/AGUSWAN/INVOICE/III/2023</t>
  </si>
  <si>
    <t>02167/AGUSWAN/INVOICE/III/2023</t>
  </si>
  <si>
    <t>02168/AGUSWAN/INVOICE/III/2023</t>
  </si>
  <si>
    <t>02169/AGUSWAN/INVOICE/III/2023</t>
  </si>
  <si>
    <t>02170/AGUSWAN/INVOICE/III/2023</t>
  </si>
  <si>
    <t>02171/AGUSWAN/INVOICE/III/2023</t>
  </si>
  <si>
    <t>STKJ 19</t>
  </si>
  <si>
    <t>W-512 - 05/04/2023</t>
  </si>
  <si>
    <t>02172/AGUSWAN/INVOICE/III/2023</t>
  </si>
  <si>
    <t>02173/AGUSWAN/INVOICE/III/2023</t>
  </si>
  <si>
    <t>02174/AGUSWAN/INVOICE/III/2023</t>
  </si>
  <si>
    <t>02175/AGUSWAN/INVOICE/III/2023</t>
  </si>
  <si>
    <t>02176/AGUSWAN/INVOICE/III/2023</t>
  </si>
  <si>
    <t>KG</t>
  </si>
  <si>
    <t>1x24 DSR2-EW</t>
  </si>
  <si>
    <t>Type Jembatan</t>
  </si>
  <si>
    <t>1x24 DSR2-EW_UNIT II</t>
  </si>
  <si>
    <t>1X18 DS (TANPA LANTAI)</t>
  </si>
  <si>
    <t>1x18 DS-EW (TL)</t>
  </si>
  <si>
    <t>Pembelian Pylox</t>
  </si>
  <si>
    <t>MEI</t>
  </si>
  <si>
    <t>W-506 - 15/05/2023</t>
  </si>
  <si>
    <t>W-506 - 11/05/2023</t>
  </si>
  <si>
    <t>1X21 DS-EW</t>
  </si>
  <si>
    <t>02177/AGUSWAN/INVOICE/V/2023</t>
  </si>
  <si>
    <t>02178/AGUSWAN/INVOICE/V/2023</t>
  </si>
  <si>
    <t>1x21 DS-EW</t>
  </si>
  <si>
    <t>36 DSR2-EW</t>
  </si>
  <si>
    <t>Pengadaan Panel Bailey JATIM</t>
  </si>
  <si>
    <t>DINAS PUPR PROV. JATIM</t>
  </si>
  <si>
    <t>W-516A</t>
  </si>
  <si>
    <t>1x33 DSR2H*-EW</t>
  </si>
  <si>
    <t>1X36 DSR2-EW</t>
  </si>
  <si>
    <t>W516</t>
  </si>
  <si>
    <t>W-516B</t>
  </si>
  <si>
    <t>STKJ22</t>
  </si>
  <si>
    <t>W-516C</t>
  </si>
  <si>
    <t>45 TSR2 - EW</t>
  </si>
  <si>
    <t>48.6X220</t>
  </si>
  <si>
    <t>W-515</t>
  </si>
  <si>
    <t>Lanjutan Pembangunan Jembatan Ranto Panyang</t>
  </si>
  <si>
    <t>DINAS PEKERJAAN UMUM DAN PENATAAN RUANG ACEH JAYA</t>
  </si>
  <si>
    <t>W-511</t>
  </si>
  <si>
    <t>BG22</t>
  </si>
  <si>
    <t>Pembangunan Jembatan Sungai Mesat Indah Kota Lubuklinggau</t>
  </si>
  <si>
    <t>CV. RAYHAN ADITYA</t>
  </si>
  <si>
    <t>BG22-EB1</t>
  </si>
  <si>
    <t>BG22-EB2</t>
  </si>
  <si>
    <t>Bearing 50*300*250</t>
  </si>
  <si>
    <t>GB22-PD1</t>
  </si>
  <si>
    <t>GB22-PD2</t>
  </si>
  <si>
    <t>GB22-PD3</t>
  </si>
  <si>
    <t>PL1*1450</t>
  </si>
  <si>
    <t>B/N/2WP - HDG (F35)</t>
  </si>
  <si>
    <t>W-517</t>
  </si>
  <si>
    <t>W-518A</t>
  </si>
  <si>
    <t>Pembangunan Jalan dan Jembatan Ruas Wai Ina - Malbufa (MY)</t>
  </si>
  <si>
    <t>W-518B</t>
  </si>
  <si>
    <t>24 SSR-EW</t>
  </si>
  <si>
    <t>W-518C</t>
  </si>
  <si>
    <t>27 DSR2-EW</t>
  </si>
  <si>
    <t>W-506 - 19/05/2023</t>
  </si>
  <si>
    <t>1X33 DSR2H*-EW</t>
  </si>
  <si>
    <t>02181/AGUSWAN/INVOICE/V/2023</t>
  </si>
  <si>
    <t>02180/AGUSWAN/INVOICE/V/2023</t>
  </si>
  <si>
    <t>W-516 - 25/05/2023</t>
  </si>
  <si>
    <t>1X36 DSR2 - EW</t>
  </si>
  <si>
    <t>02182/AGUSWAN/INVOICE/V/2023</t>
  </si>
  <si>
    <t>1X21 SSR-EW</t>
  </si>
  <si>
    <t>MATERIAL YANG SUDAH DI TRIAL</t>
  </si>
  <si>
    <t>Kg</t>
  </si>
  <si>
    <t xml:space="preserve">Update </t>
  </si>
  <si>
    <t>JUNI</t>
  </si>
  <si>
    <t>1x45 DSR2H*-EW</t>
  </si>
  <si>
    <t>02183/AGUSWAN/INVOICE/V/2023</t>
  </si>
  <si>
    <t>W-512 - 05/06/2023</t>
  </si>
  <si>
    <t>1X45 DSR2H*EW</t>
  </si>
  <si>
    <t>STKJ18-22</t>
  </si>
  <si>
    <t>SISA YANG BELUM DI TRIAL STKJ18-22</t>
  </si>
  <si>
    <t>Girder Spesial</t>
  </si>
  <si>
    <t>GD14</t>
  </si>
  <si>
    <t>W-520A</t>
  </si>
  <si>
    <t>GIRDER KARYAMAS</t>
  </si>
  <si>
    <t>GD14-EB1</t>
  </si>
  <si>
    <t>Bearing 30*300*400</t>
  </si>
  <si>
    <t>M19X76</t>
  </si>
  <si>
    <t>M19X69</t>
  </si>
  <si>
    <t>M15X63</t>
  </si>
  <si>
    <t>M15X57</t>
  </si>
  <si>
    <t>M12X50</t>
  </si>
  <si>
    <t>M12X45</t>
  </si>
  <si>
    <t>W-520B</t>
  </si>
  <si>
    <t>GD16</t>
  </si>
  <si>
    <t>GD16-EB1</t>
  </si>
  <si>
    <t>W-520C</t>
  </si>
  <si>
    <t>GD18</t>
  </si>
  <si>
    <t>GD18-EB1</t>
  </si>
  <si>
    <t>M12X44</t>
  </si>
  <si>
    <t>M12X38</t>
  </si>
  <si>
    <t>W-520D</t>
  </si>
  <si>
    <t>GD20</t>
  </si>
  <si>
    <t>W-521</t>
  </si>
  <si>
    <t>CV. PERMATA LINGGO JAYA</t>
  </si>
  <si>
    <t>BG25</t>
  </si>
  <si>
    <t>BG25-EB1</t>
  </si>
  <si>
    <t>BG25-EB2</t>
  </si>
  <si>
    <t>GB25-PD1</t>
  </si>
  <si>
    <t>GB25-PD2</t>
  </si>
  <si>
    <t>GB25-PD3</t>
  </si>
  <si>
    <t>Bearing 50*350*300</t>
  </si>
  <si>
    <t>W-522</t>
  </si>
  <si>
    <t>KOMPONEN STRINGGER</t>
  </si>
  <si>
    <t>PT. PUTRA ANANDA</t>
  </si>
  <si>
    <t>Pembangunan Jembatan Jl. Antara Desa Putri Sembilan, Kecamatan Rupat Utara</t>
  </si>
  <si>
    <t>PROYEK MANADO</t>
  </si>
  <si>
    <t>TBA</t>
  </si>
  <si>
    <t>W-523</t>
  </si>
  <si>
    <t>PT. PANCONA KATARABUMI</t>
  </si>
  <si>
    <t>PEMBAGUNAN JALAN DAN JEMBATAN RUAS WASILE-LABI-LABI (MY)</t>
  </si>
  <si>
    <t>GB25-PD4</t>
  </si>
  <si>
    <t>W-524</t>
  </si>
  <si>
    <t>WELDED BEAM</t>
  </si>
  <si>
    <t>WB BEAM</t>
  </si>
  <si>
    <t>XXXX</t>
  </si>
  <si>
    <t>CV. SETU KANAKA</t>
  </si>
  <si>
    <t>XXX</t>
  </si>
  <si>
    <t>W-525</t>
  </si>
  <si>
    <t>CV. CITRA DWI PRATAMA</t>
  </si>
  <si>
    <t>Pembangunan Jembatan Mersam, Kab. Batanghari</t>
  </si>
  <si>
    <t>BG30</t>
  </si>
  <si>
    <t>W-526</t>
  </si>
  <si>
    <t>CV. KARYA MENTAWAI</t>
  </si>
  <si>
    <t>PEMBAGUNAN REKONSTRUKSI JEMBATAN PINJAUAN KECAMATAN SUNGAI LIMAU</t>
  </si>
  <si>
    <r>
      <t>W-504</t>
    </r>
    <r>
      <rPr>
        <b/>
        <sz val="10"/>
        <color theme="0" tint="-0.14999847407452621"/>
        <rFont val="Calibri"/>
        <family val="2"/>
        <scheme val="minor"/>
      </rPr>
      <t>A</t>
    </r>
  </si>
  <si>
    <r>
      <t>W-504</t>
    </r>
    <r>
      <rPr>
        <b/>
        <sz val="10"/>
        <color theme="0"/>
        <rFont val="Calibri"/>
        <family val="2"/>
        <scheme val="minor"/>
      </rPr>
      <t>B</t>
    </r>
  </si>
  <si>
    <r>
      <t>W-504</t>
    </r>
    <r>
      <rPr>
        <b/>
        <sz val="10"/>
        <color theme="0" tint="-0.14999847407452621"/>
        <rFont val="Calibri"/>
        <family val="2"/>
        <scheme val="minor"/>
      </rPr>
      <t>C</t>
    </r>
  </si>
  <si>
    <r>
      <t>W-512</t>
    </r>
    <r>
      <rPr>
        <b/>
        <sz val="10"/>
        <color theme="0" tint="-0.14999847407452621"/>
        <rFont val="Calibri"/>
        <family val="2"/>
        <scheme val="minor"/>
      </rPr>
      <t>A</t>
    </r>
  </si>
  <si>
    <r>
      <t>W-512</t>
    </r>
    <r>
      <rPr>
        <b/>
        <sz val="10"/>
        <color theme="0"/>
        <rFont val="Calibri"/>
        <family val="2"/>
        <scheme val="minor"/>
      </rPr>
      <t>B</t>
    </r>
  </si>
  <si>
    <r>
      <t>W-512</t>
    </r>
    <r>
      <rPr>
        <b/>
        <sz val="10"/>
        <color theme="0" tint="-0.14999847407452621"/>
        <rFont val="Calibri"/>
        <family val="2"/>
        <scheme val="minor"/>
      </rPr>
      <t>C</t>
    </r>
  </si>
  <si>
    <r>
      <t>W-520</t>
    </r>
    <r>
      <rPr>
        <b/>
        <sz val="10"/>
        <color theme="0"/>
        <rFont val="Calibri"/>
        <family val="2"/>
        <scheme val="minor"/>
      </rPr>
      <t>A</t>
    </r>
  </si>
  <si>
    <r>
      <t>W-520</t>
    </r>
    <r>
      <rPr>
        <b/>
        <sz val="10"/>
        <color theme="0" tint="-0.14999847407452621"/>
        <rFont val="Calibri"/>
        <family val="2"/>
        <scheme val="minor"/>
      </rPr>
      <t>B</t>
    </r>
  </si>
  <si>
    <r>
      <t>W-520</t>
    </r>
    <r>
      <rPr>
        <b/>
        <sz val="10"/>
        <color theme="0"/>
        <rFont val="Calibri"/>
        <family val="2"/>
        <scheme val="minor"/>
      </rPr>
      <t>C</t>
    </r>
  </si>
  <si>
    <r>
      <t>W-520</t>
    </r>
    <r>
      <rPr>
        <b/>
        <sz val="10"/>
        <color theme="0" tint="-0.14999847407452621"/>
        <rFont val="Calibri"/>
        <family val="2"/>
        <scheme val="minor"/>
      </rPr>
      <t>D</t>
    </r>
  </si>
  <si>
    <r>
      <t>W-506</t>
    </r>
    <r>
      <rPr>
        <b/>
        <sz val="10"/>
        <color theme="0" tint="-0.14999847407452621"/>
        <rFont val="Calibri"/>
        <family val="2"/>
        <scheme val="minor"/>
      </rPr>
      <t>A</t>
    </r>
  </si>
  <si>
    <r>
      <t>W-506</t>
    </r>
    <r>
      <rPr>
        <b/>
        <sz val="10"/>
        <color theme="0" tint="-0.14999847407452621"/>
        <rFont val="Calibri"/>
        <family val="2"/>
        <scheme val="minor"/>
      </rPr>
      <t>C</t>
    </r>
  </si>
  <si>
    <r>
      <t>W-506</t>
    </r>
    <r>
      <rPr>
        <b/>
        <sz val="10"/>
        <color theme="0" tint="-0.14999847407452621"/>
        <rFont val="Calibri"/>
        <family val="2"/>
        <scheme val="minor"/>
      </rPr>
      <t>E</t>
    </r>
  </si>
  <si>
    <r>
      <t>W-506</t>
    </r>
    <r>
      <rPr>
        <b/>
        <sz val="10"/>
        <color theme="0"/>
        <rFont val="Calibri"/>
        <family val="2"/>
        <scheme val="minor"/>
      </rPr>
      <t>B</t>
    </r>
  </si>
  <si>
    <r>
      <t>W-518</t>
    </r>
    <r>
      <rPr>
        <b/>
        <sz val="10"/>
        <color theme="0" tint="-0.14999847407452621"/>
        <rFont val="Calibri"/>
        <family val="2"/>
        <scheme val="minor"/>
      </rPr>
      <t>A</t>
    </r>
  </si>
  <si>
    <r>
      <t>W-518</t>
    </r>
    <r>
      <rPr>
        <b/>
        <sz val="10"/>
        <color theme="0"/>
        <rFont val="Calibri"/>
        <family val="2"/>
        <scheme val="minor"/>
      </rPr>
      <t>B</t>
    </r>
  </si>
  <si>
    <r>
      <t>W-518</t>
    </r>
    <r>
      <rPr>
        <b/>
        <sz val="10"/>
        <color theme="0" tint="-0.14999847407452621"/>
        <rFont val="Calibri"/>
        <family val="2"/>
        <scheme val="minor"/>
      </rPr>
      <t>C</t>
    </r>
  </si>
  <si>
    <r>
      <t>W-506</t>
    </r>
    <r>
      <rPr>
        <b/>
        <sz val="10"/>
        <color theme="0"/>
        <rFont val="Calibri"/>
        <family val="2"/>
        <scheme val="minor"/>
      </rPr>
      <t>D</t>
    </r>
  </si>
  <si>
    <t>CG30-EB1</t>
  </si>
  <si>
    <t>Bearing 41*350*330</t>
  </si>
  <si>
    <t>CG30-EB2</t>
  </si>
  <si>
    <t>GC30-PD4</t>
  </si>
  <si>
    <t>M24x90</t>
  </si>
  <si>
    <t>M24x70</t>
  </si>
  <si>
    <t>M20x60</t>
  </si>
  <si>
    <t>M20x55</t>
  </si>
  <si>
    <t>M20x50</t>
  </si>
  <si>
    <t>W-527</t>
  </si>
  <si>
    <t>BG35</t>
  </si>
  <si>
    <t>Penggantian Jembatan Sungai Pering (K.105), Kecamatan BTS Ulu</t>
  </si>
  <si>
    <t>CV. DAYANG</t>
  </si>
  <si>
    <t>W-528</t>
  </si>
  <si>
    <t>BG20</t>
  </si>
  <si>
    <t>Penggantian Jembatan Air Pelai, Kecamatan Muara Lakitan</t>
  </si>
  <si>
    <t>W- 518 - 30/05/2023</t>
  </si>
  <si>
    <t>W - 518 - 08/06/2023</t>
  </si>
  <si>
    <t>02186/AGUSWAN/INVOICE/V/2023</t>
  </si>
  <si>
    <t>02187/AGUSWAN/INVOICE/V/2023</t>
  </si>
  <si>
    <t>W - 516 - 20/06/2023</t>
  </si>
  <si>
    <t>1X30 DSR2-EW</t>
  </si>
  <si>
    <t>Grand Total</t>
  </si>
  <si>
    <t>GD20-EB1</t>
  </si>
  <si>
    <t>M19X83</t>
  </si>
  <si>
    <t>M19X70</t>
  </si>
  <si>
    <t>Panel Bailey</t>
  </si>
  <si>
    <t>W-529</t>
  </si>
  <si>
    <t>RB50</t>
  </si>
  <si>
    <t>PT. KEMUNING YONA PRATAMA</t>
  </si>
  <si>
    <t>Pembangunan Jembatan Batang Jujuan CS (Lanjutan), Kab. Solok Selatan</t>
  </si>
  <si>
    <t>BG30-EB1</t>
  </si>
  <si>
    <t>BG30-EB2</t>
  </si>
  <si>
    <t>RB50-EB1</t>
  </si>
  <si>
    <t>RB50-EB2</t>
  </si>
  <si>
    <t>RB50-EB3</t>
  </si>
  <si>
    <t>AB-M32-1000</t>
  </si>
  <si>
    <t>M32X1000</t>
  </si>
  <si>
    <t>RB50-PD1</t>
  </si>
  <si>
    <t>RB50-PD2</t>
  </si>
  <si>
    <t>RB50-PD3</t>
  </si>
  <si>
    <t>RB50-PD4</t>
  </si>
  <si>
    <t>PL1*1182</t>
  </si>
  <si>
    <t>PL1*1030</t>
  </si>
  <si>
    <t>Bearing 41*350*310</t>
  </si>
  <si>
    <t>M24X120</t>
  </si>
  <si>
    <t>W-531</t>
  </si>
  <si>
    <t>CG15_6 Line</t>
  </si>
  <si>
    <t xml:space="preserve">Preservasi Jalan Dalam Kota Balikpapan </t>
  </si>
  <si>
    <t>PT. NUSA BHAKTI ABADI</t>
  </si>
  <si>
    <t>W-532</t>
  </si>
  <si>
    <t>Pembangunan Jembatan Badong Ruas Jalan Kamolan - Klopoduwur Kec. Blora/ Banjarejo</t>
  </si>
  <si>
    <t>CV. GRAHA SENTOSA</t>
  </si>
  <si>
    <t>CG15-EB1</t>
  </si>
  <si>
    <t>Bearing 45*300*300</t>
  </si>
  <si>
    <t>Bearing 41*200*200</t>
  </si>
  <si>
    <t>Bearing 68*500*500</t>
  </si>
  <si>
    <t>Reff. W477</t>
  </si>
  <si>
    <t>Ex. W-483</t>
  </si>
  <si>
    <t>Bearing 50*350*310</t>
  </si>
  <si>
    <t>W-504 - 06/03/2023</t>
  </si>
  <si>
    <t>W-507 - 14/03/2023</t>
  </si>
  <si>
    <t>W-504 - 15/03/2023</t>
  </si>
  <si>
    <t>W-503 - 23/03/2023</t>
  </si>
  <si>
    <t>W-504 - 23/03/2023</t>
  </si>
  <si>
    <t>W-504 - 28/03/2023</t>
  </si>
  <si>
    <t>W-506 - 10/04/2023</t>
  </si>
  <si>
    <t>W-513 - 18/04/2023</t>
  </si>
  <si>
    <t>W-506 - 08/05/2023</t>
  </si>
  <si>
    <t>BG35-EB1</t>
  </si>
  <si>
    <t>BG35-EB2</t>
  </si>
  <si>
    <t>Bearing 45*350*330</t>
  </si>
  <si>
    <t>GB35-PD1</t>
  </si>
  <si>
    <t>GB35-PD2</t>
  </si>
  <si>
    <t>GB35-PD3</t>
  </si>
  <si>
    <t>BG20-EB1</t>
  </si>
  <si>
    <t>BG20-EB2</t>
  </si>
  <si>
    <t>GB20-PD1</t>
  </si>
  <si>
    <t>GB20-PD2</t>
  </si>
  <si>
    <t>GB20-PD3</t>
  </si>
  <si>
    <t>PL1*1255.6</t>
  </si>
  <si>
    <t>PL1*880.6</t>
  </si>
  <si>
    <t>PL1*872.4</t>
  </si>
  <si>
    <t>M20X100</t>
  </si>
  <si>
    <t>M16X60</t>
  </si>
  <si>
    <t>M25X101</t>
  </si>
  <si>
    <t>M25X88</t>
  </si>
  <si>
    <t>M19X57</t>
  </si>
  <si>
    <t>W-537</t>
  </si>
  <si>
    <t>30 SSR-EW</t>
  </si>
  <si>
    <t>PEMBANGUNAN JEMBATAN SUKAMAJU (PENGADAAN RANGKA BAILEY)</t>
  </si>
  <si>
    <t>DINAS BINA MARGA DAN PENATAAN RUANG PROVINSI SULAWESI TENGAH</t>
  </si>
  <si>
    <t>JULI</t>
  </si>
  <si>
    <t>02188/AGUSWAN/INVOICE/V/2023</t>
  </si>
  <si>
    <t>W - 518 - 23/06/2023</t>
  </si>
  <si>
    <t>1X24 SSR-EW</t>
  </si>
  <si>
    <t>W - 518 - 30/06/2023</t>
  </si>
  <si>
    <t>1X27 DSR2-EW</t>
  </si>
  <si>
    <t>02191/AGUSWAN/INVOICE/VII/2023</t>
  </si>
  <si>
    <t>02190/AGUSWAN/INVOICE/VI/2023</t>
  </si>
  <si>
    <t>02189/AGUSWAN/INVOICE/VI/2023</t>
  </si>
  <si>
    <t>W - 516 - 06/07/2023</t>
  </si>
  <si>
    <t>Ready di WS Setu</t>
  </si>
  <si>
    <t>Ready packing di CGI</t>
  </si>
  <si>
    <t>1 unit sudah terkirim 
1 unit Ready packing di CGI</t>
  </si>
  <si>
    <t>Issue</t>
  </si>
  <si>
    <t>W-516D</t>
  </si>
  <si>
    <t>RAMP PANEL BAILEY</t>
  </si>
  <si>
    <t>Progress</t>
  </si>
  <si>
    <t>STKJ23</t>
  </si>
  <si>
    <t>W-539</t>
  </si>
  <si>
    <t>SPECER MRT</t>
  </si>
  <si>
    <t>SPACER - MRT MONAS</t>
  </si>
  <si>
    <t>PT. NIPPON STEEL TRADING INDONESIA</t>
  </si>
  <si>
    <t>FIKRI ARAFAH</t>
  </si>
  <si>
    <t>M24X1160</t>
  </si>
  <si>
    <t>LONG BOLT</t>
  </si>
  <si>
    <t>ANCHOR BOLT</t>
  </si>
  <si>
    <t>M24X650</t>
  </si>
  <si>
    <t>W-540</t>
  </si>
  <si>
    <t>SUPPORT BEAM</t>
  </si>
  <si>
    <t>SB35</t>
  </si>
  <si>
    <t>REHABILITASI JEMBATAN RUAS BTS KOTA NABIRE-WANGGAR</t>
  </si>
  <si>
    <t>CV. NAHASE PUTRA</t>
  </si>
  <si>
    <t>NABIRE</t>
  </si>
  <si>
    <t>M20X500</t>
  </si>
  <si>
    <t>1"x5-1/2"</t>
  </si>
  <si>
    <t>1"x4-1/2"</t>
  </si>
  <si>
    <t>1"x3-3/4"</t>
  </si>
  <si>
    <t>7/8"x2-3/4"</t>
  </si>
  <si>
    <t>W-532A</t>
  </si>
  <si>
    <t>ORNAMEN PIPA</t>
  </si>
  <si>
    <t>GB30-ARCH</t>
  </si>
  <si>
    <t>W-536</t>
  </si>
  <si>
    <t>CV. FAJAR ASIA</t>
  </si>
  <si>
    <t>Pembangunan Jembatan Ba’basaratu</t>
  </si>
  <si>
    <t>18/07/2023</t>
  </si>
  <si>
    <t>W-370</t>
  </si>
  <si>
    <t>RB60-BU+LINKSET</t>
  </si>
  <si>
    <t>Pembangunan Jembatan Lemo Seberang – Desa Lemo, Kab. Barito Utara, Kalimantan
Tengah</t>
  </si>
  <si>
    <t>PT. MITRA BARITO LUMBUNG ENERGI</t>
  </si>
  <si>
    <t>BARITO UTARA</t>
  </si>
  <si>
    <t>LINKSET</t>
  </si>
  <si>
    <t>Pembelian Peti</t>
  </si>
  <si>
    <t>Pembelian Porstex</t>
  </si>
  <si>
    <t xml:space="preserve">Untuk Ramp </t>
  </si>
  <si>
    <t>W-541</t>
  </si>
  <si>
    <t>CG12</t>
  </si>
  <si>
    <t xml:space="preserve"> Pembangunan Jembatan Jalan Sentra Cabe Hiyung, Kab. Tapin, Kalimantan Selatan</t>
  </si>
  <si>
    <t>CV. AMANAH RAYA</t>
  </si>
  <si>
    <t>KALIMANTAN SELATAN</t>
  </si>
  <si>
    <t>31/08/2023</t>
  </si>
  <si>
    <t>Pembangunan Jembatan Gantung Sikan – Tumpung Laung, Kabupaten Barito Utara,
Kalimantan Tengah (TAHAP 1)</t>
  </si>
  <si>
    <t>PT. AGRABUDI KARYAMARGA</t>
  </si>
  <si>
    <t>KALIMANTAN TENGAH</t>
  </si>
  <si>
    <t>ANCHOR BOLT PYLON</t>
  </si>
  <si>
    <t>M40X1781</t>
  </si>
  <si>
    <t>Pembelian Plate Strapping</t>
  </si>
  <si>
    <t>W-538</t>
  </si>
  <si>
    <t>RB60</t>
  </si>
  <si>
    <t xml:space="preserve">Pembangunan Jembatan Cikanyayan </t>
  </si>
  <si>
    <t>CV. A G E M</t>
  </si>
  <si>
    <t>21/07/2023</t>
  </si>
  <si>
    <t>26/07/2023</t>
  </si>
  <si>
    <t>RB60-PD1</t>
  </si>
  <si>
    <t>RB60-PD2</t>
  </si>
  <si>
    <t>RB60-PD3</t>
  </si>
  <si>
    <t>RB60-PD4</t>
  </si>
  <si>
    <t>PL1*1111.5</t>
  </si>
  <si>
    <t>PL1*1081</t>
  </si>
  <si>
    <t>RB60-EB1</t>
  </si>
  <si>
    <t>RB60-EB2</t>
  </si>
  <si>
    <t>RB60-EB3</t>
  </si>
  <si>
    <t>PL41*250</t>
  </si>
  <si>
    <t>GC12-PD1</t>
  </si>
  <si>
    <t>GC12-PD2</t>
  </si>
  <si>
    <t>GC12-PD3</t>
  </si>
  <si>
    <t>GC12-EB1</t>
  </si>
  <si>
    <t>GC12-EB2</t>
  </si>
  <si>
    <t>W-534</t>
  </si>
  <si>
    <t>PENGGANTIAN JEMBATAN BOILAN II</t>
  </si>
  <si>
    <t>CV. MULIA RAYA</t>
  </si>
  <si>
    <t>Reff. W405</t>
  </si>
  <si>
    <t>GA20-PD1</t>
  </si>
  <si>
    <t>GA20-PD3</t>
  </si>
  <si>
    <t>GA20-PD4</t>
  </si>
  <si>
    <t>PL0.75*1460</t>
  </si>
  <si>
    <t>GA20-EB1</t>
  </si>
  <si>
    <t>GA20-EB2</t>
  </si>
  <si>
    <t>PL68*525*525</t>
  </si>
  <si>
    <t>PL45*350*350</t>
  </si>
  <si>
    <t>W-533</t>
  </si>
  <si>
    <t>JG120</t>
  </si>
  <si>
    <t xml:space="preserve">LANJUTAN JEMBATAN GANTUNG KALUKUBULA (STRUKTUR ATAS JEMBATAN), </t>
  </si>
  <si>
    <t>Harga Satuan
(Rp) WGJ</t>
  </si>
  <si>
    <t>Total Tagihan WGJ</t>
  </si>
  <si>
    <t>W-542#1</t>
  </si>
  <si>
    <t>W-542#2</t>
  </si>
  <si>
    <t>M30X120</t>
  </si>
  <si>
    <t>M24X110</t>
  </si>
  <si>
    <t>W-549</t>
  </si>
  <si>
    <t>CV. NANILY SEJATI</t>
  </si>
  <si>
    <t xml:space="preserve">Belanja Modal Rehabilitasi/ Rekonstruksi Pascabencana Jembatan Kususinofa </t>
  </si>
  <si>
    <t>MALUKU UTARA</t>
  </si>
  <si>
    <t>16/08/2023</t>
  </si>
  <si>
    <t>W-542#3</t>
  </si>
  <si>
    <t>SADDLE</t>
  </si>
  <si>
    <t>JG360-P79</t>
  </si>
  <si>
    <t>JG360-RD1</t>
  </si>
  <si>
    <t>ROD270</t>
  </si>
  <si>
    <t>ROD671</t>
  </si>
  <si>
    <t>W-550</t>
  </si>
  <si>
    <t>PT. Duta Tunggal Jaya</t>
  </si>
  <si>
    <t>Paket Pembangunan Jalan Ruas Jalan Kaporo – Capalulu</t>
  </si>
  <si>
    <t>W-535</t>
  </si>
  <si>
    <t>JG80</t>
  </si>
  <si>
    <t>Pembangunan Jembatan Gantung Desa Gandring</t>
  </si>
  <si>
    <t>CV. BATARA WALET</t>
  </si>
  <si>
    <t>23/09/2023</t>
  </si>
  <si>
    <t>W-545</t>
  </si>
  <si>
    <t>JG150</t>
  </si>
  <si>
    <t>PT DWI MULYO LESTARI</t>
  </si>
  <si>
    <t>PENANGANAN JEMBATAN KALIREGOYO</t>
  </si>
  <si>
    <t>REGOYO</t>
  </si>
  <si>
    <t>RGH-HG1</t>
  </si>
  <si>
    <t>M22X940</t>
  </si>
  <si>
    <t>RGR-AR1</t>
  </si>
  <si>
    <t>RGR-EB1</t>
  </si>
  <si>
    <t>RGR-EB2</t>
  </si>
  <si>
    <t>RGH-PIN24</t>
  </si>
  <si>
    <t>RGI-WIA1</t>
  </si>
  <si>
    <t>RGI-WIA2</t>
  </si>
  <si>
    <t>RGI-WIA3</t>
  </si>
  <si>
    <t>BGRIP-M16</t>
  </si>
  <si>
    <t>RGI-WM20</t>
  </si>
  <si>
    <t>RGI-WM38</t>
  </si>
  <si>
    <t>THIMBLE-M16</t>
  </si>
  <si>
    <t>ROD20</t>
  </si>
  <si>
    <t>PL23*250</t>
  </si>
  <si>
    <t>PL25*160</t>
  </si>
  <si>
    <t>D24</t>
  </si>
  <si>
    <t>PL13*16</t>
  </si>
  <si>
    <t>D20</t>
  </si>
  <si>
    <t>D38</t>
  </si>
  <si>
    <t>U24*15*2</t>
  </si>
  <si>
    <t>U40*30*2</t>
  </si>
  <si>
    <t>M16X65</t>
  </si>
  <si>
    <t>B/N/2WP - HDG (+F35)</t>
  </si>
  <si>
    <t>W-551</t>
  </si>
  <si>
    <t>AG40</t>
  </si>
  <si>
    <t>Pembangunan Jembatan Sungai Merah Kecamatan Mook Manaar Bulatn</t>
  </si>
  <si>
    <t>PT. PERANCIS NUR</t>
  </si>
  <si>
    <t>KUTAI BARAT</t>
  </si>
  <si>
    <t>W-552</t>
  </si>
  <si>
    <t>JPO</t>
  </si>
  <si>
    <t>JPO-48</t>
  </si>
  <si>
    <t>pembangunan Jembatan Jatimulya</t>
  </si>
  <si>
    <t>CV. DAHLIA INDAH</t>
  </si>
  <si>
    <t>24/09/2023</t>
  </si>
  <si>
    <t>W-554</t>
  </si>
  <si>
    <t>STRUKTUR PERKUATAN</t>
  </si>
  <si>
    <t>PERKUATAN JEMBATAN LEUWIRANJI</t>
  </si>
  <si>
    <t>DINAS PUPR KAB BOGOR</t>
  </si>
  <si>
    <t>KABUPATEN BOGOR</t>
  </si>
  <si>
    <t>GT120-AD1</t>
  </si>
  <si>
    <t>GT120-ARC1</t>
  </si>
  <si>
    <t>GT120-AT1</t>
  </si>
  <si>
    <t>GT120-HG1</t>
  </si>
  <si>
    <t>GT120-PIN1</t>
  </si>
  <si>
    <t>GT120-PIN2</t>
  </si>
  <si>
    <t>GT120-PIN24</t>
  </si>
  <si>
    <t>GT120-STW1</t>
  </si>
  <si>
    <t>GT120-RD1</t>
  </si>
  <si>
    <t>GT120-RL1</t>
  </si>
  <si>
    <t>ROD55</t>
  </si>
  <si>
    <t>ROD22</t>
  </si>
  <si>
    <t>D19</t>
  </si>
  <si>
    <t>D58</t>
  </si>
  <si>
    <t>D82</t>
  </si>
  <si>
    <t>PL140*220</t>
  </si>
  <si>
    <t>D180</t>
  </si>
  <si>
    <t>ROD77</t>
  </si>
  <si>
    <t>GT120-EB1</t>
  </si>
  <si>
    <t>GT120-KBU1</t>
  </si>
  <si>
    <t>GT120-KIA1</t>
  </si>
  <si>
    <t>GT120-KIA2</t>
  </si>
  <si>
    <t>GT120-KIA3</t>
  </si>
  <si>
    <t>GT120-KIA4</t>
  </si>
  <si>
    <t>GT120-KIA5</t>
  </si>
  <si>
    <t>GT120-KIA6</t>
  </si>
  <si>
    <t>GT120-KIA7</t>
  </si>
  <si>
    <t>GT120-KIA8</t>
  </si>
  <si>
    <t>GT120-KIA9</t>
  </si>
  <si>
    <t>GT120-KIA10</t>
  </si>
  <si>
    <t>GT120-KIA11</t>
  </si>
  <si>
    <t>TB-M20</t>
  </si>
  <si>
    <t>PL45*300</t>
  </si>
  <si>
    <t>D57</t>
  </si>
  <si>
    <t>PL6*12</t>
  </si>
  <si>
    <t>U24*15*1.5</t>
  </si>
  <si>
    <t>W-530</t>
  </si>
  <si>
    <t>JG154</t>
  </si>
  <si>
    <t>Pembangunan Jembatan Gantung Multifungsi Sungai Musi Desa Pelawe</t>
  </si>
  <si>
    <t>MUSI RAWAS</t>
  </si>
  <si>
    <t>G40-EB1</t>
  </si>
  <si>
    <t>G40-EB2</t>
  </si>
  <si>
    <t>PL60*460*460</t>
  </si>
  <si>
    <t>PL20*200*150</t>
  </si>
  <si>
    <t>M30X420</t>
  </si>
  <si>
    <t>G40-PD1</t>
  </si>
  <si>
    <t>G40-PD2</t>
  </si>
  <si>
    <t>PL0.75*1400*985</t>
  </si>
  <si>
    <t>PL0.75*1400*1256</t>
  </si>
  <si>
    <t>W-553</t>
  </si>
  <si>
    <t>PAKET BELANJA MODAL ALAT BANTU LAINNYA</t>
  </si>
  <si>
    <t>DINAS PUPR KAB. BOJONEGORO</t>
  </si>
  <si>
    <t>BOJONEGORO</t>
  </si>
  <si>
    <r>
      <t>W-520</t>
    </r>
    <r>
      <rPr>
        <sz val="11"/>
        <color theme="0"/>
        <rFont val="Calibri"/>
        <family val="2"/>
        <scheme val="minor"/>
      </rPr>
      <t>A</t>
    </r>
  </si>
  <si>
    <r>
      <t>W-520</t>
    </r>
    <r>
      <rPr>
        <sz val="11"/>
        <color theme="4" tint="0.79998168889431442"/>
        <rFont val="Calibri"/>
        <family val="2"/>
        <scheme val="minor"/>
      </rPr>
      <t>B</t>
    </r>
  </si>
  <si>
    <r>
      <t>W-520</t>
    </r>
    <r>
      <rPr>
        <sz val="11"/>
        <color theme="0"/>
        <rFont val="Calibri"/>
        <family val="2"/>
        <scheme val="minor"/>
      </rPr>
      <t>C</t>
    </r>
  </si>
  <si>
    <r>
      <t>W-520</t>
    </r>
    <r>
      <rPr>
        <sz val="11"/>
        <color theme="4" tint="0.79998168889431442"/>
        <rFont val="Calibri"/>
        <family val="2"/>
        <scheme val="minor"/>
      </rPr>
      <t>D</t>
    </r>
  </si>
  <si>
    <t>1 UNIT</t>
  </si>
  <si>
    <t>5 UNIT</t>
  </si>
  <si>
    <t>3 UNIT</t>
  </si>
  <si>
    <t>W-519</t>
  </si>
  <si>
    <t>39 DSR2H**-EW</t>
  </si>
  <si>
    <t xml:space="preserve">PT. Hapsari Nusantara Gemilang </t>
  </si>
  <si>
    <t>Paket Pembangunan Jalan dan Jembatan Ruas Ibu Kedi (MY)</t>
  </si>
  <si>
    <t>PERKUATAN</t>
  </si>
  <si>
    <t>AB-M20-600</t>
  </si>
  <si>
    <t>EB1</t>
  </si>
  <si>
    <t>EB2</t>
  </si>
  <si>
    <t>PL50*300*300</t>
  </si>
  <si>
    <t>PL50*450*450</t>
  </si>
  <si>
    <t>M24X70</t>
  </si>
  <si>
    <t>AB-M25-240</t>
  </si>
  <si>
    <t>G48-EB1</t>
  </si>
  <si>
    <t>ROD25</t>
  </si>
  <si>
    <t>PL50*300*250</t>
  </si>
  <si>
    <t>M10X65</t>
  </si>
  <si>
    <t>TOTAL UNIT</t>
  </si>
  <si>
    <t>TEFLON</t>
  </si>
  <si>
    <t>ASROLLER</t>
  </si>
  <si>
    <t>AS RODA</t>
  </si>
  <si>
    <t>HANGER</t>
  </si>
  <si>
    <t>Bolt PIN</t>
  </si>
  <si>
    <t>Wire Rope</t>
  </si>
  <si>
    <t>Boldogrip</t>
  </si>
  <si>
    <t>thimbles</t>
  </si>
  <si>
    <t xml:space="preserve">As Drat </t>
  </si>
  <si>
    <t>BLOCK RESIN</t>
  </si>
  <si>
    <t>TURNBUCKLE</t>
  </si>
  <si>
    <t>THIMBLES</t>
  </si>
  <si>
    <t>UNIT</t>
  </si>
  <si>
    <t>TOTAL KESELURUHAN</t>
  </si>
  <si>
    <t>W-546</t>
  </si>
  <si>
    <t>PPK PENANGANAN DARURAT KERUSAKAN JALAN DAN JEMBATAN DINAS PEKERJAAN UMUMBINA MARGA PROV.  JAWA TIMUR</t>
  </si>
  <si>
    <t>CV. Dwi Tunggal Sejati</t>
  </si>
  <si>
    <t>PL0.75*1255.6</t>
  </si>
  <si>
    <t>PL0.75*1270.2</t>
  </si>
  <si>
    <t>D22</t>
  </si>
  <si>
    <t>BGRIP-M22</t>
  </si>
  <si>
    <t>THIMBLE-M22</t>
  </si>
  <si>
    <t>Panjang</t>
  </si>
  <si>
    <t>2-1/2"</t>
  </si>
  <si>
    <t>Angkur Bearing</t>
  </si>
  <si>
    <t>W-557</t>
  </si>
  <si>
    <t xml:space="preserve">KEMENTERIAN PEKERJAAN UMUM DAN PERUMAHAN RAKYAT
PELAKSANAAN JALAN NASIONAL WILAYAH I PROVINSI SUMBAR </t>
  </si>
  <si>
    <t>KOMPONEN BAILEY EX - ENGLAND</t>
  </si>
  <si>
    <t>Ex. England</t>
  </si>
  <si>
    <t>sumatera barat</t>
  </si>
  <si>
    <t>WBEB-03A</t>
  </si>
  <si>
    <t>WBP-001A</t>
  </si>
  <si>
    <t>RB46.8*290</t>
  </si>
  <si>
    <t>RB46.8*200</t>
  </si>
  <si>
    <t>GT80-ABP1</t>
  </si>
  <si>
    <t>GT80-AD1</t>
  </si>
  <si>
    <t>GT80-HG21</t>
  </si>
  <si>
    <t>GT80-PIN2</t>
  </si>
  <si>
    <t>GT80-PIN24</t>
  </si>
  <si>
    <t>GT80-SD1</t>
  </si>
  <si>
    <t>GT80-STW1</t>
  </si>
  <si>
    <t>Angkur Pylon</t>
  </si>
  <si>
    <t>D50</t>
  </si>
  <si>
    <t>PL20*392</t>
  </si>
  <si>
    <t>PL130*200</t>
  </si>
  <si>
    <t>GT80-KBU1</t>
  </si>
  <si>
    <t>D52</t>
  </si>
  <si>
    <t>M24X85</t>
  </si>
  <si>
    <t>M16X70</t>
  </si>
  <si>
    <t>M10X30</t>
  </si>
  <si>
    <t>MH154-HG2</t>
  </si>
  <si>
    <t>SUM
Total</t>
  </si>
  <si>
    <t>Total Berat UNIT 
(KG)</t>
  </si>
  <si>
    <t>Buldogrip</t>
  </si>
  <si>
    <t>M16</t>
  </si>
  <si>
    <t>W-543</t>
  </si>
  <si>
    <t>GB30</t>
  </si>
  <si>
    <t>Paket Penggantian Jembatan Buti Ruas (Tabulo-Karangetan)</t>
  </si>
  <si>
    <t>CV. AYU JAYA</t>
  </si>
  <si>
    <t>GB30-PD1</t>
  </si>
  <si>
    <t>GB30-PD2</t>
  </si>
  <si>
    <t>PL0.8*1256.1</t>
  </si>
  <si>
    <t>PL0.8*886.7</t>
  </si>
  <si>
    <t>M24X80</t>
  </si>
  <si>
    <t>W-544</t>
  </si>
  <si>
    <t>9 SSR-EW</t>
  </si>
  <si>
    <t>Paket Pembangunan Jalan dan Jembatan Ruas Malifut – Ngoali -Tolabit,   Kab. Halmahera Utara</t>
  </si>
  <si>
    <t>PT. Eltis Anugerah Sejati</t>
  </si>
  <si>
    <t>W-558</t>
  </si>
  <si>
    <t>RB30</t>
  </si>
  <si>
    <t>Paket Pembangunan Jembatan Pada Ruas Kheli - Sp. Wulur Tahap II</t>
  </si>
  <si>
    <t>CV. CAHAYA KEHIDUPAN SEJAHTERA</t>
  </si>
  <si>
    <t>MALUKU BARAT</t>
  </si>
  <si>
    <t>W-548</t>
  </si>
  <si>
    <t>LRB</t>
  </si>
  <si>
    <t>PLATE LRB</t>
  </si>
  <si>
    <t>LRB PLATES - BSD</t>
  </si>
  <si>
    <t xml:space="preserve"> PT. FREYSSINET TOTAL TECHNOLOGY</t>
  </si>
  <si>
    <t>BSD</t>
  </si>
  <si>
    <t>AGUSTUS</t>
  </si>
  <si>
    <t>W-556</t>
  </si>
  <si>
    <t>Paket Perbaikan Jembatan Desa Budi Mulya, Kab. Tapin, Kalimantan Selatan</t>
  </si>
  <si>
    <t xml:space="preserve">CV. AMANAH RAYA </t>
  </si>
  <si>
    <t>CG12-EB1</t>
  </si>
  <si>
    <t>CG12-EB2</t>
  </si>
  <si>
    <t>Bearing 50*250*300</t>
  </si>
  <si>
    <t>PL0.8*875.8</t>
  </si>
  <si>
    <t>W-562</t>
  </si>
  <si>
    <t>Paket Peningkatan Jalan Arbais - Webro - Waim - Karfasia (3,80 Km)</t>
  </si>
  <si>
    <t>CV PUTRA ADIWIPI</t>
  </si>
  <si>
    <t>PAPUA</t>
  </si>
  <si>
    <t>TWR-H36</t>
  </si>
  <si>
    <t>TOWER H36 - TRIPOLE KETAPANG</t>
  </si>
  <si>
    <t>PT. ANTARIKSA INTI</t>
  </si>
  <si>
    <t>KALIMANTAN BARAT</t>
  </si>
  <si>
    <t>M38X1119</t>
  </si>
  <si>
    <t>M6X19</t>
  </si>
  <si>
    <t>M6X18</t>
  </si>
  <si>
    <t>TOWER</t>
  </si>
  <si>
    <t>W-561</t>
  </si>
  <si>
    <t>STKJ24</t>
  </si>
  <si>
    <t>Date Aktual Finish</t>
  </si>
  <si>
    <t>Date Aktual Delivery to Site</t>
  </si>
  <si>
    <t>Finish Fabrikasi</t>
  </si>
  <si>
    <t>REMINDER</t>
  </si>
  <si>
    <t>26/008/23</t>
  </si>
  <si>
    <t>Panel Bailey STOCK</t>
  </si>
  <si>
    <t>STOCK2022</t>
  </si>
  <si>
    <t>Marking Struktur</t>
  </si>
  <si>
    <t>Sum of Total Berat (Kg)</t>
  </si>
  <si>
    <t>Type  Struktur</t>
  </si>
  <si>
    <t>W-563</t>
  </si>
  <si>
    <t>Paket Pembangunan Jembatan Buah Seri Kec. Blangjerango, Kab Gayo Lues</t>
  </si>
  <si>
    <t>CV. PRIMA KONSTRUKSI</t>
  </si>
  <si>
    <t>ACEH JAYA</t>
  </si>
  <si>
    <t>Qty
 (Unit)</t>
  </si>
  <si>
    <t>Sum of Total Berat 
(Kg)</t>
  </si>
  <si>
    <t xml:space="preserve">ISSUE'S </t>
  </si>
  <si>
    <t>Status Pekerjaan</t>
  </si>
  <si>
    <t>INDOSPLICE</t>
  </si>
  <si>
    <t>W-555</t>
  </si>
  <si>
    <t>JG40_ASIMETRIS</t>
  </si>
  <si>
    <t>Pembangunan Jembatan Angsana</t>
  </si>
  <si>
    <t>CV. ALVIZ PRATAMA</t>
  </si>
  <si>
    <t>SERANG</t>
  </si>
  <si>
    <t>W-564</t>
  </si>
  <si>
    <t>Pembangunan Bangunan Atas Jembatan Rangka Baja Lubuk Belimbing I – Lubuk
Belimbing II, Kecamatan Sindang Beliti Ilir (BM2)</t>
  </si>
  <si>
    <t>CV. FINSA BERSAUDARA</t>
  </si>
  <si>
    <t>BENGKULU</t>
  </si>
  <si>
    <t>W-565</t>
  </si>
  <si>
    <t>Pengadaan Jembatan Darurat Bailey</t>
  </si>
  <si>
    <t>DINAS PERUMAHAN DAN PERMUKIMAN KABUPATEN JOMBANG</t>
  </si>
  <si>
    <t>JOMBANG</t>
  </si>
  <si>
    <t>STRUKTUR ATAP</t>
  </si>
  <si>
    <t>ATAP ASRAMA HAJI</t>
  </si>
  <si>
    <t>Pembangunan Gedung Asrama dan Aula pada Asrama Haji Transit Ternate</t>
  </si>
  <si>
    <t>TERNATE</t>
  </si>
  <si>
    <t>18 SSR - EW (LANTAI KAYU)</t>
  </si>
  <si>
    <t>Paket Pembangunan Jembatan Bailey</t>
  </si>
  <si>
    <t>PT. BERKAT SAMMY GUINERA</t>
  </si>
  <si>
    <t>24 SSR - EW (LANTAI KAYU)</t>
  </si>
  <si>
    <t>GT40-KBU1</t>
  </si>
  <si>
    <t>GT40-KBU2</t>
  </si>
  <si>
    <t>ROD16</t>
  </si>
  <si>
    <t>GT40-IA3</t>
  </si>
  <si>
    <t>GT40-IA2</t>
  </si>
  <si>
    <t>ROD10</t>
  </si>
  <si>
    <t>BGRIP-M10</t>
  </si>
  <si>
    <t>GT40-HG21</t>
  </si>
  <si>
    <t>ROD40</t>
  </si>
  <si>
    <t>GT40-PIN1</t>
  </si>
  <si>
    <t>GT40-PIN2</t>
  </si>
  <si>
    <t>D80</t>
  </si>
  <si>
    <t>GT40-SD1</t>
  </si>
  <si>
    <t>PL16*276</t>
  </si>
  <si>
    <t>GT40-STW1</t>
  </si>
  <si>
    <t>PL100*180</t>
  </si>
  <si>
    <t>GT40-THIMBLES</t>
  </si>
  <si>
    <t>THIMBLES M16</t>
  </si>
  <si>
    <t>GT40-AD1</t>
  </si>
  <si>
    <t>ROD44</t>
  </si>
  <si>
    <t>GT40-AB1</t>
  </si>
  <si>
    <t>Angkur Kollom</t>
  </si>
  <si>
    <t>GT40-AK1</t>
  </si>
  <si>
    <t>GT40-AK2</t>
  </si>
  <si>
    <t>GT40-AP1</t>
  </si>
  <si>
    <t>ROD24</t>
  </si>
  <si>
    <t>Year</t>
  </si>
  <si>
    <t>Category</t>
  </si>
  <si>
    <t>Product</t>
  </si>
  <si>
    <t>Sales</t>
  </si>
  <si>
    <t>Rating</t>
  </si>
  <si>
    <t>Components</t>
  </si>
  <si>
    <t>Chains</t>
  </si>
  <si>
    <t>Clothing</t>
  </si>
  <si>
    <t>Socks</t>
  </si>
  <si>
    <t>Bib-Shorts</t>
  </si>
  <si>
    <t>Shorts</t>
  </si>
  <si>
    <t>Tights</t>
  </si>
  <si>
    <t>Handlebars</t>
  </si>
  <si>
    <t>Brakes</t>
  </si>
  <si>
    <t>Bikes</t>
  </si>
  <si>
    <t>Mountain Bikes</t>
  </si>
  <si>
    <t>Accessories</t>
  </si>
  <si>
    <t>Helmets</t>
  </si>
  <si>
    <t>Lights</t>
  </si>
  <si>
    <t>Locks</t>
  </si>
  <si>
    <t>Bottom Brackets</t>
  </si>
  <si>
    <t>Jerseys</t>
  </si>
  <si>
    <t>Road Bikes</t>
  </si>
  <si>
    <t>Tires and Tubes</t>
  </si>
  <si>
    <t>Cargo Bike</t>
  </si>
  <si>
    <t>Bike Racks</t>
  </si>
  <si>
    <t>Caps</t>
  </si>
  <si>
    <t>Pumps</t>
  </si>
  <si>
    <t>Wheels</t>
  </si>
  <si>
    <t>Touring Bikes</t>
  </si>
  <si>
    <t>Vests</t>
  </si>
  <si>
    <t>Pedals</t>
  </si>
  <si>
    <t>Gloves</t>
  </si>
  <si>
    <t>Saddles</t>
  </si>
  <si>
    <t>W-559</t>
  </si>
  <si>
    <t>Pembangunan Jembatan Gantung Jila 80 M</t>
  </si>
  <si>
    <t>PT. LAMBU RAYA UTAMA</t>
  </si>
  <si>
    <t>JG80P-AB1</t>
  </si>
  <si>
    <t>JG80P-AB2</t>
  </si>
  <si>
    <t>JG80P-AD1</t>
  </si>
  <si>
    <t>JG80P-HG21</t>
  </si>
  <si>
    <t>JG80P-PIN1</t>
  </si>
  <si>
    <t>JG80P-PIN2</t>
  </si>
  <si>
    <t>JG80P-AS1</t>
  </si>
  <si>
    <t>JG80P-RD1</t>
  </si>
  <si>
    <t>JG80P-STW1</t>
  </si>
  <si>
    <t>PIN24</t>
  </si>
  <si>
    <t>RODA ROLLER</t>
  </si>
  <si>
    <t>ROD19</t>
  </si>
  <si>
    <t>D40</t>
  </si>
  <si>
    <t>BULDOGRIP-M5</t>
  </si>
  <si>
    <t>BULDOGRIP-M10</t>
  </si>
  <si>
    <t>JG80-IA1</t>
  </si>
  <si>
    <t>JG80-IA2</t>
  </si>
  <si>
    <t>JG80-IA3</t>
  </si>
  <si>
    <t>JG80-IA4</t>
  </si>
  <si>
    <t>JG80-IA5</t>
  </si>
  <si>
    <t>JG80-IA6</t>
  </si>
  <si>
    <t>JG80P-EB1</t>
  </si>
  <si>
    <t>JG80P-KBU1</t>
  </si>
  <si>
    <t>THIMBLES-M20</t>
  </si>
  <si>
    <t>U.BOLT_1.1/4 "- M10</t>
  </si>
  <si>
    <t>D10</t>
  </si>
  <si>
    <t>D42</t>
  </si>
  <si>
    <t>3/4"</t>
  </si>
  <si>
    <t>M20</t>
  </si>
  <si>
    <t>M10</t>
  </si>
  <si>
    <t>45*280*350</t>
  </si>
  <si>
    <t>M24X60</t>
  </si>
  <si>
    <t>M16X90</t>
  </si>
  <si>
    <t>W-565A</t>
  </si>
  <si>
    <t>RAMP Panel Bailey</t>
  </si>
  <si>
    <t>Paket Pembangunan Jembatan Kumur - Bebar Tahap II</t>
  </si>
  <si>
    <t>CV. CAKRAWALA INDAH</t>
  </si>
  <si>
    <t>MALUKU BARAT DAYA</t>
  </si>
  <si>
    <t>AB-M32-850</t>
  </si>
  <si>
    <t>Bearing 68*450</t>
  </si>
  <si>
    <t>Bearing 45*300</t>
  </si>
  <si>
    <t>Bearing 41*200</t>
  </si>
  <si>
    <t>W-569</t>
  </si>
  <si>
    <t>Bearing 68*500</t>
  </si>
  <si>
    <t>RB50-PD5</t>
  </si>
  <si>
    <t>RB50-PD6</t>
  </si>
  <si>
    <t>W-570</t>
  </si>
  <si>
    <t>Pembangunan Jembatan Dalka Tahap II</t>
  </si>
  <si>
    <t>CV. CONSTRUEREN OVERTROEVEN</t>
  </si>
  <si>
    <t>RB30-EB1</t>
  </si>
  <si>
    <t>RB30-EB2</t>
  </si>
  <si>
    <t>RB30-EB3</t>
  </si>
  <si>
    <t>Bearing 68*525</t>
  </si>
  <si>
    <t>Bearing 41*250</t>
  </si>
  <si>
    <t>RB30-PD1</t>
  </si>
  <si>
    <t>RB30-PD2</t>
  </si>
  <si>
    <t>RB30-PD3</t>
  </si>
  <si>
    <t>RB30-PD4</t>
  </si>
  <si>
    <t>Bearing 50*300</t>
  </si>
  <si>
    <t>Bearing 20*200</t>
  </si>
  <si>
    <t>W-566</t>
  </si>
  <si>
    <t>AG18.8</t>
  </si>
  <si>
    <t>Penggantian Jembatan Sei. Apung</t>
  </si>
  <si>
    <t>CV. DELIMA</t>
  </si>
  <si>
    <t>SUMATERA UTARA</t>
  </si>
  <si>
    <t>GA18-EB1</t>
  </si>
  <si>
    <t>GA18-EB2</t>
  </si>
  <si>
    <t>Bearing 50*350</t>
  </si>
  <si>
    <t>GA18-PD1</t>
  </si>
  <si>
    <t>GA18-PD2</t>
  </si>
  <si>
    <t>PL1*1050</t>
  </si>
  <si>
    <t>AB-M16-185</t>
  </si>
  <si>
    <t>AB-M25-420</t>
  </si>
  <si>
    <t>W-567</t>
  </si>
  <si>
    <t>W-568A</t>
  </si>
  <si>
    <t>W-568B</t>
  </si>
  <si>
    <t xml:space="preserve">N/A
</t>
  </si>
  <si>
    <t>JG360-PIN1</t>
  </si>
  <si>
    <t>JG360-PIN2</t>
  </si>
  <si>
    <t>JG360-PIN3</t>
  </si>
  <si>
    <t>JG360-PIN4</t>
  </si>
  <si>
    <t>JG360-WL1</t>
  </si>
  <si>
    <t>D100</t>
  </si>
  <si>
    <t>PL120*250</t>
  </si>
  <si>
    <t>SUPPLY LIST</t>
  </si>
  <si>
    <t>Column1</t>
  </si>
  <si>
    <t>W-572</t>
  </si>
  <si>
    <t>PT. INAI BONBO</t>
  </si>
  <si>
    <t>Paket Peningkatan Ruas Jalan Dormena - Ormu</t>
  </si>
  <si>
    <t>W-547</t>
  </si>
  <si>
    <t>6 SSR-SW</t>
  </si>
  <si>
    <t>CV. CAHAYA PRATAMA</t>
  </si>
  <si>
    <t>Paket Pembangunan Jembatan Bailey Wai Kaloa II  Ruas SP. Lintas Seram - Kaloa</t>
  </si>
  <si>
    <t>MALUKU TENGAH</t>
  </si>
  <si>
    <t>Jembatan Pendekat</t>
  </si>
  <si>
    <t>W-560A</t>
  </si>
  <si>
    <t>W-560B</t>
  </si>
  <si>
    <t>W-560C</t>
  </si>
  <si>
    <t>SPAN 11.87 M</t>
  </si>
  <si>
    <t>SPAN 14.20 M</t>
  </si>
  <si>
    <t>SPAN 22.82 M</t>
  </si>
  <si>
    <t>W-542</t>
  </si>
  <si>
    <t>JG360_TAHAP I</t>
  </si>
  <si>
    <t>Paket Pembangunan Jembatan Gantung Kelampai</t>
  </si>
  <si>
    <t>CV. PANEN CIPTA MANGGALA</t>
  </si>
  <si>
    <t>KALIMNATAN BARAT</t>
  </si>
  <si>
    <t>Row Labels</t>
  </si>
  <si>
    <t>PIVOT 1</t>
  </si>
  <si>
    <t>Count of Total Berat (Kg)</t>
  </si>
  <si>
    <t>CETAK &amp; DESIGN CALENDAR 2024</t>
  </si>
  <si>
    <t>Kalender Meja</t>
  </si>
  <si>
    <t>Deskripsi Product</t>
  </si>
  <si>
    <t xml:space="preserve">Dimensi </t>
  </si>
  <si>
    <t xml:space="preserve">Spesifikasi Bahan </t>
  </si>
  <si>
    <t>1 Set Kalender</t>
  </si>
  <si>
    <t>Harga 1 Kalender Meja</t>
  </si>
  <si>
    <t>Kalender Dinding</t>
  </si>
  <si>
    <t>* Jika Order dibawah 100 pcs up 20%</t>
  </si>
  <si>
    <t xml:space="preserve">Note </t>
  </si>
  <si>
    <t>W-571</t>
  </si>
  <si>
    <t>Pengadaan Alat Besar Jembatan Bailey</t>
  </si>
  <si>
    <t>DINAS PEKERJAAN UMUM DAN PENATAAN RUANG KAB. MUSI BANYUASIN</t>
  </si>
  <si>
    <t>MUSI BANYUASIN</t>
  </si>
  <si>
    <t>18 DSR2-EW</t>
  </si>
  <si>
    <t>W-573</t>
  </si>
  <si>
    <t>M16X899</t>
  </si>
  <si>
    <t>JP11-EB1</t>
  </si>
  <si>
    <t>Bearing 45*250*275</t>
  </si>
  <si>
    <t>JP-EB1</t>
  </si>
  <si>
    <t>JP22-EB1</t>
  </si>
  <si>
    <t>Bearing 45*250*280</t>
  </si>
  <si>
    <t>M16X100</t>
  </si>
  <si>
    <t>1 UNIT RELEASE. 1 UNIT RFD%</t>
  </si>
  <si>
    <t>18 SSR - EW</t>
  </si>
  <si>
    <t>PT. SEDERHANA JAYA ABADI</t>
  </si>
  <si>
    <t>Pembangunan Jalan dan Jembatan Ruas Maba - Sagea (MY)</t>
  </si>
  <si>
    <t>W-576A</t>
  </si>
  <si>
    <t>W-576B</t>
  </si>
  <si>
    <t>W-576 - PACKING</t>
  </si>
  <si>
    <t>PL1*1124</t>
  </si>
  <si>
    <t>W-574</t>
  </si>
  <si>
    <t>RC45+15</t>
  </si>
  <si>
    <t>PT. Karya Anugrah Sejati</t>
  </si>
  <si>
    <t>Penggantian Jembatan Gantung</t>
  </si>
  <si>
    <t>DEPOK</t>
  </si>
  <si>
    <t>AB-M24-420</t>
  </si>
  <si>
    <t>AB-M30-850</t>
  </si>
  <si>
    <t>AB-M40-850</t>
  </si>
  <si>
    <t>RC60-EB1</t>
  </si>
  <si>
    <t>RC60-EB2</t>
  </si>
  <si>
    <t>RC60-EB3</t>
  </si>
  <si>
    <t>RC60-EB4</t>
  </si>
  <si>
    <t>PL51*450</t>
  </si>
  <si>
    <t>PL 45*250</t>
  </si>
  <si>
    <t>PL51*400</t>
  </si>
  <si>
    <t>RC60-KT1</t>
  </si>
  <si>
    <t>RC60-KT2</t>
  </si>
  <si>
    <t>RC60-KT3</t>
  </si>
  <si>
    <t>RC60-KT4</t>
  </si>
  <si>
    <t>RC60-KT5</t>
  </si>
  <si>
    <t>RC60-PD1</t>
  </si>
  <si>
    <t>RC60-PD2</t>
  </si>
  <si>
    <t>RC60-PD3</t>
  </si>
  <si>
    <t>RC60-PD4</t>
  </si>
  <si>
    <t>RC60-PD5</t>
  </si>
  <si>
    <t>RC60-PD6</t>
  </si>
  <si>
    <t>RC60-PD7</t>
  </si>
  <si>
    <t>RC60-PD8</t>
  </si>
  <si>
    <t>RC60-PD9</t>
  </si>
  <si>
    <t>PL0.75*545</t>
  </si>
  <si>
    <t>PL0.75*1130</t>
  </si>
  <si>
    <t>PL0.75*1230</t>
  </si>
  <si>
    <t>M10X35</t>
  </si>
  <si>
    <t>ADDITIONAL IKATAN ANGIN</t>
  </si>
  <si>
    <t>W-575</t>
  </si>
  <si>
    <t>C43</t>
  </si>
  <si>
    <t>Penggantian Jembatan Kp. Parung Serab</t>
  </si>
  <si>
    <t>CV. AGUNG JAYA PERSADA</t>
  </si>
  <si>
    <t>AB-M20-500</t>
  </si>
  <si>
    <t>GC43-EB1</t>
  </si>
  <si>
    <t>GC43-EB2</t>
  </si>
  <si>
    <t>GC43-HG1</t>
  </si>
  <si>
    <t>GC43-HG2</t>
  </si>
  <si>
    <t>GC43-HG3</t>
  </si>
  <si>
    <t>GC43-HG4</t>
  </si>
  <si>
    <t>GC43-PD1</t>
  </si>
  <si>
    <t>GC43-PD2</t>
  </si>
  <si>
    <t>GC43-PD3</t>
  </si>
  <si>
    <t>KU1</t>
  </si>
  <si>
    <t>KU2</t>
  </si>
  <si>
    <t>PL50*220</t>
  </si>
  <si>
    <t>PL20*200</t>
  </si>
  <si>
    <t>D12</t>
  </si>
  <si>
    <t>PL0.75*1390</t>
  </si>
  <si>
    <t>W-577</t>
  </si>
  <si>
    <t>PENGGANTIAN JEMBATAN AKSES GOA BATU - TAPAK RAJA, KABUPATEN PENAJAM, PASER UTARA KALIMANTAN TIMUR</t>
  </si>
  <si>
    <t>PT. HERANANDA SURYA PRATAMA</t>
  </si>
  <si>
    <t>KALTIM</t>
  </si>
  <si>
    <t>TYPICAL DESIGN W-501</t>
  </si>
  <si>
    <t>STKJ25</t>
  </si>
  <si>
    <t>JG100P</t>
  </si>
  <si>
    <t>`</t>
  </si>
  <si>
    <t>W-489A-B</t>
  </si>
  <si>
    <t>W-578</t>
  </si>
  <si>
    <t>KING POST</t>
  </si>
  <si>
    <t>KP</t>
  </si>
  <si>
    <t>PROJECT MRT CP202 (Sawah Besar)</t>
  </si>
  <si>
    <t>W-579</t>
  </si>
  <si>
    <t>DINAS PEKERJAAN UMUM BINA MARGA PROPINSI JAWA TIMUR</t>
  </si>
  <si>
    <t>W-580</t>
  </si>
  <si>
    <t>W-579A</t>
  </si>
  <si>
    <t>W-581</t>
  </si>
  <si>
    <t>Komponen Jembatan</t>
  </si>
  <si>
    <t>CV. MAKKURTUK DONGAN</t>
  </si>
  <si>
    <t>M24X400</t>
  </si>
  <si>
    <t>Bearing 40*240</t>
  </si>
  <si>
    <t>W-582</t>
  </si>
  <si>
    <t>PT. VITA ENGINEER CONTRACTOR</t>
  </si>
  <si>
    <t>Bearing 60*250</t>
  </si>
  <si>
    <t>Bearing 60*350</t>
  </si>
  <si>
    <t>W-585</t>
  </si>
  <si>
    <t>Komponen JG152</t>
  </si>
  <si>
    <t>Kegiatan Pembangunan Jembatan Gantung Lae Renun, Kabupaten Dairi, Provinsi Sumatera Utara</t>
  </si>
  <si>
    <t>CV. MANDALA KARYA</t>
  </si>
  <si>
    <t>KEKURANGAN WCRH</t>
  </si>
  <si>
    <t>FINISH MATERIAL GRADE SS400</t>
  </si>
  <si>
    <t>Qty (Unit)</t>
  </si>
  <si>
    <t>N/AN/AN/AN/AN/AN/AN/AN/AN/AN/AN/AN/AReady di WS SetuReady packing di CGIN/AN/AN/AN/AN/AN/AN/AN/AN/AN/AN/AN/AN/A1 unit sudah terkirim 
1 unit Ready packing di CGIReady packing di CGIReady packing di CGIN/AN/AN/AN/AN/AN/AN/AN/AN/AN/AN/AN/AN/AN/AN/A1 UNIT RELEASE. 1 UNIT RFD%N/AReady packing di CGIN/AN/AN/AN/AN/AN/AN/AN/AN/AN/AN/AN/AN/AN/AN/AN/AN/AN/AN/AN/AN/AN/AN/AN/AN/AN/AN/AN/AN/AN/AN/AN/AN/AN/AN/AN/AN/AN/AN/AN/AN/AN/AN/AN/AN/AN/AN/AN/AN/AN/AN/AN/AN/AN/AN/AN/AN/AN/AN/AN/AN/AN/AN/AN/AN/AN/AN/AN/AFINISH MATERIAL GRADE SS400N/AN/AKEKURANGAN WCRH</t>
  </si>
  <si>
    <t>2X21 DS-EW, &amp; 1X18DS-EW, Est. 113,459.18 Kg</t>
  </si>
  <si>
    <r>
      <t xml:space="preserve">1. </t>
    </r>
    <r>
      <rPr>
        <b/>
        <i/>
        <sz val="16"/>
        <color rgb="FFFF0000"/>
        <rFont val="Calibri"/>
        <family val="2"/>
        <scheme val="minor"/>
      </rPr>
      <t>W493 &amp; 494</t>
    </r>
    <r>
      <rPr>
        <b/>
        <i/>
        <sz val="16"/>
        <color theme="0"/>
        <rFont val="Calibri"/>
        <family val="2"/>
        <scheme val="minor"/>
      </rPr>
      <t xml:space="preserve"> =&gt;  sebagian material sudah terpakai</t>
    </r>
  </si>
  <si>
    <r>
      <t xml:space="preserve">2. </t>
    </r>
    <r>
      <rPr>
        <b/>
        <i/>
        <sz val="16"/>
        <color rgb="FFFF0000"/>
        <rFont val="Calibri"/>
        <family val="2"/>
        <scheme val="minor"/>
      </rPr>
      <t>W506</t>
    </r>
    <r>
      <rPr>
        <b/>
        <i/>
        <sz val="16"/>
        <color theme="0"/>
        <rFont val="Calibri"/>
        <family val="2"/>
        <scheme val="minor"/>
      </rPr>
      <t xml:space="preserve"> =&gt; Unit Jembatan masih di CGI bentang 1x24 DSR2-EW, </t>
    </r>
  </si>
  <si>
    <t>REKAP OUTSTANDING PEKERJAAN 2023</t>
  </si>
  <si>
    <t xml:space="preserve">4. W579 &amp; W580 =&gt; Outstanding pengiriman material Komponen WCRH2 = 21 Pcs </t>
  </si>
  <si>
    <t>&amp; 1xRamp Panel Bailey , Est. 8,149.82 Kg</t>
  </si>
  <si>
    <t>3. W518 =&gt; Unit Jembatan masih di CGI bentang 1x21 SSR-EW,</t>
  </si>
  <si>
    <t>Est. 62,467.24 Kg</t>
  </si>
  <si>
    <t>5. W578 =&gt; Pekerjaan masih berjalan dalam proses fabrikasi,</t>
  </si>
  <si>
    <t>JEMBATAN PANEL BAILEY PON 2023</t>
  </si>
  <si>
    <t>PRODUKSI PANEL BAILEY 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</si>
</sst>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5">
    <numFmt numFmtId="42" formatCode="_-&quot;Rp&quot;* #,##0_-;\-&quot;Rp&quot;* #,##0_-;_-&quot;Rp&quot;* &quot;-&quot;_-;_-@_-"/>
    <numFmt numFmtId="41" formatCode="_-* #,##0_-;\-* #,##0_-;_-* &quot;-&quot;_-;_-@_-"/>
    <numFmt numFmtId="44" formatCode="_-&quot;Rp&quot;* #,##0.00_-;\-&quot;Rp&quot;* #,##0.00_-;_-&quot;Rp&quot;* &quot;-&quot;??_-;_-@_-"/>
    <numFmt numFmtId="43" formatCode="_-* #,##0.00_-;\-* #,##0.00_-;_-* &quot;-&quot;??_-;_-@_-"/>
    <numFmt numFmtId="164" formatCode="_(&quot;$&quot;* #,##0.00_);_(&quot;$&quot;* \(#,##0.00\);_(&quot;$&quot;* &quot;-&quot;??_);_(@_)"/>
    <numFmt numFmtId="165" formatCode="_(* #,##0.00_);_(* \(#,##0.00\);_(* &quot;-&quot;??_);_(@_)"/>
    <numFmt numFmtId="166" formatCode="_-* #,##0.00_-;\-* #,##0.00_-;_-* &quot;-&quot;_-;_-@_-"/>
    <numFmt numFmtId="167" formatCode="[$-F800]dddd\,\ mmmm\ dd\,\ yyyy"/>
    <numFmt numFmtId="168" formatCode="_([$IDR]\ * #,##0.00_);_([$IDR]\ * \(#,##0.00\);_([$IDR]\ * &quot;-&quot;??_);_(@_)"/>
    <numFmt numFmtId="169" formatCode="[$-421]dd\ mmmm\ yyyy;@"/>
    <numFmt numFmtId="170" formatCode="dd/mm/yyyy;@"/>
    <numFmt numFmtId="171" formatCode="_(&quot;Rp&quot;* #,##0_);_(&quot;Rp&quot;* \(#,##0\);_(&quot;Rp&quot;* &quot;-&quot;??_);_(@_)"/>
    <numFmt numFmtId="172" formatCode="0;[Red]0"/>
    <numFmt numFmtId="174" formatCode="@\ * &quot;:&quot;"/>
    <numFmt numFmtId="176" formatCode="[$-13809]d\ mmm\ yyyy;@"/>
  </numFmts>
  <fonts count="40" x14ac:knownFonts="1">
    <font>
      <sz val="11"/>
      <color theme="1"/>
      <name val="Calibri"/>
      <family val="2"/>
      <scheme val="minor"/>
    </font>
    <font>
      <sz val="11"/>
      <color theme="1"/>
      <name val="Calibri"/>
      <family val="2"/>
      <scheme val="minor"/>
    </font>
    <font>
      <sz val="8"/>
      <name val="Calibri"/>
      <family val="2"/>
      <scheme val="minor"/>
    </font>
    <font>
      <b/>
      <sz val="11"/>
      <color theme="0"/>
      <name val="Calibri"/>
      <family val="2"/>
      <scheme val="minor"/>
    </font>
    <font>
      <b/>
      <i/>
      <sz val="11"/>
      <color theme="0"/>
      <name val="Calibri"/>
      <family val="2"/>
      <scheme val="minor"/>
    </font>
    <font>
      <sz val="10"/>
      <color theme="1"/>
      <name val="Calibri"/>
      <family val="2"/>
      <scheme val="minor"/>
    </font>
    <font>
      <sz val="11"/>
      <color rgb="FFFF0000"/>
      <name val="Calibri"/>
      <family val="2"/>
      <scheme val="minor"/>
    </font>
    <font>
      <b/>
      <sz val="11"/>
      <color theme="1"/>
      <name val="Calibri"/>
      <family val="2"/>
      <scheme val="minor"/>
    </font>
    <font>
      <sz val="11"/>
      <name val="Calibri"/>
      <family val="2"/>
      <scheme val="minor"/>
    </font>
    <font>
      <b/>
      <sz val="14"/>
      <color theme="1"/>
      <name val="Calibri"/>
      <family val="2"/>
      <scheme val="minor"/>
    </font>
    <font>
      <b/>
      <sz val="14"/>
      <color rgb="FFFF0000"/>
      <name val="Calibri"/>
      <family val="2"/>
      <scheme val="minor"/>
    </font>
    <font>
      <b/>
      <sz val="18"/>
      <color theme="1"/>
      <name val="Calibri"/>
      <family val="2"/>
      <scheme val="minor"/>
    </font>
    <font>
      <b/>
      <sz val="10"/>
      <color theme="1"/>
      <name val="Calibri"/>
      <family val="2"/>
      <scheme val="minor"/>
    </font>
    <font>
      <b/>
      <sz val="11"/>
      <name val="Calibri"/>
      <family val="2"/>
      <scheme val="minor"/>
    </font>
    <font>
      <b/>
      <sz val="10"/>
      <color theme="0"/>
      <name val="Calibri"/>
      <family val="2"/>
      <scheme val="minor"/>
    </font>
    <font>
      <b/>
      <sz val="10"/>
      <color theme="0" tint="-0.14999847407452621"/>
      <name val="Calibri"/>
      <family val="2"/>
      <scheme val="minor"/>
    </font>
    <font>
      <b/>
      <sz val="11"/>
      <color rgb="FFFF0000"/>
      <name val="Calibri"/>
      <family val="2"/>
      <scheme val="minor"/>
    </font>
    <font>
      <sz val="11"/>
      <color theme="0"/>
      <name val="Calibri"/>
      <family val="2"/>
      <scheme val="minor"/>
    </font>
    <font>
      <sz val="12"/>
      <color theme="1"/>
      <name val="Calibri"/>
      <family val="2"/>
      <scheme val="minor"/>
    </font>
    <font>
      <sz val="11"/>
      <color theme="4" tint="0.79998168889431442"/>
      <name val="Calibri"/>
      <family val="2"/>
      <scheme val="minor"/>
    </font>
    <font>
      <b/>
      <sz val="12"/>
      <color theme="1"/>
      <name val="Calibri"/>
      <family val="2"/>
      <scheme val="minor"/>
    </font>
    <font>
      <sz val="72"/>
      <color rgb="FF0070C0"/>
      <name val="Humnst777 BT"/>
      <family val="2"/>
    </font>
    <font>
      <b/>
      <sz val="11"/>
      <color theme="1"/>
      <name val="AMGDT"/>
    </font>
    <font>
      <sz val="24"/>
      <color rgb="FFFF0000"/>
      <name val="GOST type A"/>
    </font>
    <font>
      <i/>
      <sz val="11"/>
      <color theme="0"/>
      <name val="Calibri"/>
      <family val="2"/>
      <scheme val="minor"/>
    </font>
    <font>
      <b/>
      <i/>
      <sz val="16"/>
      <color rgb="FFFF0000"/>
      <name val="Calibri"/>
      <family val="2"/>
      <scheme val="minor"/>
    </font>
    <font>
      <sz val="16"/>
      <color rgb="FFFF0000"/>
      <name val="Calibri"/>
      <family val="2"/>
      <scheme val="minor"/>
    </font>
    <font>
      <sz val="14"/>
      <color theme="1"/>
      <name val="Calibri"/>
      <family val="2"/>
      <scheme val="minor"/>
    </font>
    <font>
      <b/>
      <sz val="12"/>
      <color rgb="FFFF0000"/>
      <name val="Calibri"/>
      <family val="2"/>
      <scheme val="minor"/>
    </font>
    <font>
      <sz val="16"/>
      <color theme="1"/>
      <name val="Calibri"/>
      <family val="2"/>
      <scheme val="minor"/>
    </font>
    <font>
      <b/>
      <sz val="16"/>
      <name val="Calibri"/>
      <family val="2"/>
      <scheme val="minor"/>
    </font>
    <font>
      <b/>
      <sz val="14"/>
      <color theme="1"/>
      <name val="NewsGoth Lt BT"/>
      <family val="2"/>
    </font>
    <font>
      <b/>
      <sz val="12"/>
      <color theme="1"/>
      <name val="AMGDT"/>
    </font>
    <font>
      <b/>
      <sz val="16"/>
      <color theme="0"/>
      <name val="Calibri"/>
      <family val="2"/>
      <scheme val="minor"/>
    </font>
    <font>
      <b/>
      <u/>
      <sz val="11"/>
      <color theme="0"/>
      <name val="Calibri"/>
      <family val="2"/>
      <scheme val="minor"/>
    </font>
    <font>
      <b/>
      <i/>
      <sz val="11"/>
      <color rgb="FFFF0000"/>
      <name val="Calibri"/>
      <family val="2"/>
      <scheme val="minor"/>
    </font>
    <font>
      <b/>
      <i/>
      <sz val="11"/>
      <color theme="1"/>
      <name val="Calibri"/>
      <family val="2"/>
      <scheme val="minor"/>
    </font>
    <font>
      <b/>
      <i/>
      <sz val="12"/>
      <color theme="1"/>
      <name val="Calibri"/>
      <family val="2"/>
      <scheme val="minor"/>
    </font>
    <font>
      <b/>
      <i/>
      <sz val="16"/>
      <color theme="0"/>
      <name val="Calibri"/>
      <family val="2"/>
      <scheme val="minor"/>
    </font>
    <font>
      <b/>
      <u val="singleAccounting"/>
      <sz val="20"/>
      <color theme="0"/>
      <name val="Calibri"/>
      <family val="2"/>
      <scheme val="minor"/>
    </font>
  </fonts>
  <fills count="10">
    <fill>
      <patternFill patternType="none"/>
    </fill>
    <fill>
      <patternFill patternType="gray125"/>
    </fill>
    <fill>
      <patternFill patternType="solid">
        <fgColor rgb="FF0070C0"/>
        <bgColor theme="9"/>
      </patternFill>
    </fill>
    <fill>
      <patternFill patternType="solid">
        <fgColor theme="4"/>
        <bgColor theme="4"/>
      </patternFill>
    </fill>
    <fill>
      <patternFill patternType="solid">
        <fgColor rgb="FFFFFF00"/>
        <bgColor indexed="64"/>
      </patternFill>
    </fill>
    <fill>
      <patternFill patternType="solid">
        <fgColor rgb="FF0070C0"/>
        <bgColor indexed="64"/>
      </patternFill>
    </fill>
    <fill>
      <patternFill patternType="solid">
        <fgColor rgb="FFFFC000"/>
        <bgColor indexed="64"/>
      </patternFill>
    </fill>
    <fill>
      <patternFill patternType="solid">
        <fgColor theme="1"/>
        <bgColor indexed="64"/>
      </patternFill>
    </fill>
    <fill>
      <patternFill patternType="solid">
        <fgColor rgb="FF00B0F0"/>
        <bgColor indexed="64"/>
      </patternFill>
    </fill>
    <fill>
      <patternFill patternType="solid">
        <fgColor rgb="FF002060"/>
        <bgColor indexed="64"/>
      </patternFill>
    </fill>
  </fills>
  <borders count="15">
    <border>
      <left/>
      <right/>
      <top/>
      <bottom/>
      <diagonal/>
    </border>
    <border>
      <left style="thin">
        <color auto="1"/>
      </left>
      <right style="thin">
        <color auto="1"/>
      </right>
      <top/>
      <bottom style="double">
        <color auto="1"/>
      </bottom>
      <diagonal/>
    </border>
    <border>
      <left/>
      <right/>
      <top/>
      <bottom style="thin">
        <color theme="4" tint="0.39997558519241921"/>
      </bottom>
      <diagonal/>
    </border>
    <border>
      <left/>
      <right style="thin">
        <color theme="4" tint="0.39997558519241921"/>
      </right>
      <top/>
      <bottom style="thin">
        <color theme="4" tint="0.39997558519241921"/>
      </bottom>
      <diagonal/>
    </border>
    <border>
      <left style="thin">
        <color auto="1"/>
      </left>
      <right style="thin">
        <color auto="1"/>
      </right>
      <top style="thin">
        <color auto="1"/>
      </top>
      <bottom style="double">
        <color auto="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thin">
        <color indexed="64"/>
      </top>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style="hair">
        <color indexed="64"/>
      </top>
      <bottom/>
      <diagonal/>
    </border>
    <border>
      <left style="thin">
        <color indexed="64"/>
      </left>
      <right style="thin">
        <color indexed="64"/>
      </right>
      <top/>
      <bottom style="hair">
        <color indexed="64"/>
      </bottom>
      <diagonal/>
    </border>
    <border>
      <left style="thin">
        <color indexed="64"/>
      </left>
      <right style="thin">
        <color indexed="64"/>
      </right>
      <top/>
      <bottom style="thin">
        <color indexed="64"/>
      </bottom>
      <diagonal/>
    </border>
    <border>
      <left/>
      <right/>
      <top/>
      <bottom style="double">
        <color auto="1"/>
      </bottom>
      <diagonal/>
    </border>
    <border>
      <left/>
      <right/>
      <top/>
      <bottom style="thin">
        <color auto="1"/>
      </bottom>
      <diagonal/>
    </border>
  </borders>
  <cellStyleXfs count="6">
    <xf numFmtId="0" fontId="0" fillId="0" borderId="0"/>
    <xf numFmtId="41" fontId="1" fillId="0" borderId="0" applyFont="0" applyFill="0" applyBorder="0" applyAlignment="0" applyProtection="0"/>
    <xf numFmtId="9" fontId="1" fillId="0" borderId="0" applyFont="0" applyFill="0" applyBorder="0" applyAlignment="0" applyProtection="0"/>
    <xf numFmtId="42" fontId="1" fillId="0" borderId="0" applyFont="0" applyFill="0" applyBorder="0" applyAlignment="0" applyProtection="0"/>
    <xf numFmtId="165" fontId="1" fillId="0" borderId="0" applyFont="0" applyFill="0" applyBorder="0" applyAlignment="0" applyProtection="0"/>
    <xf numFmtId="164" fontId="1" fillId="0" borderId="0" applyFont="0" applyFill="0" applyBorder="0" applyAlignment="0" applyProtection="0"/>
  </cellStyleXfs>
  <cellXfs count="286">
    <xf numFmtId="0" fontId="0" fillId="0" borderId="0" xfId="0"/>
    <xf numFmtId="0" fontId="0" fillId="0" borderId="0" xfId="0" applyAlignment="1">
      <alignment horizontal="center" vertical="center"/>
    </xf>
    <xf numFmtId="0" fontId="5" fillId="0" borderId="0" xfId="0" applyFont="1" applyAlignment="1">
      <alignment vertical="center"/>
    </xf>
    <xf numFmtId="0" fontId="0" fillId="0" borderId="0" xfId="0" applyAlignment="1">
      <alignment vertical="center"/>
    </xf>
    <xf numFmtId="0" fontId="5" fillId="0" borderId="0" xfId="0" applyFont="1" applyAlignment="1">
      <alignment horizontal="center" vertical="center"/>
    </xf>
    <xf numFmtId="14" fontId="5" fillId="0" borderId="0" xfId="0" applyNumberFormat="1" applyFont="1" applyAlignment="1">
      <alignment horizontal="center" vertical="center"/>
    </xf>
    <xf numFmtId="0" fontId="3" fillId="2" borderId="1" xfId="0" applyFont="1" applyFill="1" applyBorder="1" applyAlignment="1">
      <alignment horizontal="center" vertical="center"/>
    </xf>
    <xf numFmtId="0" fontId="3" fillId="2" borderId="1" xfId="0" applyFont="1" applyFill="1" applyBorder="1" applyAlignment="1">
      <alignment horizontal="center" vertical="center" wrapText="1"/>
    </xf>
    <xf numFmtId="0" fontId="4" fillId="2" borderId="1" xfId="0" applyFont="1" applyFill="1" applyBorder="1" applyAlignment="1">
      <alignment horizontal="center" vertical="center" wrapText="1"/>
    </xf>
    <xf numFmtId="14" fontId="0" fillId="0" borderId="0" xfId="0" applyNumberFormat="1"/>
    <xf numFmtId="166" fontId="0" fillId="0" borderId="0" xfId="1" applyNumberFormat="1" applyFont="1"/>
    <xf numFmtId="0" fontId="0" fillId="0" borderId="0" xfId="0" applyAlignment="1">
      <alignment horizontal="center" vertical="center" wrapText="1"/>
    </xf>
    <xf numFmtId="0" fontId="3" fillId="3" borderId="2" xfId="0" applyFont="1" applyFill="1" applyBorder="1" applyAlignment="1">
      <alignment horizontal="center" vertical="center"/>
    </xf>
    <xf numFmtId="0" fontId="3" fillId="3" borderId="2" xfId="0" applyFont="1" applyFill="1" applyBorder="1" applyAlignment="1">
      <alignment horizontal="center" vertical="center" wrapText="1"/>
    </xf>
    <xf numFmtId="0" fontId="3" fillId="3" borderId="3" xfId="0" applyFont="1" applyFill="1" applyBorder="1" applyAlignment="1">
      <alignment horizontal="center" vertical="center"/>
    </xf>
    <xf numFmtId="0" fontId="3" fillId="3" borderId="3" xfId="0" applyFont="1" applyFill="1" applyBorder="1" applyAlignment="1">
      <alignment horizontal="center" vertical="center" wrapText="1"/>
    </xf>
    <xf numFmtId="166" fontId="0" fillId="0" borderId="0" xfId="0" applyNumberFormat="1"/>
    <xf numFmtId="166" fontId="5" fillId="0" borderId="0" xfId="1" applyNumberFormat="1" applyFont="1" applyAlignment="1">
      <alignment vertical="center"/>
    </xf>
    <xf numFmtId="0" fontId="6" fillId="4" borderId="0" xfId="0" applyFont="1" applyFill="1"/>
    <xf numFmtId="0" fontId="0" fillId="0" borderId="0" xfId="0" applyAlignment="1">
      <alignment horizontal="left" vertical="center" indent="1"/>
    </xf>
    <xf numFmtId="0" fontId="0" fillId="0" borderId="0" xfId="0" applyAlignment="1">
      <alignment horizontal="left" indent="1"/>
    </xf>
    <xf numFmtId="14" fontId="0" fillId="0" borderId="0" xfId="0" applyNumberFormat="1" applyAlignment="1">
      <alignment horizontal="right"/>
    </xf>
    <xf numFmtId="0" fontId="0" fillId="0" borderId="0" xfId="0" applyAlignment="1">
      <alignment horizontal="right" vertical="center"/>
    </xf>
    <xf numFmtId="0" fontId="0" fillId="0" borderId="0" xfId="0" applyAlignment="1">
      <alignment horizontal="right"/>
    </xf>
    <xf numFmtId="167" fontId="0" fillId="0" borderId="0" xfId="0" applyNumberFormat="1"/>
    <xf numFmtId="9" fontId="0" fillId="0" borderId="0" xfId="2" applyFont="1" applyAlignment="1">
      <alignment horizontal="center" vertical="center"/>
    </xf>
    <xf numFmtId="0" fontId="3" fillId="2" borderId="4" xfId="0" applyFont="1" applyFill="1" applyBorder="1" applyAlignment="1">
      <alignment horizontal="center" vertical="center"/>
    </xf>
    <xf numFmtId="42" fontId="0" fillId="0" borderId="0" xfId="3" applyFont="1"/>
    <xf numFmtId="14" fontId="0" fillId="0" borderId="0" xfId="0" applyNumberFormat="1" applyAlignment="1">
      <alignment horizontal="left" indent="1"/>
    </xf>
    <xf numFmtId="14" fontId="7" fillId="0" borderId="0" xfId="0" applyNumberFormat="1" applyFont="1" applyAlignment="1">
      <alignment horizontal="center" vertical="center"/>
    </xf>
    <xf numFmtId="0" fontId="7" fillId="0" borderId="0" xfId="0" applyFont="1" applyAlignment="1">
      <alignment horizontal="center" vertical="center"/>
    </xf>
    <xf numFmtId="42" fontId="0" fillId="0" borderId="0" xfId="0" applyNumberFormat="1"/>
    <xf numFmtId="0" fontId="8" fillId="0" borderId="0" xfId="0" applyFont="1"/>
    <xf numFmtId="166" fontId="8" fillId="0" borderId="0" xfId="1" applyNumberFormat="1" applyFont="1"/>
    <xf numFmtId="42" fontId="8" fillId="0" borderId="0" xfId="3" applyFont="1"/>
    <xf numFmtId="0" fontId="0" fillId="0" borderId="0" xfId="1" applyNumberFormat="1" applyFont="1"/>
    <xf numFmtId="0" fontId="0" fillId="0" borderId="0" xfId="3" applyNumberFormat="1" applyFont="1" applyAlignment="1">
      <alignment horizontal="center" vertical="center"/>
    </xf>
    <xf numFmtId="0" fontId="9" fillId="0" borderId="0" xfId="0" applyFont="1"/>
    <xf numFmtId="0" fontId="10" fillId="0" borderId="0" xfId="0" applyFont="1"/>
    <xf numFmtId="0" fontId="0" fillId="0" borderId="0" xfId="0" applyAlignment="1">
      <alignment horizontal="left" indent="2"/>
    </xf>
    <xf numFmtId="167" fontId="9" fillId="0" borderId="0" xfId="0" applyNumberFormat="1" applyFont="1" applyAlignment="1">
      <alignment horizontal="left"/>
    </xf>
    <xf numFmtId="1" fontId="3" fillId="2" borderId="1" xfId="0" applyNumberFormat="1" applyFont="1" applyFill="1" applyBorder="1" applyAlignment="1">
      <alignment horizontal="center" vertical="center" wrapText="1"/>
    </xf>
    <xf numFmtId="166" fontId="3" fillId="2" borderId="1" xfId="1" applyNumberFormat="1" applyFont="1" applyFill="1" applyBorder="1" applyAlignment="1">
      <alignment horizontal="center" vertical="center" wrapText="1"/>
    </xf>
    <xf numFmtId="9" fontId="1" fillId="0" borderId="0" xfId="2" applyFont="1" applyAlignment="1">
      <alignment horizontal="center" vertical="center"/>
    </xf>
    <xf numFmtId="166" fontId="0" fillId="0" borderId="0" xfId="1" applyNumberFormat="1" applyFont="1" applyAlignment="1">
      <alignment horizontal="center" vertical="center"/>
    </xf>
    <xf numFmtId="0" fontId="7" fillId="0" borderId="0" xfId="0" applyFont="1" applyAlignment="1">
      <alignment horizontal="center" vertical="center" wrapText="1"/>
    </xf>
    <xf numFmtId="0" fontId="7" fillId="0" borderId="1" xfId="0" applyFont="1" applyBorder="1" applyAlignment="1">
      <alignment horizontal="center" vertical="center"/>
    </xf>
    <xf numFmtId="0" fontId="7" fillId="0" borderId="1" xfId="0" applyFont="1" applyBorder="1" applyAlignment="1">
      <alignment horizontal="center" vertical="center" wrapText="1"/>
    </xf>
    <xf numFmtId="0" fontId="7" fillId="0" borderId="0" xfId="0" applyFont="1" applyAlignment="1">
      <alignment horizontal="left" vertical="center" indent="1"/>
    </xf>
    <xf numFmtId="166" fontId="7" fillId="0" borderId="0" xfId="1" applyNumberFormat="1" applyFont="1" applyBorder="1" applyAlignment="1">
      <alignment horizontal="center" vertical="center" wrapText="1"/>
    </xf>
    <xf numFmtId="42" fontId="7" fillId="0" borderId="0" xfId="3" applyFont="1" applyBorder="1" applyAlignment="1">
      <alignment horizontal="center" vertical="center" wrapText="1"/>
    </xf>
    <xf numFmtId="14" fontId="7" fillId="0" borderId="0" xfId="0" applyNumberFormat="1" applyFont="1" applyAlignment="1">
      <alignment horizontal="center" vertical="center" wrapText="1"/>
    </xf>
    <xf numFmtId="0" fontId="8" fillId="0" borderId="0" xfId="3" applyNumberFormat="1" applyFont="1" applyAlignment="1">
      <alignment horizontal="center" vertical="center"/>
    </xf>
    <xf numFmtId="0" fontId="12" fillId="0" borderId="0" xfId="0" applyFont="1" applyAlignment="1">
      <alignment horizontal="center" vertical="center"/>
    </xf>
    <xf numFmtId="0" fontId="12" fillId="0" borderId="0" xfId="0" applyFont="1" applyAlignment="1">
      <alignment horizontal="left" vertical="center" indent="1"/>
    </xf>
    <xf numFmtId="0" fontId="12" fillId="0" borderId="0" xfId="0" applyFont="1" applyAlignment="1">
      <alignment horizontal="left" vertical="center" wrapText="1" indent="1"/>
    </xf>
    <xf numFmtId="0" fontId="7" fillId="0" borderId="0" xfId="0" applyFont="1"/>
    <xf numFmtId="0" fontId="7" fillId="0" borderId="0" xfId="0" applyFont="1" applyAlignment="1">
      <alignment horizontal="right"/>
    </xf>
    <xf numFmtId="14" fontId="8" fillId="0" borderId="0" xfId="0" applyNumberFormat="1" applyFont="1"/>
    <xf numFmtId="14" fontId="8" fillId="0" borderId="0" xfId="0" applyNumberFormat="1" applyFont="1" applyAlignment="1">
      <alignment horizontal="right"/>
    </xf>
    <xf numFmtId="0" fontId="3" fillId="5" borderId="5" xfId="0" applyFont="1" applyFill="1" applyBorder="1" applyAlignment="1">
      <alignment horizontal="center" vertical="center"/>
    </xf>
    <xf numFmtId="166" fontId="3" fillId="5" borderId="5" xfId="1" applyNumberFormat="1" applyFont="1" applyFill="1" applyBorder="1" applyAlignment="1">
      <alignment horizontal="center" vertical="center"/>
    </xf>
    <xf numFmtId="166" fontId="3" fillId="5" borderId="5" xfId="1" applyNumberFormat="1" applyFont="1" applyFill="1" applyBorder="1" applyAlignment="1">
      <alignment horizontal="center" vertical="center" wrapText="1"/>
    </xf>
    <xf numFmtId="0" fontId="3" fillId="5" borderId="5" xfId="0" applyFont="1" applyFill="1" applyBorder="1" applyAlignment="1">
      <alignment horizontal="center" vertical="center" wrapText="1"/>
    </xf>
    <xf numFmtId="0" fontId="0" fillId="6" borderId="7" xfId="0" applyFill="1" applyBorder="1"/>
    <xf numFmtId="166" fontId="0" fillId="6" borderId="7" xfId="1" applyNumberFormat="1" applyFont="1" applyFill="1" applyBorder="1"/>
    <xf numFmtId="14" fontId="0" fillId="6" borderId="7" xfId="1" applyNumberFormat="1" applyFont="1" applyFill="1" applyBorder="1" applyAlignment="1">
      <alignment horizontal="center" vertical="center"/>
    </xf>
    <xf numFmtId="166" fontId="0" fillId="6" borderId="7" xfId="0" applyNumberFormat="1" applyFill="1" applyBorder="1"/>
    <xf numFmtId="43" fontId="0" fillId="6" borderId="7" xfId="0" applyNumberFormat="1" applyFill="1" applyBorder="1"/>
    <xf numFmtId="0" fontId="0" fillId="0" borderId="8" xfId="0" applyBorder="1" applyAlignment="1">
      <alignment horizontal="center" vertical="center"/>
    </xf>
    <xf numFmtId="0" fontId="0" fillId="0" borderId="6" xfId="0" applyBorder="1"/>
    <xf numFmtId="166" fontId="0" fillId="0" borderId="6" xfId="1" applyNumberFormat="1" applyFont="1" applyBorder="1"/>
    <xf numFmtId="14" fontId="0" fillId="0" borderId="6" xfId="1" applyNumberFormat="1" applyFont="1" applyBorder="1" applyAlignment="1">
      <alignment horizontal="center" vertical="center"/>
    </xf>
    <xf numFmtId="166" fontId="0" fillId="0" borderId="6" xfId="0" applyNumberFormat="1" applyBorder="1"/>
    <xf numFmtId="43" fontId="0" fillId="0" borderId="6" xfId="0" applyNumberFormat="1" applyBorder="1"/>
    <xf numFmtId="0" fontId="0" fillId="0" borderId="8" xfId="0" applyBorder="1"/>
    <xf numFmtId="166" fontId="0" fillId="0" borderId="8" xfId="1" applyNumberFormat="1" applyFont="1" applyBorder="1"/>
    <xf numFmtId="14" fontId="0" fillId="0" borderId="8" xfId="1" applyNumberFormat="1" applyFont="1" applyBorder="1" applyAlignment="1">
      <alignment horizontal="center" vertical="center"/>
    </xf>
    <xf numFmtId="166" fontId="0" fillId="0" borderId="8" xfId="0" applyNumberFormat="1" applyBorder="1"/>
    <xf numFmtId="43" fontId="0" fillId="0" borderId="8" xfId="0" applyNumberFormat="1" applyBorder="1"/>
    <xf numFmtId="0" fontId="0" fillId="0" borderId="9" xfId="0" applyBorder="1"/>
    <xf numFmtId="166" fontId="0" fillId="0" borderId="9" xfId="1" applyNumberFormat="1" applyFont="1" applyBorder="1"/>
    <xf numFmtId="14" fontId="0" fillId="0" borderId="9" xfId="1" applyNumberFormat="1" applyFont="1" applyBorder="1" applyAlignment="1">
      <alignment horizontal="center" vertical="center"/>
    </xf>
    <xf numFmtId="166" fontId="0" fillId="0" borderId="9" xfId="0" applyNumberFormat="1" applyBorder="1"/>
    <xf numFmtId="43" fontId="0" fillId="0" borderId="9" xfId="0" applyNumberFormat="1" applyBorder="1"/>
    <xf numFmtId="0" fontId="0" fillId="0" borderId="5" xfId="0" applyBorder="1" applyAlignment="1">
      <alignment horizontal="center" vertical="center"/>
    </xf>
    <xf numFmtId="0" fontId="0" fillId="0" borderId="5" xfId="0" applyBorder="1"/>
    <xf numFmtId="166" fontId="0" fillId="0" borderId="5" xfId="1" applyNumberFormat="1" applyFont="1" applyBorder="1"/>
    <xf numFmtId="14" fontId="0" fillId="0" borderId="5" xfId="1" applyNumberFormat="1" applyFont="1" applyBorder="1" applyAlignment="1">
      <alignment horizontal="center" vertical="center"/>
    </xf>
    <xf numFmtId="166" fontId="0" fillId="0" borderId="5" xfId="0" applyNumberFormat="1" applyBorder="1"/>
    <xf numFmtId="43" fontId="0" fillId="0" borderId="5" xfId="0" applyNumberFormat="1" applyBorder="1"/>
    <xf numFmtId="166" fontId="7" fillId="0" borderId="5" xfId="1" applyNumberFormat="1" applyFont="1" applyBorder="1"/>
    <xf numFmtId="43" fontId="7" fillId="0" borderId="5" xfId="0" applyNumberFormat="1" applyFont="1" applyBorder="1"/>
    <xf numFmtId="42" fontId="7" fillId="0" borderId="0" xfId="0" applyNumberFormat="1" applyFont="1" applyAlignment="1">
      <alignment horizontal="center" vertical="center" wrapText="1"/>
    </xf>
    <xf numFmtId="166" fontId="7" fillId="0" borderId="0" xfId="0" applyNumberFormat="1" applyFont="1" applyAlignment="1">
      <alignment horizontal="center" vertical="center" wrapText="1"/>
    </xf>
    <xf numFmtId="0" fontId="8" fillId="0" borderId="8" xfId="0" applyFont="1" applyBorder="1"/>
    <xf numFmtId="166" fontId="8" fillId="0" borderId="8" xfId="1" applyNumberFormat="1" applyFont="1" applyFill="1" applyBorder="1"/>
    <xf numFmtId="14" fontId="8" fillId="0" borderId="8" xfId="1" applyNumberFormat="1" applyFont="1" applyFill="1" applyBorder="1" applyAlignment="1">
      <alignment horizontal="center" vertical="center"/>
    </xf>
    <xf numFmtId="166" fontId="8" fillId="0" borderId="8" xfId="0" applyNumberFormat="1" applyFont="1" applyBorder="1"/>
    <xf numFmtId="43" fontId="8" fillId="0" borderId="8" xfId="0" applyNumberFormat="1" applyFont="1" applyBorder="1"/>
    <xf numFmtId="43" fontId="0" fillId="0" borderId="0" xfId="0" applyNumberFormat="1"/>
    <xf numFmtId="14" fontId="13" fillId="0" borderId="0" xfId="0" applyNumberFormat="1" applyFont="1" applyAlignment="1">
      <alignment horizontal="center" vertical="center"/>
    </xf>
    <xf numFmtId="0" fontId="8" fillId="0" borderId="10" xfId="0" applyFont="1" applyBorder="1"/>
    <xf numFmtId="166" fontId="8" fillId="0" borderId="10" xfId="1" applyNumberFormat="1" applyFont="1" applyFill="1" applyBorder="1"/>
    <xf numFmtId="14" fontId="8" fillId="0" borderId="10" xfId="1" applyNumberFormat="1" applyFont="1" applyFill="1" applyBorder="1" applyAlignment="1">
      <alignment horizontal="center" vertical="center"/>
    </xf>
    <xf numFmtId="166" fontId="8" fillId="0" borderId="10" xfId="0" applyNumberFormat="1" applyFont="1" applyBorder="1"/>
    <xf numFmtId="43" fontId="8" fillId="0" borderId="10" xfId="0" applyNumberFormat="1" applyFont="1" applyBorder="1"/>
    <xf numFmtId="0" fontId="8" fillId="0" borderId="6" xfId="0" applyFont="1" applyBorder="1"/>
    <xf numFmtId="166" fontId="8" fillId="0" borderId="6" xfId="1" applyNumberFormat="1" applyFont="1" applyFill="1" applyBorder="1"/>
    <xf numFmtId="14" fontId="8" fillId="0" borderId="6" xfId="1" applyNumberFormat="1" applyFont="1" applyFill="1" applyBorder="1" applyAlignment="1">
      <alignment horizontal="center" vertical="center"/>
    </xf>
    <xf numFmtId="166" fontId="8" fillId="0" borderId="6" xfId="0" applyNumberFormat="1" applyFont="1" applyBorder="1"/>
    <xf numFmtId="43" fontId="8" fillId="0" borderId="6" xfId="0" applyNumberFormat="1" applyFont="1" applyBorder="1"/>
    <xf numFmtId="0" fontId="8" fillId="0" borderId="11" xfId="0" applyFont="1" applyBorder="1"/>
    <xf numFmtId="166" fontId="0" fillId="0" borderId="8" xfId="1" applyNumberFormat="1" applyFont="1" applyFill="1" applyBorder="1"/>
    <xf numFmtId="14" fontId="0" fillId="0" borderId="8" xfId="1" applyNumberFormat="1" applyFont="1" applyFill="1" applyBorder="1" applyAlignment="1">
      <alignment horizontal="center" vertical="center"/>
    </xf>
    <xf numFmtId="0" fontId="0" fillId="0" borderId="12" xfId="0" applyBorder="1"/>
    <xf numFmtId="166" fontId="0" fillId="0" borderId="10" xfId="1" applyNumberFormat="1" applyFont="1" applyBorder="1"/>
    <xf numFmtId="43" fontId="0" fillId="0" borderId="10" xfId="0" applyNumberFormat="1" applyBorder="1"/>
    <xf numFmtId="166" fontId="7" fillId="0" borderId="0" xfId="1" applyNumberFormat="1" applyFont="1"/>
    <xf numFmtId="166" fontId="7" fillId="0" borderId="0" xfId="0" applyNumberFormat="1" applyFont="1"/>
    <xf numFmtId="43" fontId="7" fillId="0" borderId="0" xfId="0" applyNumberFormat="1" applyFont="1"/>
    <xf numFmtId="14" fontId="7" fillId="0" borderId="0" xfId="0" applyNumberFormat="1" applyFont="1"/>
    <xf numFmtId="0" fontId="0" fillId="0" borderId="10" xfId="0" applyBorder="1"/>
    <xf numFmtId="166" fontId="0" fillId="0" borderId="10" xfId="1" applyNumberFormat="1" applyFont="1" applyFill="1" applyBorder="1"/>
    <xf numFmtId="14" fontId="0" fillId="0" borderId="10" xfId="1" applyNumberFormat="1" applyFont="1" applyFill="1" applyBorder="1" applyAlignment="1">
      <alignment horizontal="center" vertical="center"/>
    </xf>
    <xf numFmtId="166" fontId="0" fillId="0" borderId="10" xfId="0" applyNumberFormat="1" applyBorder="1"/>
    <xf numFmtId="166" fontId="5" fillId="0" borderId="0" xfId="1" applyNumberFormat="1" applyFont="1" applyAlignment="1">
      <alignment horizontal="center" vertical="center"/>
    </xf>
    <xf numFmtId="166" fontId="5" fillId="0" borderId="0" xfId="1" applyNumberFormat="1" applyFont="1" applyAlignment="1">
      <alignment vertical="center" wrapText="1"/>
    </xf>
    <xf numFmtId="0" fontId="0" fillId="6" borderId="7" xfId="0" applyFill="1" applyBorder="1" applyAlignment="1">
      <alignment horizontal="left" indent="1"/>
    </xf>
    <xf numFmtId="0" fontId="0" fillId="0" borderId="6" xfId="0" applyBorder="1" applyAlignment="1">
      <alignment horizontal="left" indent="1"/>
    </xf>
    <xf numFmtId="0" fontId="0" fillId="0" borderId="8" xfId="0" applyBorder="1" applyAlignment="1">
      <alignment horizontal="left" indent="1"/>
    </xf>
    <xf numFmtId="0" fontId="0" fillId="0" borderId="9" xfId="0" applyBorder="1" applyAlignment="1">
      <alignment horizontal="left" indent="1"/>
    </xf>
    <xf numFmtId="0" fontId="8" fillId="0" borderId="10" xfId="0" applyFont="1" applyBorder="1" applyAlignment="1">
      <alignment horizontal="left" indent="1"/>
    </xf>
    <xf numFmtId="0" fontId="8" fillId="0" borderId="6" xfId="0" applyFont="1" applyBorder="1" applyAlignment="1">
      <alignment horizontal="left" indent="1"/>
    </xf>
    <xf numFmtId="0" fontId="8" fillId="0" borderId="8" xfId="0" applyFont="1" applyBorder="1" applyAlignment="1">
      <alignment horizontal="left" indent="1"/>
    </xf>
    <xf numFmtId="0" fontId="0" fillId="0" borderId="10" xfId="0" applyBorder="1" applyAlignment="1">
      <alignment horizontal="left" indent="1"/>
    </xf>
    <xf numFmtId="166" fontId="0" fillId="0" borderId="7" xfId="1" applyNumberFormat="1" applyFont="1" applyBorder="1"/>
    <xf numFmtId="0" fontId="0" fillId="0" borderId="7" xfId="0" applyBorder="1"/>
    <xf numFmtId="14" fontId="0" fillId="0" borderId="7" xfId="1" applyNumberFormat="1" applyFont="1" applyBorder="1" applyAlignment="1">
      <alignment horizontal="center" vertical="center"/>
    </xf>
    <xf numFmtId="166" fontId="0" fillId="0" borderId="7" xfId="0" applyNumberFormat="1" applyBorder="1"/>
    <xf numFmtId="43" fontId="0" fillId="0" borderId="7" xfId="0" applyNumberFormat="1" applyBorder="1"/>
    <xf numFmtId="0" fontId="0" fillId="0" borderId="0" xfId="0" applyAlignment="1">
      <alignment horizontal="left" indent="3"/>
    </xf>
    <xf numFmtId="0" fontId="0" fillId="0" borderId="0" xfId="0" applyAlignment="1">
      <alignment horizontal="left" indent="4"/>
    </xf>
    <xf numFmtId="0" fontId="0" fillId="0" borderId="0" xfId="0" applyAlignment="1">
      <alignment horizontal="left" indent="5"/>
    </xf>
    <xf numFmtId="0" fontId="0" fillId="0" borderId="0" xfId="0" applyAlignment="1">
      <alignment horizontal="left" indent="6"/>
    </xf>
    <xf numFmtId="0" fontId="0" fillId="0" borderId="0" xfId="0" applyAlignment="1">
      <alignment horizontal="left" indent="7"/>
    </xf>
    <xf numFmtId="0" fontId="0" fillId="0" borderId="0" xfId="0" applyAlignment="1">
      <alignment horizontal="left" indent="8"/>
    </xf>
    <xf numFmtId="0" fontId="0" fillId="0" borderId="0" xfId="0" applyAlignment="1">
      <alignment horizontal="left" indent="9"/>
    </xf>
    <xf numFmtId="0" fontId="0" fillId="0" borderId="0" xfId="0" applyAlignment="1">
      <alignment horizontal="left" indent="10"/>
    </xf>
    <xf numFmtId="0" fontId="0" fillId="0" borderId="0" xfId="0" applyAlignment="1">
      <alignment horizontal="left" indent="11"/>
    </xf>
    <xf numFmtId="0" fontId="0" fillId="0" borderId="0" xfId="0" applyAlignment="1">
      <alignment horizontal="left" indent="12"/>
    </xf>
    <xf numFmtId="1" fontId="12" fillId="0" borderId="0" xfId="0" applyNumberFormat="1" applyFont="1" applyAlignment="1">
      <alignment horizontal="center" vertical="center"/>
    </xf>
    <xf numFmtId="1" fontId="7" fillId="0" borderId="0" xfId="0" applyNumberFormat="1" applyFont="1"/>
    <xf numFmtId="14" fontId="13" fillId="0" borderId="0" xfId="0" applyNumberFormat="1" applyFont="1" applyAlignment="1">
      <alignment horizontal="left" indent="2"/>
    </xf>
    <xf numFmtId="0" fontId="16" fillId="0" borderId="0" xfId="0" applyFont="1"/>
    <xf numFmtId="14" fontId="16" fillId="0" borderId="0" xfId="0" applyNumberFormat="1" applyFont="1" applyAlignment="1">
      <alignment horizontal="left" indent="1"/>
    </xf>
    <xf numFmtId="9" fontId="3" fillId="2" borderId="1" xfId="2" applyFont="1" applyFill="1" applyBorder="1" applyAlignment="1">
      <alignment horizontal="center" vertical="center" wrapText="1"/>
    </xf>
    <xf numFmtId="9" fontId="12" fillId="0" borderId="0" xfId="2" applyFont="1" applyAlignment="1">
      <alignment vertical="center"/>
    </xf>
    <xf numFmtId="9" fontId="0" fillId="0" borderId="0" xfId="2" applyFont="1" applyAlignment="1">
      <alignment vertical="center"/>
    </xf>
    <xf numFmtId="9" fontId="0" fillId="0" borderId="0" xfId="0" applyNumberFormat="1" applyAlignment="1">
      <alignment horizontal="center" vertical="center"/>
    </xf>
    <xf numFmtId="0" fontId="0" fillId="0" borderId="0" xfId="0" applyAlignment="1">
      <alignment horizontal="left" indent="13"/>
    </xf>
    <xf numFmtId="0" fontId="0" fillId="0" borderId="0" xfId="0" applyAlignment="1">
      <alignment horizontal="left" indent="14"/>
    </xf>
    <xf numFmtId="9" fontId="12" fillId="0" borderId="0" xfId="2" applyFont="1" applyAlignment="1">
      <alignment vertical="center" wrapText="1"/>
    </xf>
    <xf numFmtId="0" fontId="12" fillId="0" borderId="0" xfId="2" applyNumberFormat="1" applyFont="1" applyAlignment="1">
      <alignment vertical="center" wrapText="1"/>
    </xf>
    <xf numFmtId="14" fontId="13" fillId="0" borderId="0" xfId="0" applyNumberFormat="1" applyFont="1" applyAlignment="1">
      <alignment horizontal="left" indent="3"/>
    </xf>
    <xf numFmtId="166" fontId="0" fillId="0" borderId="0" xfId="0" applyNumberFormat="1" applyAlignment="1">
      <alignment horizontal="center" vertical="center"/>
    </xf>
    <xf numFmtId="0" fontId="0" fillId="0" borderId="0" xfId="0" applyAlignment="1">
      <alignment horizontal="left" indent="15"/>
    </xf>
    <xf numFmtId="0" fontId="0" fillId="0" borderId="0" xfId="0" applyAlignment="1">
      <alignment horizontal="left" indent="16"/>
    </xf>
    <xf numFmtId="0" fontId="0" fillId="0" borderId="0" xfId="0" applyAlignment="1">
      <alignment horizontal="left" indent="18"/>
    </xf>
    <xf numFmtId="0" fontId="7" fillId="0" borderId="0" xfId="0" applyFont="1" applyAlignment="1">
      <alignment horizontal="left" indent="1"/>
    </xf>
    <xf numFmtId="14" fontId="3" fillId="2" borderId="1" xfId="0" applyNumberFormat="1" applyFont="1" applyFill="1" applyBorder="1" applyAlignment="1">
      <alignment horizontal="center" vertical="center" wrapText="1"/>
    </xf>
    <xf numFmtId="0" fontId="0" fillId="0" borderId="0" xfId="0" applyAlignment="1">
      <alignment horizontal="left" indent="20"/>
    </xf>
    <xf numFmtId="165" fontId="0" fillId="0" borderId="0" xfId="0" applyNumberFormat="1"/>
    <xf numFmtId="14" fontId="13" fillId="0" borderId="0" xfId="0" applyNumberFormat="1" applyFont="1" applyAlignment="1">
      <alignment horizontal="left" indent="4"/>
    </xf>
    <xf numFmtId="0" fontId="0" fillId="0" borderId="0" xfId="0" applyAlignment="1">
      <alignment horizontal="center"/>
    </xf>
    <xf numFmtId="168" fontId="0" fillId="0" borderId="0" xfId="5" applyNumberFormat="1" applyFont="1"/>
    <xf numFmtId="168" fontId="0" fillId="0" borderId="0" xfId="0" applyNumberFormat="1"/>
    <xf numFmtId="167" fontId="8" fillId="0" borderId="0" xfId="3" applyNumberFormat="1" applyFont="1"/>
    <xf numFmtId="167" fontId="8" fillId="0" borderId="0" xfId="3" applyNumberFormat="1" applyFont="1" applyAlignment="1">
      <alignment horizontal="right"/>
    </xf>
    <xf numFmtId="0" fontId="0" fillId="0" borderId="0" xfId="0" pivotButton="1"/>
    <xf numFmtId="166" fontId="5" fillId="0" borderId="0" xfId="0" applyNumberFormat="1" applyFont="1" applyAlignment="1">
      <alignment horizontal="center" vertical="center"/>
    </xf>
    <xf numFmtId="166" fontId="0" fillId="0" borderId="0" xfId="4" applyNumberFormat="1" applyFont="1"/>
    <xf numFmtId="169" fontId="0" fillId="0" borderId="0" xfId="3" applyNumberFormat="1" applyFont="1"/>
    <xf numFmtId="169" fontId="8" fillId="0" borderId="0" xfId="3" applyNumberFormat="1" applyFont="1"/>
    <xf numFmtId="169" fontId="8" fillId="0" borderId="0" xfId="3" applyNumberFormat="1" applyFont="1" applyAlignment="1">
      <alignment horizontal="right"/>
    </xf>
    <xf numFmtId="44" fontId="0" fillId="0" borderId="0" xfId="3" applyNumberFormat="1" applyFont="1"/>
    <xf numFmtId="44" fontId="0" fillId="0" borderId="0" xfId="1" applyNumberFormat="1" applyFont="1"/>
    <xf numFmtId="170" fontId="5" fillId="0" borderId="0" xfId="0" applyNumberFormat="1" applyFont="1" applyAlignment="1">
      <alignment horizontal="center" vertical="center"/>
    </xf>
    <xf numFmtId="9" fontId="12" fillId="0" borderId="0" xfId="2" applyFont="1" applyAlignment="1">
      <alignment horizontal="center" vertical="center"/>
    </xf>
    <xf numFmtId="9" fontId="12" fillId="0" borderId="0" xfId="0" applyNumberFormat="1" applyFont="1" applyAlignment="1">
      <alignment horizontal="center" vertical="center"/>
    </xf>
    <xf numFmtId="169" fontId="5" fillId="0" borderId="0" xfId="0" applyNumberFormat="1" applyFont="1" applyAlignment="1">
      <alignment horizontal="center" vertical="center"/>
    </xf>
    <xf numFmtId="0" fontId="0" fillId="7" borderId="0" xfId="0" applyFill="1"/>
    <xf numFmtId="0" fontId="3" fillId="7" borderId="0" xfId="0" applyFont="1" applyFill="1"/>
    <xf numFmtId="0" fontId="22" fillId="7" borderId="0" xfId="4" applyNumberFormat="1" applyFont="1" applyFill="1" applyAlignment="1">
      <alignment horizontal="right" indent="1"/>
    </xf>
    <xf numFmtId="0" fontId="18" fillId="7" borderId="0" xfId="0" applyFont="1" applyFill="1"/>
    <xf numFmtId="0" fontId="18" fillId="0" borderId="0" xfId="0" applyFont="1"/>
    <xf numFmtId="14" fontId="13" fillId="0" borderId="0" xfId="0" applyNumberFormat="1" applyFont="1" applyAlignment="1">
      <alignment horizontal="left" indent="5"/>
    </xf>
    <xf numFmtId="14" fontId="13" fillId="0" borderId="0" xfId="0" applyNumberFormat="1" applyFont="1" applyAlignment="1">
      <alignment horizontal="left" indent="6"/>
    </xf>
    <xf numFmtId="171" fontId="0" fillId="0" borderId="0" xfId="0" applyNumberFormat="1"/>
    <xf numFmtId="9" fontId="0" fillId="0" borderId="0" xfId="0" applyNumberFormat="1"/>
    <xf numFmtId="0" fontId="20" fillId="0" borderId="0" xfId="0" applyFont="1"/>
    <xf numFmtId="0" fontId="17" fillId="7" borderId="0" xfId="0" applyFont="1" applyFill="1"/>
    <xf numFmtId="0" fontId="27" fillId="7" borderId="0" xfId="0" applyFont="1" applyFill="1"/>
    <xf numFmtId="0" fontId="27" fillId="0" borderId="0" xfId="0" applyFont="1"/>
    <xf numFmtId="165" fontId="18" fillId="0" borderId="0" xfId="0" applyNumberFormat="1" applyFont="1"/>
    <xf numFmtId="0" fontId="29" fillId="7" borderId="0" xfId="0" applyFont="1" applyFill="1"/>
    <xf numFmtId="0" fontId="30" fillId="7" borderId="0" xfId="0" applyFont="1" applyFill="1" applyAlignment="1">
      <alignment horizontal="left"/>
    </xf>
    <xf numFmtId="43" fontId="30" fillId="7" borderId="0" xfId="0" applyNumberFormat="1" applyFont="1" applyFill="1"/>
    <xf numFmtId="0" fontId="29" fillId="0" borderId="0" xfId="0" applyFont="1"/>
    <xf numFmtId="0" fontId="31" fillId="0" borderId="0" xfId="0" pivotButton="1" applyFont="1" applyAlignment="1">
      <alignment horizontal="center" vertical="center"/>
    </xf>
    <xf numFmtId="0" fontId="31" fillId="0" borderId="0" xfId="0" pivotButton="1" applyFont="1" applyAlignment="1">
      <alignment horizontal="center" vertical="center" wrapText="1"/>
    </xf>
    <xf numFmtId="165" fontId="31" fillId="0" borderId="0" xfId="0" applyNumberFormat="1" applyFont="1" applyAlignment="1">
      <alignment horizontal="center" vertical="center" wrapText="1"/>
    </xf>
    <xf numFmtId="0" fontId="31" fillId="0" borderId="0" xfId="0" applyFont="1" applyAlignment="1">
      <alignment horizontal="center" vertical="center"/>
    </xf>
    <xf numFmtId="165" fontId="0" fillId="0" borderId="0" xfId="4" applyFont="1"/>
    <xf numFmtId="165" fontId="3" fillId="2" borderId="1" xfId="4" applyFont="1" applyFill="1" applyBorder="1" applyAlignment="1">
      <alignment horizontal="center" vertical="center" wrapText="1"/>
    </xf>
    <xf numFmtId="165" fontId="12" fillId="0" borderId="0" xfId="4" applyFont="1" applyAlignment="1">
      <alignment vertical="center"/>
    </xf>
    <xf numFmtId="165" fontId="12" fillId="0" borderId="0" xfId="4" applyFont="1" applyAlignment="1">
      <alignment vertical="center" wrapText="1"/>
    </xf>
    <xf numFmtId="165" fontId="0" fillId="0" borderId="0" xfId="4" applyFont="1" applyAlignment="1">
      <alignment vertical="center"/>
    </xf>
    <xf numFmtId="165" fontId="12" fillId="0" borderId="0" xfId="0" applyNumberFormat="1" applyFont="1" applyAlignment="1">
      <alignment vertical="center"/>
    </xf>
    <xf numFmtId="172" fontId="0" fillId="0" borderId="0" xfId="0" applyNumberFormat="1"/>
    <xf numFmtId="0" fontId="0" fillId="0" borderId="0" xfId="0" applyAlignment="1">
      <alignment horizontal="left"/>
    </xf>
    <xf numFmtId="9" fontId="0" fillId="0" borderId="0" xfId="2" applyFont="1"/>
    <xf numFmtId="0" fontId="17" fillId="8" borderId="0" xfId="0" applyFont="1" applyFill="1"/>
    <xf numFmtId="0" fontId="0" fillId="5" borderId="0" xfId="0" applyFill="1"/>
    <xf numFmtId="0" fontId="17" fillId="5" borderId="0" xfId="0" applyFont="1" applyFill="1" applyAlignment="1">
      <alignment horizontal="left" vertical="center" indent="1"/>
    </xf>
    <xf numFmtId="0" fontId="17" fillId="5" borderId="0" xfId="0" applyFont="1" applyFill="1" applyAlignment="1">
      <alignment horizontal="left" indent="1"/>
    </xf>
    <xf numFmtId="0" fontId="24" fillId="5" borderId="0" xfId="0" applyFont="1" applyFill="1" applyAlignment="1">
      <alignment horizontal="left" indent="1"/>
    </xf>
    <xf numFmtId="0" fontId="25" fillId="5" borderId="0" xfId="0" applyFont="1" applyFill="1"/>
    <xf numFmtId="0" fontId="26" fillId="5" borderId="0" xfId="0" applyFont="1" applyFill="1"/>
    <xf numFmtId="165" fontId="25" fillId="5" borderId="0" xfId="4" applyFont="1" applyFill="1"/>
    <xf numFmtId="0" fontId="17" fillId="5" borderId="0" xfId="0" applyFont="1" applyFill="1"/>
    <xf numFmtId="0" fontId="17" fillId="9" borderId="0" xfId="0" applyFont="1" applyFill="1"/>
    <xf numFmtId="0" fontId="28" fillId="8" borderId="0" xfId="0" applyFont="1" applyFill="1"/>
    <xf numFmtId="0" fontId="34" fillId="8" borderId="0" xfId="0" applyFont="1" applyFill="1"/>
    <xf numFmtId="174" fontId="3" fillId="8" borderId="0" xfId="0" applyNumberFormat="1" applyFont="1" applyFill="1"/>
    <xf numFmtId="174" fontId="13" fillId="0" borderId="0" xfId="0" applyNumberFormat="1" applyFont="1"/>
    <xf numFmtId="0" fontId="12" fillId="0" borderId="0" xfId="2" applyNumberFormat="1" applyFont="1" applyAlignment="1">
      <alignment vertical="center"/>
    </xf>
    <xf numFmtId="165" fontId="33" fillId="7" borderId="0" xfId="0" applyNumberFormat="1" applyFont="1" applyFill="1" applyAlignment="1">
      <alignment horizontal="right" vertical="center"/>
    </xf>
    <xf numFmtId="165" fontId="22" fillId="7" borderId="0" xfId="4" applyFont="1" applyFill="1"/>
    <xf numFmtId="0" fontId="32" fillId="7" borderId="0" xfId="4" applyNumberFormat="1" applyFont="1" applyFill="1" applyAlignment="1">
      <alignment horizontal="right" indent="1"/>
    </xf>
    <xf numFmtId="176" fontId="0" fillId="0" borderId="0" xfId="0" applyNumberFormat="1"/>
    <xf numFmtId="0" fontId="7" fillId="0" borderId="0" xfId="0" applyFont="1" applyAlignment="1">
      <alignment horizontal="centerContinuous" vertical="center"/>
    </xf>
    <xf numFmtId="166" fontId="7" fillId="0" borderId="0" xfId="0" applyNumberFormat="1" applyFont="1" applyAlignment="1">
      <alignment horizontal="center" vertical="center"/>
    </xf>
    <xf numFmtId="0" fontId="30" fillId="5" borderId="0" xfId="0" applyFont="1" applyFill="1" applyAlignment="1">
      <alignment horizontal="left"/>
    </xf>
    <xf numFmtId="165" fontId="33" fillId="5" borderId="0" xfId="0" applyNumberFormat="1" applyFont="1" applyFill="1" applyAlignment="1">
      <alignment horizontal="right" vertical="center"/>
    </xf>
    <xf numFmtId="43" fontId="30" fillId="5" borderId="0" xfId="0" applyNumberFormat="1" applyFont="1" applyFill="1"/>
    <xf numFmtId="9" fontId="7" fillId="0" borderId="0" xfId="0" applyNumberFormat="1" applyFont="1" applyAlignment="1">
      <alignment horizontal="center" vertical="center"/>
    </xf>
    <xf numFmtId="9" fontId="20" fillId="0" borderId="0" xfId="0" applyNumberFormat="1" applyFont="1" applyAlignment="1">
      <alignment horizontal="center" vertical="center"/>
    </xf>
    <xf numFmtId="43" fontId="36" fillId="0" borderId="0" xfId="0" applyNumberFormat="1" applyFont="1" applyAlignment="1">
      <alignment horizontal="left" vertical="center" indent="1"/>
    </xf>
    <xf numFmtId="43" fontId="37" fillId="0" borderId="0" xfId="0" applyNumberFormat="1" applyFont="1" applyAlignment="1">
      <alignment horizontal="left" vertical="center" indent="1"/>
    </xf>
    <xf numFmtId="43" fontId="35" fillId="0" borderId="0" xfId="0" applyNumberFormat="1" applyFont="1" applyAlignment="1">
      <alignment horizontal="left" vertical="center" indent="1"/>
    </xf>
    <xf numFmtId="0" fontId="12" fillId="0" borderId="0" xfId="0" applyFont="1" applyAlignment="1">
      <alignment horizontal="left" vertical="center" indent="2"/>
    </xf>
    <xf numFmtId="0" fontId="5" fillId="0" borderId="0" xfId="0" applyFont="1" applyAlignment="1">
      <alignment horizontal="left" vertical="center" indent="2"/>
    </xf>
    <xf numFmtId="0" fontId="12" fillId="0" borderId="0" xfId="0" applyFont="1" applyAlignment="1">
      <alignment horizontal="left" vertical="center" wrapText="1" indent="2"/>
    </xf>
    <xf numFmtId="166" fontId="5" fillId="0" borderId="0" xfId="0" applyNumberFormat="1" applyFont="1" applyAlignment="1">
      <alignment vertical="center"/>
    </xf>
    <xf numFmtId="0" fontId="12" fillId="0" borderId="0" xfId="0" applyFont="1" applyAlignment="1">
      <alignment vertical="center"/>
    </xf>
    <xf numFmtId="0" fontId="0" fillId="4" borderId="0" xfId="0" applyFill="1"/>
    <xf numFmtId="9" fontId="0" fillId="0" borderId="0" xfId="2" applyFont="1" applyAlignment="1">
      <alignment horizontal="left" indent="1"/>
    </xf>
    <xf numFmtId="0" fontId="0" fillId="0" borderId="0" xfId="0" pivotButton="1" applyAlignment="1">
      <alignment horizontal="left" indent="1"/>
    </xf>
    <xf numFmtId="0" fontId="35" fillId="0" borderId="0" xfId="0" applyFont="1" applyAlignment="1">
      <alignment horizontal="center"/>
    </xf>
    <xf numFmtId="0" fontId="6" fillId="0" borderId="0" xfId="0" applyFont="1"/>
    <xf numFmtId="0" fontId="6" fillId="0" borderId="0" xfId="0" applyFont="1" applyAlignment="1">
      <alignment horizontal="center" vertical="center"/>
    </xf>
    <xf numFmtId="9" fontId="16" fillId="0" borderId="0" xfId="0" applyNumberFormat="1" applyFont="1" applyAlignment="1">
      <alignment horizontal="center" vertical="center"/>
    </xf>
    <xf numFmtId="165" fontId="6" fillId="0" borderId="0" xfId="0" applyNumberFormat="1" applyFont="1"/>
    <xf numFmtId="165" fontId="33" fillId="5" borderId="0" xfId="0" applyNumberFormat="1" applyFont="1" applyFill="1" applyAlignment="1">
      <alignment horizontal="left" vertical="center"/>
    </xf>
    <xf numFmtId="165" fontId="38" fillId="5" borderId="0" xfId="0" applyNumberFormat="1" applyFont="1" applyFill="1" applyAlignment="1">
      <alignment vertical="center"/>
    </xf>
    <xf numFmtId="0" fontId="38" fillId="5" borderId="0" xfId="0" applyFont="1" applyFill="1" applyAlignment="1">
      <alignment horizontal="left" vertical="center"/>
    </xf>
    <xf numFmtId="165" fontId="39" fillId="5" borderId="0" xfId="0" applyNumberFormat="1" applyFont="1" applyFill="1" applyAlignment="1">
      <alignment vertical="center"/>
    </xf>
    <xf numFmtId="0" fontId="21" fillId="7" borderId="0" xfId="0" applyFont="1" applyFill="1" applyAlignment="1">
      <alignment horizontal="center" vertical="center"/>
    </xf>
    <xf numFmtId="0" fontId="0" fillId="7" borderId="0" xfId="0" applyFill="1" applyAlignment="1">
      <alignment horizontal="center"/>
    </xf>
    <xf numFmtId="169" fontId="23" fillId="7" borderId="0" xfId="0" applyNumberFormat="1" applyFont="1" applyFill="1" applyAlignment="1">
      <alignment horizontal="right" vertical="center"/>
    </xf>
    <xf numFmtId="0" fontId="33" fillId="5" borderId="0" xfId="0" applyFont="1" applyFill="1" applyAlignment="1">
      <alignment horizontal="center"/>
    </xf>
    <xf numFmtId="0" fontId="0" fillId="0" borderId="0" xfId="0" applyAlignment="1">
      <alignment horizontal="center"/>
    </xf>
    <xf numFmtId="0" fontId="11" fillId="0" borderId="0" xfId="0" applyFont="1" applyAlignment="1">
      <alignment horizontal="center"/>
    </xf>
    <xf numFmtId="0" fontId="0" fillId="0" borderId="6" xfId="0" applyBorder="1" applyAlignment="1">
      <alignment horizontal="center" vertical="center"/>
    </xf>
    <xf numFmtId="0" fontId="0" fillId="0" borderId="8" xfId="0" applyBorder="1" applyAlignment="1">
      <alignment horizontal="center" vertical="center"/>
    </xf>
    <xf numFmtId="46" fontId="0" fillId="9" borderId="0" xfId="0" applyNumberFormat="1" applyFill="1" applyAlignment="1">
      <alignment horizontal="center" vertical="center"/>
    </xf>
    <xf numFmtId="46" fontId="0" fillId="0" borderId="0" xfId="0" applyNumberFormat="1" applyAlignment="1">
      <alignment horizontal="center" vertical="center"/>
    </xf>
    <xf numFmtId="20" fontId="0" fillId="0" borderId="0" xfId="0" applyNumberFormat="1" applyAlignment="1">
      <alignment horizontal="center" vertical="center"/>
    </xf>
    <xf numFmtId="0" fontId="7" fillId="0" borderId="13" xfId="0" applyFont="1" applyBorder="1" applyAlignment="1">
      <alignment vertical="center"/>
    </xf>
    <xf numFmtId="0" fontId="7" fillId="0" borderId="13" xfId="0" applyFont="1" applyBorder="1" applyAlignment="1">
      <alignment horizontal="center" vertical="center"/>
    </xf>
    <xf numFmtId="0" fontId="0" fillId="0" borderId="14" xfId="0" applyBorder="1"/>
    <xf numFmtId="0" fontId="0" fillId="0" borderId="14" xfId="0" applyBorder="1" applyAlignment="1">
      <alignment horizontal="center" vertical="center"/>
    </xf>
    <xf numFmtId="165" fontId="0" fillId="0" borderId="14" xfId="4" applyFont="1" applyBorder="1"/>
    <xf numFmtId="165" fontId="16" fillId="0" borderId="0" xfId="4" applyFont="1"/>
    <xf numFmtId="43" fontId="17" fillId="8" borderId="0" xfId="0" applyNumberFormat="1" applyFont="1" applyFill="1"/>
  </cellXfs>
  <cellStyles count="6">
    <cellStyle name="Comma" xfId="4" builtinId="3"/>
    <cellStyle name="Comma [0]" xfId="1" builtinId="6"/>
    <cellStyle name="Currency" xfId="5" builtinId="4"/>
    <cellStyle name="Currency [0]" xfId="3" builtinId="7"/>
    <cellStyle name="Normal" xfId="0" builtinId="0"/>
    <cellStyle name="Percent" xfId="2" builtinId="5"/>
  </cellStyles>
  <dxfs count="671">
    <dxf>
      <font>
        <b/>
        <i/>
        <color rgb="FF00B050"/>
      </font>
    </dxf>
    <dxf>
      <font>
        <b/>
        <i/>
        <color rgb="FF0070C0"/>
      </font>
    </dxf>
    <dxf>
      <font>
        <b/>
        <i/>
        <color rgb="FF0070C0"/>
      </font>
    </dxf>
    <dxf>
      <font>
        <b/>
        <i/>
        <color rgb="FF00B050"/>
      </font>
    </dxf>
    <dxf>
      <font>
        <b/>
        <i/>
        <color rgb="FFFF0000"/>
      </font>
    </dxf>
    <dxf>
      <font>
        <b/>
        <i/>
        <color rgb="FF00B050"/>
      </font>
    </dxf>
    <dxf>
      <font>
        <b/>
        <i/>
        <color rgb="FF0070C0"/>
      </font>
    </dxf>
    <dxf>
      <font>
        <b/>
        <i/>
        <color rgb="FF00B050"/>
      </font>
    </dxf>
    <dxf>
      <font>
        <b/>
        <i/>
        <color rgb="FF0070C0"/>
      </font>
    </dxf>
    <dxf>
      <font>
        <b/>
        <i/>
        <color rgb="FF00B050"/>
      </font>
    </dxf>
    <dxf>
      <font>
        <b/>
        <i/>
        <strike/>
        <color rgb="FFFF0000"/>
      </font>
    </dxf>
    <dxf>
      <font>
        <b/>
        <i/>
        <color rgb="FF00B050"/>
      </font>
    </dxf>
    <dxf>
      <font>
        <b/>
        <i/>
        <color rgb="FF00B050"/>
      </font>
    </dxf>
    <dxf>
      <font>
        <b/>
        <i/>
        <color rgb="FF0070C0"/>
      </font>
    </dxf>
    <dxf>
      <font>
        <b/>
        <i/>
        <color rgb="FF7030A0"/>
      </font>
    </dxf>
    <dxf>
      <font>
        <b/>
        <i/>
        <color rgb="FF0070C0"/>
      </font>
    </dxf>
    <dxf>
      <font>
        <b/>
        <i/>
        <color rgb="FF00B050"/>
      </font>
    </dxf>
    <dxf>
      <font>
        <b/>
        <i/>
        <color rgb="FF00B050"/>
      </font>
    </dxf>
    <dxf>
      <font>
        <b/>
        <i/>
        <color rgb="FF0070C0"/>
      </font>
    </dxf>
    <dxf>
      <font>
        <b/>
        <i/>
        <color rgb="FF00B050"/>
      </font>
    </dxf>
    <dxf>
      <font>
        <b/>
        <i/>
        <color rgb="FF0070C0"/>
      </font>
    </dxf>
    <dxf>
      <font>
        <b/>
        <i/>
        <color rgb="FF00B050"/>
      </font>
    </dxf>
    <dxf>
      <font>
        <b/>
        <i/>
        <color rgb="FF0070C0"/>
      </font>
    </dxf>
    <dxf>
      <font>
        <b/>
        <i/>
        <color rgb="FF00B050"/>
      </font>
    </dxf>
    <dxf>
      <font>
        <b/>
        <i/>
        <color rgb="FF0070C0"/>
      </font>
    </dxf>
    <dxf>
      <font>
        <b/>
        <i/>
        <color rgb="FFFF0000"/>
      </font>
    </dxf>
    <dxf>
      <font>
        <b/>
        <i/>
        <color rgb="FFFFFF00"/>
      </font>
    </dxf>
    <dxf>
      <font>
        <b/>
        <i/>
        <color rgb="FFFF0000"/>
      </font>
    </dxf>
    <dxf>
      <font>
        <b/>
        <i/>
        <color rgb="FFFFFF00"/>
      </font>
    </dxf>
    <dxf>
      <font>
        <b/>
        <i/>
        <u val="none"/>
        <color rgb="FF00B0F0"/>
      </font>
      <numFmt numFmtId="30" formatCode="@"/>
    </dxf>
    <dxf>
      <font>
        <b/>
        <i/>
        <color rgb="FFFFC000"/>
      </font>
    </dxf>
    <dxf>
      <font>
        <b/>
        <i/>
        <color theme="9"/>
      </font>
    </dxf>
    <dxf>
      <font>
        <b/>
        <i/>
        <strike/>
        <color rgb="FFFF0000"/>
      </font>
    </dxf>
    <dxf>
      <numFmt numFmtId="13" formatCode="0%"/>
    </dxf>
    <dxf>
      <numFmt numFmtId="171" formatCode="_(&quot;Rp&quot;* #,##0_);_(&quot;Rp&quot;* \(#,##0\);_(&quot;Rp&quot;* &quot;-&quot;??_);_(@_)"/>
    </dxf>
    <dxf>
      <numFmt numFmtId="0" formatCode="General"/>
    </dxf>
    <dxf>
      <numFmt numFmtId="0" formatCode="General"/>
    </dxf>
    <dxf>
      <numFmt numFmtId="0" formatCode="General"/>
    </dxf>
    <dxf>
      <numFmt numFmtId="0" formatCode="General"/>
    </dxf>
    <dxf>
      <font>
        <b/>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i val="0"/>
        <strike val="0"/>
        <condense val="0"/>
        <extend val="0"/>
        <outline val="0"/>
        <shadow val="0"/>
        <u val="none"/>
        <vertAlign val="baseline"/>
        <sz val="11"/>
        <color theme="1"/>
        <name val="Calibri"/>
        <family val="2"/>
        <scheme val="minor"/>
      </font>
      <numFmt numFmtId="19" formatCode="dd/mm/yyyy"/>
      <alignment horizontal="center" vertical="center" textRotation="0" wrapText="1" indent="0" justifyLastLine="0" shrinkToFit="0" readingOrder="0"/>
    </dxf>
    <dxf>
      <font>
        <b/>
        <i val="0"/>
        <strike val="0"/>
        <condense val="0"/>
        <extend val="0"/>
        <outline val="0"/>
        <shadow val="0"/>
        <u val="none"/>
        <vertAlign val="baseline"/>
        <sz val="11"/>
        <color theme="1"/>
        <name val="Calibri"/>
        <family val="2"/>
        <scheme val="minor"/>
      </font>
      <numFmt numFmtId="19" formatCode="dd/mm/yyyy"/>
      <alignment horizontal="center" vertical="center" textRotation="0" wrapText="1" indent="0" justifyLastLine="0" shrinkToFit="0" readingOrder="0"/>
    </dxf>
    <dxf>
      <font>
        <b/>
        <i val="0"/>
        <strike val="0"/>
        <condense val="0"/>
        <extend val="0"/>
        <outline val="0"/>
        <shadow val="0"/>
        <u val="none"/>
        <vertAlign val="baseline"/>
        <sz val="11"/>
        <color theme="1"/>
        <name val="Calibri"/>
        <family val="2"/>
        <scheme val="minor"/>
      </font>
      <numFmt numFmtId="19" formatCode="dd/mm/yyyy"/>
      <alignment horizontal="center" vertical="center" textRotation="0" wrapText="1" indent="0" justifyLastLine="0" shrinkToFit="0" readingOrder="0"/>
    </dxf>
    <dxf>
      <font>
        <b/>
        <i val="0"/>
        <strike val="0"/>
        <condense val="0"/>
        <extend val="0"/>
        <outline val="0"/>
        <shadow val="0"/>
        <u val="none"/>
        <vertAlign val="baseline"/>
        <sz val="11"/>
        <color theme="1"/>
        <name val="Calibri"/>
        <family val="2"/>
        <scheme val="minor"/>
      </font>
      <numFmt numFmtId="19" formatCode="dd/mm/yyyy"/>
      <alignment horizontal="center" vertical="center" textRotation="0" wrapText="1" indent="0" justifyLastLine="0" shrinkToFit="0" readingOrder="0"/>
    </dxf>
    <dxf>
      <font>
        <b/>
        <i val="0"/>
        <strike val="0"/>
        <condense val="0"/>
        <extend val="0"/>
        <outline val="0"/>
        <shadow val="0"/>
        <u val="none"/>
        <vertAlign val="baseline"/>
        <sz val="11"/>
        <color theme="1"/>
        <name val="Calibri"/>
        <family val="2"/>
        <scheme val="minor"/>
      </font>
      <numFmt numFmtId="19" formatCode="dd/mm/yyyy"/>
      <alignment horizontal="center" vertical="center" textRotation="0" wrapText="1" indent="0" justifyLastLine="0" shrinkToFit="0" readingOrder="0"/>
    </dxf>
    <dxf>
      <font>
        <b/>
        <i val="0"/>
        <strike val="0"/>
        <condense val="0"/>
        <extend val="0"/>
        <outline val="0"/>
        <shadow val="0"/>
        <u val="none"/>
        <vertAlign val="baseline"/>
        <sz val="11"/>
        <color theme="1"/>
        <name val="Calibri"/>
        <family val="2"/>
        <scheme val="minor"/>
      </font>
      <numFmt numFmtId="19" formatCode="dd/mm/yyyy"/>
      <alignment horizontal="center" vertical="center" textRotation="0" wrapText="1" indent="0" justifyLastLine="0" shrinkToFit="0" readingOrder="0"/>
    </dxf>
    <dxf>
      <font>
        <b/>
        <i val="0"/>
        <strike val="0"/>
        <condense val="0"/>
        <extend val="0"/>
        <outline val="0"/>
        <shadow val="0"/>
        <u val="none"/>
        <vertAlign val="baseline"/>
        <sz val="11"/>
        <color theme="1"/>
        <name val="Calibri"/>
        <family val="2"/>
        <scheme val="minor"/>
      </font>
      <numFmt numFmtId="19" formatCode="dd/mm/yyyy"/>
      <alignment horizontal="center" vertical="center" textRotation="0" wrapText="1" indent="0" justifyLastLine="0" shrinkToFit="0" readingOrder="0"/>
    </dxf>
    <dxf>
      <font>
        <b/>
        <i val="0"/>
        <strike val="0"/>
        <condense val="0"/>
        <extend val="0"/>
        <outline val="0"/>
        <shadow val="0"/>
        <u val="none"/>
        <vertAlign val="baseline"/>
        <sz val="11"/>
        <color theme="1"/>
        <name val="Calibri"/>
        <family val="2"/>
        <scheme val="minor"/>
      </font>
      <numFmt numFmtId="19" formatCode="dd/mm/yyyy"/>
      <alignment horizontal="center" vertical="center" textRotation="0" wrapText="1" indent="0" justifyLastLine="0" shrinkToFit="0" readingOrder="0"/>
    </dxf>
    <dxf>
      <font>
        <b/>
        <i val="0"/>
        <strike val="0"/>
        <condense val="0"/>
        <extend val="0"/>
        <outline val="0"/>
        <shadow val="0"/>
        <u val="none"/>
        <vertAlign val="baseline"/>
        <sz val="11"/>
        <color theme="1"/>
        <name val="Calibri"/>
        <family val="2"/>
        <scheme val="minor"/>
      </font>
      <numFmt numFmtId="19" formatCode="dd/mm/yyyy"/>
      <alignment horizontal="center" vertical="center" textRotation="0" wrapText="0" indent="0" justifyLastLine="0" shrinkToFit="0" readingOrder="0"/>
    </dxf>
    <dxf>
      <font>
        <b/>
        <i val="0"/>
        <strike val="0"/>
        <condense val="0"/>
        <extend val="0"/>
        <outline val="0"/>
        <shadow val="0"/>
        <u val="none"/>
        <vertAlign val="baseline"/>
        <sz val="11"/>
        <color theme="1"/>
        <name val="Calibri"/>
        <family val="2"/>
        <scheme val="minor"/>
      </font>
      <numFmt numFmtId="19" formatCode="dd/mm/yyyy"/>
      <alignment horizontal="center" vertical="center"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i val="0"/>
        <strike val="0"/>
        <condense val="0"/>
        <extend val="0"/>
        <outline val="0"/>
        <shadow val="0"/>
        <u val="none"/>
        <vertAlign val="baseline"/>
        <sz val="11"/>
        <color theme="1"/>
        <name val="Calibri"/>
        <family val="2"/>
        <scheme val="minor"/>
      </font>
      <numFmt numFmtId="32" formatCode="_-&quot;Rp&quot;* #,##0_-;\-&quot;Rp&quot;* #,##0_-;_-&quot;Rp&quot;* &quot;-&quot;_-;_-@_-"/>
      <alignment horizontal="center" vertical="center" textRotation="0" wrapText="1" indent="0" justifyLastLine="0" shrinkToFit="0" readingOrder="0"/>
    </dxf>
    <dxf>
      <font>
        <b/>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i val="0"/>
        <strike val="0"/>
        <condense val="0"/>
        <extend val="0"/>
        <outline val="0"/>
        <shadow val="0"/>
        <u val="none"/>
        <vertAlign val="baseline"/>
        <sz val="11"/>
        <color theme="1"/>
        <name val="Calibri"/>
        <family val="2"/>
        <scheme val="minor"/>
      </font>
      <numFmt numFmtId="32" formatCode="_-&quot;Rp&quot;* #,##0_-;\-&quot;Rp&quot;* #,##0_-;_-&quot;Rp&quot;* &quot;-&quot;_-;_-@_-"/>
      <alignment horizontal="center" vertical="center" textRotation="0" wrapText="1" indent="0" justifyLastLine="0" shrinkToFit="0" readingOrder="0"/>
    </dxf>
    <dxf>
      <font>
        <b/>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i val="0"/>
        <strike val="0"/>
        <condense val="0"/>
        <extend val="0"/>
        <outline val="0"/>
        <shadow val="0"/>
        <u val="none"/>
        <vertAlign val="baseline"/>
        <sz val="11"/>
        <color theme="1"/>
        <name val="Calibri"/>
        <family val="2"/>
        <scheme val="minor"/>
      </font>
      <numFmt numFmtId="166" formatCode="_-* #,##0.00_-;\-* #,##0.00_-;_-* &quot;-&quot;_-;_-@_-"/>
      <alignment horizontal="center" vertical="center" textRotation="0" wrapText="1" indent="0" justifyLastLine="0" shrinkToFit="0" readingOrder="0"/>
    </dxf>
    <dxf>
      <font>
        <b/>
        <i val="0"/>
        <strike val="0"/>
        <condense val="0"/>
        <extend val="0"/>
        <outline val="0"/>
        <shadow val="0"/>
        <u val="none"/>
        <vertAlign val="baseline"/>
        <sz val="11"/>
        <color theme="1"/>
        <name val="Calibri"/>
        <family val="2"/>
        <scheme val="minor"/>
      </font>
      <numFmt numFmtId="166" formatCode="_-* #,##0.00_-;\-* #,##0.00_-;_-* &quot;-&quot;_-;_-@_-"/>
      <alignment horizontal="center" vertical="center" textRotation="0" wrapText="1" indent="0" justifyLastLine="0" shrinkToFit="0" readingOrder="0"/>
    </dxf>
    <dxf>
      <font>
        <b/>
        <i val="0"/>
        <strike val="0"/>
        <condense val="0"/>
        <extend val="0"/>
        <outline val="0"/>
        <shadow val="0"/>
        <u val="none"/>
        <vertAlign val="baseline"/>
        <sz val="11"/>
        <color theme="1"/>
        <name val="Calibri"/>
        <family val="2"/>
        <scheme val="minor"/>
      </font>
      <numFmt numFmtId="32" formatCode="_-&quot;Rp&quot;* #,##0_-;\-&quot;Rp&quot;* #,##0_-;_-&quot;Rp&quot;* &quot;-&quot;_-;_-@_-"/>
      <alignment horizontal="center" vertical="center" textRotation="0" wrapText="1" indent="0" justifyLastLine="0" shrinkToFit="0" readingOrder="0"/>
    </dxf>
    <dxf>
      <font>
        <b/>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i val="0"/>
        <strike val="0"/>
        <condense val="0"/>
        <extend val="0"/>
        <outline val="0"/>
        <shadow val="0"/>
        <u val="none"/>
        <vertAlign val="baseline"/>
        <sz val="11"/>
        <color theme="1"/>
        <name val="Calibri"/>
        <family val="2"/>
        <scheme val="minor"/>
      </font>
      <numFmt numFmtId="32" formatCode="_-&quot;Rp&quot;* #,##0_-;\-&quot;Rp&quot;* #,##0_-;_-&quot;Rp&quot;* &quot;-&quot;_-;_-@_-"/>
      <alignment horizontal="center" vertical="center" textRotation="0" wrapText="1" indent="0" justifyLastLine="0" shrinkToFit="0" readingOrder="0"/>
    </dxf>
    <dxf>
      <font>
        <b/>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i val="0"/>
        <strike val="0"/>
        <condense val="0"/>
        <extend val="0"/>
        <outline val="0"/>
        <shadow val="0"/>
        <u val="none"/>
        <vertAlign val="baseline"/>
        <sz val="11"/>
        <color theme="1"/>
        <name val="Calibri"/>
        <family val="2"/>
        <scheme val="minor"/>
      </font>
      <alignment horizontal="left" vertical="center" textRotation="0" wrapText="0" indent="1" justifyLastLine="0" shrinkToFit="0" readingOrder="0"/>
    </dxf>
    <dxf>
      <font>
        <b/>
        <i val="0"/>
        <strike val="0"/>
        <condense val="0"/>
        <extend val="0"/>
        <outline val="0"/>
        <shadow val="0"/>
        <u val="none"/>
        <vertAlign val="baseline"/>
        <sz val="11"/>
        <color theme="1"/>
        <name val="Calibri"/>
        <family val="2"/>
        <scheme val="minor"/>
      </font>
      <alignment horizontal="left" vertical="center" textRotation="0" wrapText="0" relativeIndent="1" justifyLastLine="0" shrinkToFit="0" readingOrder="0"/>
    </dxf>
    <dxf>
      <font>
        <b/>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border outline="0">
        <top style="thin">
          <color auto="1"/>
        </top>
      </border>
    </dxf>
    <dxf>
      <font>
        <b/>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border outline="0">
        <bottom style="double">
          <color auto="1"/>
        </bottom>
      </border>
    </dxf>
    <dxf>
      <font>
        <b/>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border diagonalUp="0" diagonalDown="0" outline="0">
        <left style="thin">
          <color auto="1"/>
        </left>
        <right style="thin">
          <color auto="1"/>
        </right>
        <top/>
        <bottom/>
      </border>
    </dxf>
    <dxf>
      <alignment horizontal="left" vertical="bottom" textRotation="0" wrapText="0" indent="1" justifyLastLine="0" shrinkToFit="0" readingOrder="0"/>
    </dxf>
    <dxf>
      <alignment horizontal="left" vertical="bottom" textRotation="0" wrapText="0" relativeIndent="1" justifyLastLine="0" shrinkToFit="0" readingOrder="0"/>
    </dxf>
    <dxf>
      <numFmt numFmtId="32" formatCode="_-&quot;Rp&quot;* #,##0_-;\-&quot;Rp&quot;* #,##0_-;_-&quot;Rp&quot;* &quot;-&quot;_-;_-@_-"/>
    </dxf>
    <dxf>
      <font>
        <b val="0"/>
        <i val="0"/>
        <strike val="0"/>
        <condense val="0"/>
        <extend val="0"/>
        <outline val="0"/>
        <shadow val="0"/>
        <u val="none"/>
        <vertAlign val="baseline"/>
        <sz val="11"/>
        <color auto="1"/>
        <name val="Calibri"/>
        <family val="2"/>
        <scheme val="minor"/>
      </font>
      <numFmt numFmtId="169" formatCode="[$-421]dd\ mmmm\ yyyy;@"/>
    </dxf>
    <dxf>
      <numFmt numFmtId="32" formatCode="_-&quot;Rp&quot;* #,##0_-;\-&quot;Rp&quot;* #,##0_-;_-&quot;Rp&quot;* &quot;-&quot;_-;_-@_-"/>
    </dxf>
    <dxf>
      <numFmt numFmtId="166" formatCode="_-* #,##0.00_-;\-* #,##0.00_-;_-* &quot;-&quot;_-;_-@_-"/>
    </dxf>
    <dxf>
      <font>
        <b val="0"/>
        <i val="0"/>
        <strike val="0"/>
        <condense val="0"/>
        <extend val="0"/>
        <outline val="0"/>
        <shadow val="0"/>
        <u val="none"/>
        <vertAlign val="baseline"/>
        <sz val="11"/>
        <color auto="1"/>
        <name val="Calibri"/>
        <family val="2"/>
        <scheme val="minor"/>
      </font>
      <numFmt numFmtId="0" formatCode="General"/>
      <alignment horizontal="center" vertical="center" textRotation="0" wrapText="0" indent="0" justifyLastLine="0" shrinkToFit="0" readingOrder="0"/>
    </dxf>
    <dxf>
      <numFmt numFmtId="166" formatCode="_-* #,##0.00_-;\-* #,##0.00_-;_-* &quot;-&quot;_-;_-@_-"/>
    </dxf>
    <dxf>
      <font>
        <b val="0"/>
        <i val="0"/>
        <strike val="0"/>
        <condense val="0"/>
        <extend val="0"/>
        <outline val="0"/>
        <shadow val="0"/>
        <u val="none"/>
        <vertAlign val="baseline"/>
        <sz val="11"/>
        <color theme="1"/>
        <name val="Calibri"/>
        <family val="2"/>
        <scheme val="minor"/>
      </font>
      <numFmt numFmtId="34" formatCode="_-&quot;Rp&quot;* #,##0.00_-;\-&quot;Rp&quot;* #,##0.00_-;_-&quot;Rp&quot;* &quot;-&quot;??_-;_-@_-"/>
    </dxf>
    <dxf>
      <numFmt numFmtId="0" formatCode="General"/>
    </dxf>
    <dxf>
      <alignment horizontal="center" vertical="center" textRotation="0" indent="0" justifyLastLine="0" shrinkToFit="0" readingOrder="0"/>
    </dxf>
    <dxf>
      <font>
        <strike val="0"/>
        <outline val="0"/>
        <shadow val="0"/>
        <u val="none"/>
        <vertAlign val="baseline"/>
        <color auto="1"/>
        <name val="Calibri"/>
        <family val="2"/>
        <scheme val="minor"/>
      </font>
    </dxf>
    <dxf>
      <alignment horizontal="right" vertical="bottom" textRotation="0" wrapText="0" indent="0" justifyLastLine="0" shrinkToFit="0" readingOrder="0"/>
    </dxf>
    <dxf>
      <font>
        <strike val="0"/>
        <outline val="0"/>
        <shadow val="0"/>
        <u val="none"/>
        <vertAlign val="baseline"/>
        <color auto="1"/>
        <name val="Calibri"/>
        <family val="2"/>
        <scheme val="minor"/>
      </font>
      <alignment horizontal="right" textRotation="0" wrapText="0" indent="0" justifyLastLine="0" shrinkToFit="0" readingOrder="0"/>
    </dxf>
    <dxf>
      <alignment horizontal="left" vertical="bottom" textRotation="0" wrapText="0" indent="2" justifyLastLine="0" shrinkToFit="0" readingOrder="0"/>
    </dxf>
    <dxf>
      <font>
        <b/>
        <strike val="0"/>
        <outline val="0"/>
        <shadow val="0"/>
        <u val="none"/>
        <vertAlign val="baseline"/>
        <color auto="1"/>
        <name val="Calibri"/>
        <family val="2"/>
        <scheme val="minor"/>
      </font>
      <alignment horizontal="left" vertical="bottom" textRotation="0" wrapText="0" relativeIndent="1" justifyLastLine="0" shrinkToFit="0" readingOrder="0"/>
    </dxf>
    <dxf>
      <font>
        <b/>
        <strike val="0"/>
        <outline val="0"/>
        <shadow val="0"/>
        <u val="none"/>
        <vertAlign val="baseline"/>
        <color auto="1"/>
        <name val="Calibri"/>
        <family val="2"/>
        <scheme val="minor"/>
      </font>
      <alignment horizontal="center" vertical="center" textRotation="0" wrapText="0" indent="0" justifyLastLine="0" shrinkToFit="0" readingOrder="0"/>
    </dxf>
    <dxf>
      <font>
        <strike val="0"/>
        <outline val="0"/>
        <shadow val="0"/>
        <u val="none"/>
        <vertAlign val="baseline"/>
        <color auto="1"/>
        <name val="Calibri"/>
        <family val="2"/>
        <scheme val="minor"/>
      </font>
      <numFmt numFmtId="167" formatCode="[$-F800]dddd\,\ mmmm\ dd\,\ yyyy"/>
    </dxf>
    <dxf>
      <numFmt numFmtId="32" formatCode="_-&quot;Rp&quot;* #,##0_-;\-&quot;Rp&quot;* #,##0_-;_-&quot;Rp&quot;* &quot;-&quot;_-;_-@_-"/>
    </dxf>
    <dxf>
      <font>
        <strike val="0"/>
        <outline val="0"/>
        <shadow val="0"/>
        <u val="none"/>
        <vertAlign val="baseline"/>
        <color auto="1"/>
        <name val="Calibri"/>
        <family val="2"/>
        <scheme val="minor"/>
      </font>
    </dxf>
    <dxf>
      <numFmt numFmtId="166" formatCode="_-* #,##0.00_-;\-* #,##0.00_-;_-* &quot;-&quot;_-;_-@_-"/>
    </dxf>
    <dxf>
      <font>
        <b val="0"/>
        <i val="0"/>
        <strike val="0"/>
        <condense val="0"/>
        <extend val="0"/>
        <outline val="0"/>
        <shadow val="0"/>
        <u val="none"/>
        <vertAlign val="baseline"/>
        <sz val="11"/>
        <color auto="1"/>
        <name val="Calibri"/>
        <family val="2"/>
        <scheme val="minor"/>
      </font>
      <numFmt numFmtId="32" formatCode="_-&quot;Rp&quot;* #,##0_-;\-&quot;Rp&quot;* #,##0_-;_-&quot;Rp&quot;* &quot;-&quot;_-;_-@_-"/>
    </dxf>
    <dxf>
      <numFmt numFmtId="166" formatCode="_-* #,##0.00_-;\-* #,##0.00_-;_-* &quot;-&quot;_-;_-@_-"/>
    </dxf>
    <dxf>
      <font>
        <b val="0"/>
        <i val="0"/>
        <strike val="0"/>
        <condense val="0"/>
        <extend val="0"/>
        <outline val="0"/>
        <shadow val="0"/>
        <u val="none"/>
        <vertAlign val="baseline"/>
        <sz val="11"/>
        <color auto="1"/>
        <name val="Calibri"/>
        <family val="2"/>
        <scheme val="minor"/>
      </font>
    </dxf>
    <dxf>
      <numFmt numFmtId="166" formatCode="_-* #,##0.00_-;\-* #,##0.00_-;_-* &quot;-&quot;_-;_-@_-"/>
    </dxf>
    <dxf>
      <font>
        <b val="0"/>
        <i val="0"/>
        <strike val="0"/>
        <condense val="0"/>
        <extend val="0"/>
        <outline val="0"/>
        <shadow val="0"/>
        <u val="none"/>
        <vertAlign val="baseline"/>
        <sz val="11"/>
        <color auto="1"/>
        <name val="Calibri"/>
        <family val="2"/>
        <scheme val="minor"/>
      </font>
      <numFmt numFmtId="166" formatCode="_-* #,##0.00_-;\-* #,##0.00_-;_-* &quot;-&quot;_-;_-@_-"/>
    </dxf>
    <dxf>
      <numFmt numFmtId="166" formatCode="_-* #,##0.00_-;\-* #,##0.00_-;_-* &quot;-&quot;_-;_-@_-"/>
    </dxf>
    <dxf>
      <font>
        <strike val="0"/>
        <outline val="0"/>
        <shadow val="0"/>
        <u val="none"/>
        <vertAlign val="baseline"/>
        <color auto="1"/>
        <name val="Calibri"/>
        <family val="2"/>
        <scheme val="minor"/>
      </font>
      <numFmt numFmtId="166" formatCode="_-* #,##0.00_-;\-* #,##0.00_-;_-* &quot;-&quot;_-;_-@_-"/>
    </dxf>
    <dxf>
      <font>
        <strike val="0"/>
        <outline val="0"/>
        <shadow val="0"/>
        <u val="none"/>
        <vertAlign val="baseline"/>
        <color auto="1"/>
        <name val="Calibri"/>
        <family val="2"/>
        <scheme val="minor"/>
      </font>
    </dxf>
    <dxf>
      <font>
        <strike val="0"/>
        <outline val="0"/>
        <shadow val="0"/>
        <u val="none"/>
        <vertAlign val="baseline"/>
        <color auto="1"/>
        <name val="Calibri"/>
        <family val="2"/>
        <scheme val="minor"/>
      </font>
    </dxf>
    <dxf>
      <font>
        <strike val="0"/>
        <outline val="0"/>
        <shadow val="0"/>
        <u val="none"/>
        <vertAlign val="baseline"/>
        <color auto="1"/>
        <name val="Calibri"/>
        <family val="2"/>
        <scheme val="minor"/>
      </font>
    </dxf>
    <dxf>
      <alignment horizontal="center" vertical="center" textRotation="0" indent="0" justifyLastLine="0" shrinkToFit="0" readingOrder="0"/>
    </dxf>
    <dxf>
      <numFmt numFmtId="13" formatCode="0%"/>
      <alignment horizontal="center" vertical="center" textRotation="0" wrapText="0" indent="0" justifyLastLine="0" shrinkToFit="0" readingOrder="0"/>
    </dxf>
    <dxf>
      <alignment horizontal="center" vertical="center" textRotation="0" wrapText="0" indent="0" justifyLastLine="0" shrinkToFit="0" readingOrder="0"/>
    </dxf>
    <dxf>
      <numFmt numFmtId="165" formatCode="_(* #,##0.00_);_(* \(#,##0.00\);_(* &quot;-&quot;??_);_(@_)"/>
    </dxf>
    <dxf>
      <numFmt numFmtId="166" formatCode="_-* #,##0.00_-;\-* #,##0.00_-;_-* &quot;-&quot;_-;_-@_-"/>
    </dxf>
    <dxf>
      <alignment horizontal="center" vertical="center" textRotation="0" wrapText="0" indent="0" justifyLastLine="0" shrinkToFit="0" readingOrder="0"/>
    </dxf>
    <dxf>
      <numFmt numFmtId="0" formatCode="General"/>
      <alignment horizontal="center" vertical="center" textRotation="0" indent="0" justifyLastLine="0" shrinkToFit="0" readingOrder="0"/>
    </dxf>
    <dxf>
      <numFmt numFmtId="166" formatCode="_-* #,##0.00_-;\-* #,##0.00_-;_-* &quot;-&quot;_-;_-@_-"/>
    </dxf>
    <dxf>
      <numFmt numFmtId="166" formatCode="_-* #,##0.00_-;\-* #,##0.00_-;_-* &quot;-&quot;_-;_-@_-"/>
    </dxf>
    <dxf>
      <alignment horizontal="center" vertical="center" textRotation="0" wrapText="0" indent="0" justifyLastLine="0" shrinkToFit="0" readingOrder="0"/>
    </dxf>
    <dxf>
      <alignment horizontal="center" vertical="center" textRotation="0" indent="0" justifyLastLine="0" shrinkToFit="0" readingOrder="0"/>
    </dxf>
    <dxf>
      <alignment horizontal="center" vertical="center" textRotation="0" wrapText="0" indent="0" justifyLastLine="0" shrinkToFit="0" readingOrder="0"/>
    </dxf>
    <dxf>
      <alignment horizontal="center" vertical="center" textRotation="0" indent="0" justifyLastLine="0" shrinkToFit="0" readingOrder="0"/>
    </dxf>
    <dxf>
      <border outline="0">
        <top style="thin">
          <color theme="4" tint="0.39997558519241921"/>
        </top>
      </border>
    </dxf>
    <dxf>
      <border outline="0">
        <bottom style="thin">
          <color theme="4" tint="0.39997558519241921"/>
        </bottom>
      </border>
    </dxf>
    <dxf>
      <font>
        <b/>
        <i val="0"/>
        <strike val="0"/>
        <condense val="0"/>
        <extend val="0"/>
        <outline val="0"/>
        <shadow val="0"/>
        <u val="none"/>
        <vertAlign val="baseline"/>
        <sz val="11"/>
        <color theme="0"/>
        <name val="Calibri"/>
        <family val="2"/>
        <scheme val="minor"/>
      </font>
      <fill>
        <patternFill patternType="solid">
          <fgColor theme="4"/>
          <bgColor theme="4"/>
        </patternFill>
      </fill>
      <alignment horizontal="center" vertical="center" textRotation="0" wrapText="1"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numFmt numFmtId="19" formatCode="dd/mm/yyyy"/>
    </dxf>
    <dxf>
      <numFmt numFmtId="19" formatCode="dd/mm/yyyy"/>
    </dxf>
    <dxf>
      <font>
        <b val="0"/>
        <i val="0"/>
        <strike val="0"/>
        <condense val="0"/>
        <extend val="0"/>
        <outline val="0"/>
        <shadow val="0"/>
        <u val="none"/>
        <vertAlign val="baseline"/>
        <sz val="11"/>
        <color theme="1"/>
        <name val="Calibri"/>
        <family val="2"/>
        <scheme val="minor"/>
      </font>
      <numFmt numFmtId="166" formatCode="_-* #,##0.00_-;\-* #,##0.00_-;_-* &quot;-&quot;_-;_-@_-"/>
    </dxf>
    <dxf>
      <font>
        <b val="0"/>
        <i val="0"/>
        <strike val="0"/>
        <condense val="0"/>
        <extend val="0"/>
        <outline val="0"/>
        <shadow val="0"/>
        <u val="none"/>
        <vertAlign val="baseline"/>
        <sz val="11"/>
        <color theme="1"/>
        <name val="Calibri"/>
        <family val="2"/>
        <scheme val="minor"/>
      </font>
      <numFmt numFmtId="166" formatCode="_-* #,##0.00_-;\-* #,##0.00_-;_-* &quot;-&quot;_-;_-@_-"/>
    </dxf>
    <dxf>
      <font>
        <b val="0"/>
        <i val="0"/>
        <strike val="0"/>
        <condense val="0"/>
        <extend val="0"/>
        <outline val="0"/>
        <shadow val="0"/>
        <u val="none"/>
        <vertAlign val="baseline"/>
        <sz val="11"/>
        <color theme="1"/>
        <name val="Calibri"/>
        <family val="2"/>
        <scheme val="minor"/>
      </font>
      <numFmt numFmtId="166" formatCode="_-* #,##0.00_-;\-* #,##0.00_-;_-* &quot;-&quot;_-;_-@_-"/>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6" formatCode="_-* #,##0.00_-;\-* #,##0.00_-;_-* &quot;-&quot;_-;_-@_-"/>
      <alignment horizontal="center" vertical="center" textRotation="0" wrapText="0" indent="0" justifyLastLine="0" shrinkToFit="0" readingOrder="0"/>
    </dxf>
    <dxf>
      <numFmt numFmtId="166" formatCode="_-* #,##0.00_-;\-* #,##0.00_-;_-* &quot;-&quot;_-;_-@_-"/>
    </dxf>
    <dxf>
      <numFmt numFmtId="166" formatCode="_-* #,##0.00_-;\-* #,##0.00_-;_-* &quot;-&quot;_-;_-@_-"/>
    </dxf>
    <dxf>
      <numFmt numFmtId="166" formatCode="_-* #,##0.00_-;\-* #,##0.00_-;_-* &quot;-&quot;_-;_-@_-"/>
    </dxf>
    <dxf>
      <numFmt numFmtId="166" formatCode="_-* #,##0.00_-;\-* #,##0.00_-;_-* &quot;-&quot;_-;_-@_-"/>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6" formatCode="_-* #,##0.00_-;\-* #,##0.00_-;_-* &quot;-&quot;_-;_-@_-"/>
      <alignment horizontal="center" vertical="center" textRotation="0" wrapText="0" indent="0" justifyLastLine="0" shrinkToFit="0" readingOrder="0"/>
    </dxf>
    <dxf>
      <numFmt numFmtId="166" formatCode="_-* #,##0.00_-;\-* #,##0.00_-;_-* &quot;-&quot;_-;_-@_-"/>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left" vertical="bottom" textRotation="0" wrapText="0" indent="1" justifyLastLine="0" shrinkToFit="0" readingOrder="0"/>
    </dxf>
    <dxf>
      <alignment horizontal="left" vertical="bottom" textRotation="0" wrapText="0" indent="1" justifyLastLine="0" shrinkToFit="0" readingOrder="0"/>
    </dxf>
    <dxf>
      <alignment horizontal="left" vertical="bottom" textRotation="0" wrapText="0" indent="1" justifyLastLine="0" shrinkToFit="0" readingOrder="0"/>
    </dxf>
    <dxf>
      <alignment horizontal="left" vertical="bottom" textRotation="0" wrapText="0" indent="1"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left" vertical="center" textRotation="0" wrapText="0" indent="1" justifyLastLine="0" shrinkToFit="0" readingOrder="0"/>
    </dxf>
    <dxf>
      <alignment horizontal="left" vertical="center" textRotation="0" wrapText="0" indent="1" justifyLastLine="0" shrinkToFit="0" readingOrder="0"/>
    </dxf>
    <dxf>
      <border outline="0">
        <top style="thin">
          <color theme="4" tint="0.39997558519241921"/>
        </top>
      </border>
    </dxf>
    <dxf>
      <border outline="0">
        <bottom style="thin">
          <color theme="4" tint="0.39997558519241921"/>
        </bottom>
      </border>
    </dxf>
    <dxf>
      <font>
        <b/>
        <i val="0"/>
        <strike val="0"/>
        <condense val="0"/>
        <extend val="0"/>
        <outline val="0"/>
        <shadow val="0"/>
        <u val="none"/>
        <vertAlign val="baseline"/>
        <sz val="11"/>
        <color theme="0"/>
        <name val="Calibri"/>
        <family val="2"/>
        <scheme val="minor"/>
      </font>
      <fill>
        <patternFill patternType="solid">
          <fgColor theme="4"/>
          <bgColor theme="4"/>
        </patternFill>
      </fill>
      <alignment horizontal="center" vertical="center" textRotation="0" wrapText="0" indent="0" justifyLastLine="0" shrinkToFit="0" readingOrder="0"/>
    </dxf>
    <dxf>
      <border outline="0">
        <top style="thin">
          <color theme="4" tint="0.39997558519241921"/>
        </top>
      </border>
    </dxf>
    <dxf>
      <border outline="0">
        <bottom style="thin">
          <color theme="4" tint="0.39997558519241921"/>
        </bottom>
      </border>
    </dxf>
    <dxf>
      <font>
        <b/>
        <i val="0"/>
        <strike val="0"/>
        <condense val="0"/>
        <extend val="0"/>
        <outline val="0"/>
        <shadow val="0"/>
        <u val="none"/>
        <vertAlign val="baseline"/>
        <sz val="11"/>
        <color theme="0"/>
        <name val="Calibri"/>
        <family val="2"/>
        <scheme val="minor"/>
      </font>
      <fill>
        <patternFill patternType="solid">
          <fgColor theme="4"/>
          <bgColor theme="4"/>
        </patternFill>
      </fill>
      <alignment horizontal="center" vertical="center" textRotation="0" wrapText="1" indent="0" justifyLastLine="0" shrinkToFit="0" readingOrder="0"/>
    </dxf>
    <dxf>
      <font>
        <b/>
        <i val="0"/>
        <strike val="0"/>
        <condense val="0"/>
        <extend val="0"/>
        <outline val="0"/>
        <shadow val="0"/>
        <u val="none"/>
        <vertAlign val="baseline"/>
        <sz val="11"/>
        <color rgb="FFFF0000"/>
        <name val="Calibri"/>
        <family val="2"/>
        <scheme val="minor"/>
      </font>
    </dxf>
    <dxf>
      <font>
        <b val="0"/>
        <i val="0"/>
        <strike val="0"/>
        <condense val="0"/>
        <extend val="0"/>
        <outline val="0"/>
        <shadow val="0"/>
        <u val="none"/>
        <vertAlign val="baseline"/>
        <sz val="10"/>
        <color theme="1"/>
        <name val="Calibri"/>
        <family val="2"/>
        <scheme val="minor"/>
      </font>
      <numFmt numFmtId="166" formatCode="_-* #,##0.00_-;\-* #,##0.00_-;_-* &quot;-&quot;_-;_-@_-"/>
      <alignment horizontal="center" vertical="center" textRotation="0" wrapText="0" indent="0" justifyLastLine="0" shrinkToFit="0" readingOrder="0"/>
    </dxf>
    <dxf>
      <font>
        <b val="0"/>
        <i val="0"/>
        <strike val="0"/>
        <condense val="0"/>
        <extend val="0"/>
        <outline val="0"/>
        <shadow val="0"/>
        <u val="none"/>
        <vertAlign val="baseline"/>
        <sz val="10"/>
        <color theme="1"/>
        <name val="Calibri"/>
        <family val="2"/>
        <scheme val="minor"/>
      </font>
      <numFmt numFmtId="166" formatCode="_-* #,##0.00_-;\-* #,##0.00_-;_-* &quot;-&quot;_-;_-@_-"/>
      <alignment horizontal="center" vertical="center"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0"/>
        <color theme="1"/>
        <name val="Calibri"/>
        <family val="2"/>
        <scheme val="minor"/>
      </font>
      <numFmt numFmtId="0" formatCode="General"/>
      <alignment horizontal="center" vertical="center" textRotation="0" wrapText="0" indent="0" justifyLastLine="0" shrinkToFit="0" readingOrder="0"/>
    </dxf>
    <dxf>
      <font>
        <b val="0"/>
        <i val="0"/>
        <strike val="0"/>
        <condense val="0"/>
        <extend val="0"/>
        <outline val="0"/>
        <shadow val="0"/>
        <u val="none"/>
        <vertAlign val="baseline"/>
        <sz val="10"/>
        <color theme="1"/>
        <name val="Calibri"/>
        <family val="2"/>
        <scheme val="minor"/>
      </font>
      <numFmt numFmtId="19" formatCode="dd/mm/yyyy"/>
      <alignment horizontal="center" vertical="center" textRotation="0" wrapText="0" indent="0" justifyLastLine="0" shrinkToFit="0" readingOrder="0"/>
    </dxf>
    <dxf>
      <font>
        <b val="0"/>
        <i val="0"/>
        <strike val="0"/>
        <condense val="0"/>
        <extend val="0"/>
        <outline val="0"/>
        <shadow val="0"/>
        <u val="none"/>
        <vertAlign val="baseline"/>
        <sz val="10"/>
        <color theme="1"/>
        <name val="Calibri"/>
        <family val="2"/>
        <scheme val="minor"/>
      </font>
      <numFmt numFmtId="19" formatCode="dd/mm/yyyy"/>
      <alignment horizontal="center" vertical="center" textRotation="0" wrapText="0" indent="0" justifyLastLine="0" shrinkToFit="0" readingOrder="0"/>
    </dxf>
    <dxf>
      <numFmt numFmtId="19" formatCode="dd/mm/yyyy"/>
      <alignment horizontal="right" vertical="bottom" textRotation="0" wrapText="0" indent="0" justifyLastLine="0" shrinkToFit="0" readingOrder="0"/>
    </dxf>
    <dxf>
      <alignment horizontal="right" textRotation="0" wrapText="0" indent="0" justifyLastLine="0" shrinkToFit="0" readingOrder="0"/>
    </dxf>
    <dxf>
      <numFmt numFmtId="166" formatCode="_-* #,##0.00_-;\-* #,##0.00_-;_-* &quot;-&quot;_-;_-@_-"/>
    </dxf>
    <dxf>
      <numFmt numFmtId="166" formatCode="_-* #,##0.00_-;\-* #,##0.00_-;_-* &quot;-&quot;_-;_-@_-"/>
    </dxf>
    <dxf>
      <alignment horizontal="center" vertical="center" textRotation="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0"/>
        <color theme="1"/>
        <name val="Calibri"/>
        <family val="2"/>
        <scheme val="minor"/>
      </font>
      <numFmt numFmtId="19" formatCode="dd/mm/yyyy"/>
      <alignment horizontal="center" vertical="center" textRotation="0" wrapText="0" indent="0" justifyLastLine="0" shrinkToFit="0" readingOrder="0"/>
    </dxf>
    <dxf>
      <font>
        <b val="0"/>
        <i val="0"/>
        <strike val="0"/>
        <condense val="0"/>
        <extend val="0"/>
        <outline val="0"/>
        <shadow val="0"/>
        <u val="none"/>
        <vertAlign val="baseline"/>
        <sz val="10"/>
        <color theme="1"/>
        <name val="Calibri"/>
        <family val="2"/>
        <scheme val="minor"/>
      </font>
      <numFmt numFmtId="19" formatCode="dd/mm/yyyy"/>
      <alignment horizontal="center" vertical="center" textRotation="0" wrapText="0" indent="0" justifyLastLine="0" shrinkToFit="0" readingOrder="0"/>
    </dxf>
    <dxf>
      <font>
        <b val="0"/>
        <i val="0"/>
        <strike val="0"/>
        <condense val="0"/>
        <extend val="0"/>
        <outline val="0"/>
        <shadow val="0"/>
        <u val="none"/>
        <vertAlign val="baseline"/>
        <sz val="10"/>
        <color theme="1"/>
        <name val="Calibri"/>
        <family val="2"/>
        <scheme val="minor"/>
      </font>
      <numFmt numFmtId="19" formatCode="dd/mm/yyyy"/>
      <alignment horizontal="center" vertical="center" textRotation="0" wrapText="0" indent="0" justifyLastLine="0" shrinkToFit="0" readingOrder="0"/>
    </dxf>
    <dxf>
      <font>
        <b val="0"/>
        <i val="0"/>
        <strike val="0"/>
        <condense val="0"/>
        <extend val="0"/>
        <outline val="0"/>
        <shadow val="0"/>
        <u val="none"/>
        <vertAlign val="baseline"/>
        <sz val="10"/>
        <color theme="1"/>
        <name val="Calibri"/>
        <family val="2"/>
        <scheme val="minor"/>
      </font>
      <numFmt numFmtId="19" formatCode="dd/mm/yyyy"/>
      <alignment horizontal="center" vertical="center"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0"/>
        <color theme="1"/>
        <name val="Calibri"/>
        <family val="2"/>
        <scheme val="minor"/>
      </font>
      <numFmt numFmtId="0" formatCode="General"/>
      <alignment horizontal="center" vertical="center" textRotation="0" wrapText="0" indent="0" justifyLastLine="0" shrinkToFit="0" readingOrder="0"/>
    </dxf>
    <dxf>
      <font>
        <b val="0"/>
        <i val="0"/>
        <strike val="0"/>
        <condense val="0"/>
        <extend val="0"/>
        <outline val="0"/>
        <shadow val="0"/>
        <u val="none"/>
        <vertAlign val="baseline"/>
        <sz val="10"/>
        <color theme="1"/>
        <name val="Calibri"/>
        <family val="2"/>
        <scheme val="minor"/>
      </font>
      <numFmt numFmtId="169" formatCode="[$-421]dd\ mmmm\ yyyy;@"/>
      <alignment horizontal="center" vertical="center" textRotation="0" wrapText="0" indent="0" justifyLastLine="0" shrinkToFit="0" readingOrder="0"/>
    </dxf>
    <dxf>
      <font>
        <b val="0"/>
        <i val="0"/>
        <strike val="0"/>
        <condense val="0"/>
        <extend val="0"/>
        <outline val="0"/>
        <shadow val="0"/>
        <u val="none"/>
        <vertAlign val="baseline"/>
        <sz val="10"/>
        <color theme="1"/>
        <name val="Calibri"/>
        <family val="2"/>
        <scheme val="minor"/>
      </font>
      <numFmt numFmtId="19" formatCode="dd/mm/yyyy"/>
      <alignment horizontal="center" vertical="center" textRotation="0" wrapText="0" indent="0" justifyLastLine="0" shrinkToFit="0" readingOrder="0"/>
    </dxf>
    <dxf>
      <font>
        <b val="0"/>
        <i val="0"/>
        <strike val="0"/>
        <condense val="0"/>
        <extend val="0"/>
        <outline val="0"/>
        <shadow val="0"/>
        <u val="none"/>
        <vertAlign val="baseline"/>
        <sz val="10"/>
        <color theme="1"/>
        <name val="Calibri"/>
        <family val="2"/>
        <scheme val="minor"/>
      </font>
      <numFmt numFmtId="169" formatCode="[$-421]dd\ mmmm\ yyyy;@"/>
      <alignment horizontal="center" vertical="center" textRotation="0" wrapText="0" indent="0" justifyLastLine="0" shrinkToFit="0" readingOrder="0"/>
    </dxf>
    <dxf>
      <font>
        <b val="0"/>
        <i val="0"/>
        <strike val="0"/>
        <condense val="0"/>
        <extend val="0"/>
        <outline val="0"/>
        <shadow val="0"/>
        <u val="none"/>
        <vertAlign val="baseline"/>
        <sz val="10"/>
        <color theme="1"/>
        <name val="Calibri"/>
        <family val="2"/>
        <scheme val="minor"/>
      </font>
      <numFmt numFmtId="169" formatCode="[$-421]dd\ mmmm\ yyyy;@"/>
      <alignment horizontal="center" vertical="center"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0"/>
        <color theme="1"/>
        <name val="Calibri"/>
        <family val="2"/>
        <scheme val="minor"/>
      </font>
      <numFmt numFmtId="169" formatCode="[$-421]dd\ mmmm\ yyyy;@"/>
      <alignment horizontal="center" vertical="center" textRotation="0" wrapText="0" indent="0" justifyLastLine="0" shrinkToFit="0" readingOrder="0"/>
    </dxf>
    <dxf>
      <font>
        <b val="0"/>
        <i val="0"/>
        <strike val="0"/>
        <condense val="0"/>
        <extend val="0"/>
        <outline val="0"/>
        <shadow val="0"/>
        <u val="none"/>
        <vertAlign val="baseline"/>
        <sz val="10"/>
        <color theme="1"/>
        <name val="Calibri"/>
        <family val="2"/>
        <scheme val="minor"/>
      </font>
      <numFmt numFmtId="169" formatCode="[$-421]dd\ mmmm\ yyyy;@"/>
      <alignment horizontal="center" vertical="center" textRotation="0" wrapText="0" indent="0" justifyLastLine="0" shrinkToFit="0" readingOrder="0"/>
    </dxf>
    <dxf>
      <font>
        <b val="0"/>
        <i val="0"/>
        <strike val="0"/>
        <condense val="0"/>
        <extend val="0"/>
        <outline val="0"/>
        <shadow val="0"/>
        <u val="none"/>
        <vertAlign val="baseline"/>
        <sz val="10"/>
        <color theme="1"/>
        <name val="Calibri"/>
        <family val="2"/>
        <scheme val="minor"/>
      </font>
      <numFmt numFmtId="169" formatCode="[$-421]dd\ mmmm\ yyyy;@"/>
      <alignment horizontal="center" vertical="center" textRotation="0" wrapText="0" indent="0" justifyLastLine="0" shrinkToFit="0" readingOrder="0"/>
    </dxf>
    <dxf>
      <font>
        <b val="0"/>
        <i val="0"/>
        <strike val="0"/>
        <condense val="0"/>
        <extend val="0"/>
        <outline val="0"/>
        <shadow val="0"/>
        <u val="none"/>
        <vertAlign val="baseline"/>
        <sz val="10"/>
        <color theme="1"/>
        <name val="Calibri"/>
        <family val="2"/>
        <scheme val="minor"/>
      </font>
      <numFmt numFmtId="169" formatCode="[$-421]dd\ mmmm\ yyyy;@"/>
      <alignment horizontal="center" vertical="center" textRotation="0" wrapText="0" indent="0" justifyLastLine="0" shrinkToFit="0" readingOrder="0"/>
    </dxf>
    <dxf>
      <font>
        <b val="0"/>
        <i val="0"/>
        <strike val="0"/>
        <condense val="0"/>
        <extend val="0"/>
        <outline val="0"/>
        <shadow val="0"/>
        <u val="none"/>
        <vertAlign val="baseline"/>
        <sz val="10"/>
        <color theme="1"/>
        <name val="Calibri"/>
        <family val="2"/>
        <scheme val="minor"/>
      </font>
      <numFmt numFmtId="19" formatCode="dd/mm/yyyy"/>
      <alignment horizontal="center" vertical="center" textRotation="0" wrapText="0" indent="0" justifyLastLine="0" shrinkToFit="0" readingOrder="0"/>
    </dxf>
    <dxf>
      <font>
        <b/>
        <i val="0"/>
        <strike val="0"/>
        <condense val="0"/>
        <extend val="0"/>
        <outline val="0"/>
        <shadow val="0"/>
        <u val="none"/>
        <vertAlign val="baseline"/>
        <sz val="10"/>
        <color theme="1"/>
        <name val="Calibri"/>
        <family val="2"/>
        <scheme val="minor"/>
      </font>
      <numFmt numFmtId="165" formatCode="_(* #,##0.00_);_(* \(#,##0.00\);_(* &quot;-&quot;??_);_(@_)"/>
      <alignment horizontal="general" vertical="center" textRotation="0" wrapText="0" indent="0" justifyLastLine="0" shrinkToFit="0" readingOrder="0"/>
    </dxf>
    <dxf>
      <font>
        <b/>
        <i val="0"/>
        <strike val="0"/>
        <condense val="0"/>
        <extend val="0"/>
        <outline val="0"/>
        <shadow val="0"/>
        <u val="none"/>
        <vertAlign val="baseline"/>
        <sz val="10"/>
        <color theme="1"/>
        <name val="Calibri"/>
        <family val="2"/>
        <scheme val="minor"/>
      </font>
      <alignment horizontal="general" vertical="center" textRotation="0" wrapText="1" indent="0" justifyLastLine="0" shrinkToFit="0" readingOrder="0"/>
    </dxf>
    <dxf>
      <font>
        <b/>
        <i val="0"/>
        <strike val="0"/>
        <condense val="0"/>
        <extend val="0"/>
        <outline val="0"/>
        <shadow val="0"/>
        <u val="none"/>
        <vertAlign val="baseline"/>
        <sz val="10"/>
        <color theme="1"/>
        <name val="Calibri"/>
        <family val="2"/>
        <scheme val="minor"/>
      </font>
      <alignment horizontal="general" vertical="center" textRotation="0" wrapText="0" indent="0" justifyLastLine="0" shrinkToFit="0" readingOrder="0"/>
    </dxf>
    <dxf>
      <font>
        <b/>
        <i val="0"/>
        <strike val="0"/>
        <condense val="0"/>
        <extend val="0"/>
        <outline val="0"/>
        <shadow val="0"/>
        <u val="none"/>
        <vertAlign val="baseline"/>
        <sz val="10"/>
        <color theme="1"/>
        <name val="Calibri"/>
        <family val="2"/>
        <scheme val="minor"/>
      </font>
      <alignment horizontal="general" vertical="center" textRotation="0" wrapText="0" indent="0" justifyLastLine="0" shrinkToFit="0" readingOrder="0"/>
    </dxf>
    <dxf>
      <font>
        <b/>
        <i val="0"/>
        <strike val="0"/>
        <condense val="0"/>
        <extend val="0"/>
        <outline val="0"/>
        <shadow val="0"/>
        <u val="none"/>
        <vertAlign val="baseline"/>
        <sz val="10"/>
        <color theme="1"/>
        <name val="Calibri"/>
        <family val="2"/>
        <scheme val="minor"/>
      </font>
      <numFmt numFmtId="13" formatCode="0%"/>
      <alignment horizontal="center" vertical="center" textRotation="0" wrapText="0" indent="0" justifyLastLine="0" shrinkToFit="0" readingOrder="0"/>
    </dxf>
    <dxf>
      <font>
        <b/>
        <i val="0"/>
        <strike val="0"/>
        <condense val="0"/>
        <extend val="0"/>
        <outline val="0"/>
        <shadow val="0"/>
        <u val="none"/>
        <vertAlign val="baseline"/>
        <sz val="10"/>
        <color theme="1"/>
        <name val="Calibri"/>
        <family val="2"/>
        <scheme val="minor"/>
      </font>
      <alignment horizontal="center" vertical="center" textRotation="0" wrapText="0" indent="0" justifyLastLine="0" shrinkToFit="0" readingOrder="0"/>
    </dxf>
    <dxf>
      <font>
        <b/>
        <i val="0"/>
        <strike val="0"/>
        <condense val="0"/>
        <extend val="0"/>
        <outline val="0"/>
        <shadow val="0"/>
        <u val="none"/>
        <vertAlign val="baseline"/>
        <sz val="10"/>
        <color theme="1"/>
        <name val="Calibri"/>
        <family val="2"/>
        <scheme val="minor"/>
      </font>
      <alignment horizontal="left" vertical="center" textRotation="0" wrapText="0" indent="1" justifyLastLine="0" shrinkToFit="0" readingOrder="0"/>
    </dxf>
    <dxf>
      <font>
        <b/>
        <i val="0"/>
        <strike val="0"/>
        <condense val="0"/>
        <extend val="0"/>
        <outline val="0"/>
        <shadow val="0"/>
        <u val="none"/>
        <vertAlign val="baseline"/>
        <sz val="10"/>
        <color theme="1"/>
        <name val="Calibri"/>
        <family val="2"/>
        <scheme val="minor"/>
      </font>
      <alignment horizontal="left" vertical="center" textRotation="0" wrapText="0" relativeIndent="1" justifyLastLine="0" shrinkToFit="0" readingOrder="0"/>
    </dxf>
    <dxf>
      <font>
        <b/>
        <i val="0"/>
        <strike val="0"/>
        <condense val="0"/>
        <extend val="0"/>
        <outline val="0"/>
        <shadow val="0"/>
        <u val="none"/>
        <vertAlign val="baseline"/>
        <sz val="10"/>
        <color theme="1"/>
        <name val="Calibri"/>
        <family val="2"/>
        <scheme val="minor"/>
      </font>
      <alignment horizontal="center" vertical="center" textRotation="0" wrapText="0" indent="0" justifyLastLine="0" shrinkToFit="0" readingOrder="0"/>
    </dxf>
    <dxf>
      <font>
        <b/>
        <i val="0"/>
        <strike val="0"/>
        <condense val="0"/>
        <extend val="0"/>
        <outline val="0"/>
        <shadow val="0"/>
        <u val="none"/>
        <vertAlign val="baseline"/>
        <sz val="10"/>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0"/>
        <color theme="1"/>
        <name val="Calibri"/>
        <family val="2"/>
        <scheme val="minor"/>
      </font>
      <numFmt numFmtId="166" formatCode="_-* #,##0.00_-;\-* #,##0.00_-;_-* &quot;-&quot;_-;_-@_-"/>
      <alignment horizontal="general" vertical="center" textRotation="0" wrapText="0" indent="0" justifyLastLine="0" shrinkToFit="0" readingOrder="0"/>
    </dxf>
    <dxf>
      <font>
        <b val="0"/>
        <i val="0"/>
        <strike val="0"/>
        <condense val="0"/>
        <extend val="0"/>
        <outline val="0"/>
        <shadow val="0"/>
        <u val="none"/>
        <vertAlign val="baseline"/>
        <sz val="10"/>
        <color theme="1"/>
        <name val="Calibri"/>
        <family val="2"/>
        <scheme val="minor"/>
      </font>
      <numFmt numFmtId="166" formatCode="_-* #,##0.00_-;\-* #,##0.00_-;_-* &quot;-&quot;_-;_-@_-"/>
      <alignment horizontal="general" vertical="center"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general" vertical="center"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general" vertical="center" textRotation="0" wrapText="0" indent="0" justifyLastLine="0" shrinkToFit="0" readingOrder="0"/>
    </dxf>
    <dxf>
      <font>
        <b/>
        <i val="0"/>
        <strike val="0"/>
        <condense val="0"/>
        <extend val="0"/>
        <outline val="0"/>
        <shadow val="0"/>
        <u val="none"/>
        <vertAlign val="baseline"/>
        <sz val="10"/>
        <color theme="1"/>
        <name val="Calibri"/>
        <family val="2"/>
        <scheme val="minor"/>
      </font>
      <alignment horizontal="left" vertical="center" textRotation="0" wrapText="0" indent="1" justifyLastLine="0" shrinkToFit="0" readingOrder="0"/>
    </dxf>
    <dxf>
      <font>
        <b/>
        <i val="0"/>
        <strike val="0"/>
        <condense val="0"/>
        <extend val="0"/>
        <outline val="0"/>
        <shadow val="0"/>
        <u val="none"/>
        <vertAlign val="baseline"/>
        <sz val="10"/>
        <color theme="1"/>
        <name val="Calibri"/>
        <family val="2"/>
        <scheme val="minor"/>
      </font>
      <alignment horizontal="left" vertical="center" textRotation="0" wrapText="0" relativeIndent="1" justifyLastLine="0" shrinkToFit="0" readingOrder="0"/>
    </dxf>
    <dxf>
      <font>
        <b/>
        <i val="0"/>
        <strike val="0"/>
        <condense val="0"/>
        <extend val="0"/>
        <outline val="0"/>
        <shadow val="0"/>
        <u val="none"/>
        <vertAlign val="baseline"/>
        <sz val="10"/>
        <color theme="1"/>
        <name val="Calibri"/>
        <family val="2"/>
        <scheme val="minor"/>
      </font>
      <alignment horizontal="left" vertical="center" textRotation="0" wrapText="1" indent="1" justifyLastLine="0" shrinkToFit="0" readingOrder="0"/>
    </dxf>
    <dxf>
      <font>
        <b/>
        <i val="0"/>
        <strike val="0"/>
        <condense val="0"/>
        <extend val="0"/>
        <outline val="0"/>
        <shadow val="0"/>
        <u val="none"/>
        <vertAlign val="baseline"/>
        <sz val="10"/>
        <color theme="1"/>
        <name val="Calibri"/>
        <family val="2"/>
        <scheme val="minor"/>
      </font>
      <alignment horizontal="left" vertical="center" textRotation="0" wrapText="1" relativeIndent="1" justifyLastLine="0" shrinkToFit="0" readingOrder="0"/>
    </dxf>
    <dxf>
      <font>
        <b/>
        <i val="0"/>
        <strike val="0"/>
        <condense val="0"/>
        <extend val="0"/>
        <outline val="0"/>
        <shadow val="0"/>
        <u val="none"/>
        <vertAlign val="baseline"/>
        <sz val="10"/>
        <color theme="1"/>
        <name val="Calibri"/>
        <family val="2"/>
        <scheme val="minor"/>
      </font>
      <alignment horizontal="left" vertical="center" textRotation="0" wrapText="0" indent="1" justifyLastLine="0" shrinkToFit="0" readingOrder="0"/>
    </dxf>
    <dxf>
      <font>
        <b val="0"/>
        <i val="0"/>
        <strike val="0"/>
        <condense val="0"/>
        <extend val="0"/>
        <outline val="0"/>
        <shadow val="0"/>
        <u val="none"/>
        <vertAlign val="baseline"/>
        <sz val="10"/>
        <color theme="1"/>
        <name val="Calibri"/>
        <family val="2"/>
        <scheme val="minor"/>
      </font>
      <alignment horizontal="left" vertical="center" textRotation="0" wrapText="0" relativeIndent="1" justifyLastLine="0" shrinkToFit="0" readingOrder="0"/>
    </dxf>
    <dxf>
      <font>
        <b/>
        <i val="0"/>
        <strike val="0"/>
        <condense val="0"/>
        <extend val="0"/>
        <outline val="0"/>
        <shadow val="0"/>
        <u val="none"/>
        <vertAlign val="baseline"/>
        <sz val="10"/>
        <color theme="1"/>
        <name val="Calibri"/>
        <family val="2"/>
        <scheme val="minor"/>
      </font>
      <numFmt numFmtId="1" formatCode="0"/>
      <alignment horizontal="center" vertical="center" textRotation="0" wrapText="0" indent="0" justifyLastLine="0" shrinkToFit="0" readingOrder="0"/>
    </dxf>
    <dxf>
      <font>
        <b/>
        <i val="0"/>
        <strike val="0"/>
        <condense val="0"/>
        <extend val="0"/>
        <outline val="0"/>
        <shadow val="0"/>
        <u val="none"/>
        <vertAlign val="baseline"/>
        <sz val="10"/>
        <color theme="1"/>
        <name val="Calibri"/>
        <family val="2"/>
        <scheme val="minor"/>
      </font>
      <numFmt numFmtId="1" formatCode="0"/>
      <alignment horizontal="center" vertical="center" textRotation="0" wrapText="0" indent="0" justifyLastLine="0" shrinkToFit="0" readingOrder="0"/>
    </dxf>
    <dxf>
      <font>
        <b/>
        <i val="0"/>
        <strike val="0"/>
        <condense val="0"/>
        <extend val="0"/>
        <outline val="0"/>
        <shadow val="0"/>
        <u val="none"/>
        <vertAlign val="baseline"/>
        <sz val="10"/>
        <color theme="1"/>
        <name val="Calibri"/>
        <family val="2"/>
        <scheme val="minor"/>
      </font>
      <alignment horizontal="left" vertical="center" textRotation="0" wrapText="0" indent="1" justifyLastLine="0" shrinkToFit="0" readingOrder="0"/>
    </dxf>
    <dxf>
      <font>
        <b/>
        <i val="0"/>
        <strike val="0"/>
        <condense val="0"/>
        <extend val="0"/>
        <outline val="0"/>
        <shadow val="0"/>
        <u val="none"/>
        <vertAlign val="baseline"/>
        <sz val="10"/>
        <color theme="1"/>
        <name val="Calibri"/>
        <family val="2"/>
        <scheme val="minor"/>
      </font>
      <alignment horizontal="left" vertical="center" textRotation="0" wrapText="0" relativeIndent="1" justifyLastLine="0" shrinkToFit="0" readingOrder="0"/>
    </dxf>
    <dxf>
      <font>
        <b/>
        <i val="0"/>
        <strike val="0"/>
        <condense val="0"/>
        <extend val="0"/>
        <outline val="0"/>
        <shadow val="0"/>
        <u val="none"/>
        <vertAlign val="baseline"/>
        <sz val="10"/>
        <color theme="1"/>
        <name val="Calibri"/>
        <family val="2"/>
        <scheme val="minor"/>
      </font>
      <alignment horizontal="center" vertical="center" textRotation="0" wrapText="0" indent="0" justifyLastLine="0" shrinkToFit="0" readingOrder="0"/>
    </dxf>
    <dxf>
      <font>
        <b/>
        <i val="0"/>
        <strike val="0"/>
        <condense val="0"/>
        <extend val="0"/>
        <outline val="0"/>
        <shadow val="0"/>
        <u val="none"/>
        <vertAlign val="baseline"/>
        <sz val="10"/>
        <color theme="1"/>
        <name val="Calibri"/>
        <family val="2"/>
        <scheme val="minor"/>
      </font>
      <alignment horizontal="center" vertical="center" textRotation="0" wrapText="0" indent="0" justifyLastLine="0" shrinkToFit="0" readingOrder="0"/>
    </dxf>
    <dxf>
      <border outline="0">
        <top style="thin">
          <color auto="1"/>
        </top>
      </border>
    </dxf>
    <dxf>
      <font>
        <b val="0"/>
        <i val="0"/>
        <strike val="0"/>
        <condense val="0"/>
        <extend val="0"/>
        <outline val="0"/>
        <shadow val="0"/>
        <u val="none"/>
        <vertAlign val="baseline"/>
        <sz val="10"/>
        <color theme="1"/>
        <name val="Calibri"/>
        <family val="2"/>
        <scheme val="minor"/>
      </font>
      <alignment horizontal="general" vertical="center" textRotation="0" wrapText="0" indent="0" justifyLastLine="0" shrinkToFit="0" readingOrder="0"/>
    </dxf>
    <dxf>
      <border outline="0">
        <bottom style="double">
          <color auto="1"/>
        </bottom>
      </border>
    </dxf>
    <dxf>
      <font>
        <b/>
        <i val="0"/>
        <strike val="0"/>
        <condense val="0"/>
        <extend val="0"/>
        <outline val="0"/>
        <shadow val="0"/>
        <u val="none"/>
        <vertAlign val="baseline"/>
        <sz val="11"/>
        <color theme="0"/>
        <name val="Calibri"/>
        <family val="2"/>
        <scheme val="minor"/>
      </font>
      <fill>
        <patternFill patternType="solid">
          <fgColor theme="9"/>
          <bgColor rgb="FF0070C0"/>
        </patternFill>
      </fill>
      <alignment horizontal="center" vertical="center" textRotation="0" wrapText="1" indent="0" justifyLastLine="0" shrinkToFit="0" readingOrder="0"/>
      <border diagonalUp="0" diagonalDown="0" outline="0">
        <left style="thin">
          <color auto="1"/>
        </left>
        <right style="thin">
          <color auto="1"/>
        </right>
        <top/>
        <bottom/>
      </border>
    </dxf>
    <dxf>
      <numFmt numFmtId="165" formatCode="_(* #,##0.00_);_(* \(#,##0.00\);_(* &quot;-&quot;??_);_(@_)"/>
    </dxf>
    <dxf>
      <numFmt numFmtId="165" formatCode="_(* #,##0.00_);_(* \(#,##0.00\);_(* &quot;-&quot;??_);_(@_)"/>
    </dxf>
    <dxf>
      <numFmt numFmtId="165" formatCode="_(* #,##0.00_);_(* \(#,##0.00\);_(* &quot;-&quot;??_);_(@_)"/>
    </dxf>
    <dxf>
      <numFmt numFmtId="165" formatCode="_(* #,##0.00_);_(* \(#,##0.00\);_(* &quot;-&quot;??_);_(@_)"/>
    </dxf>
    <dxf>
      <numFmt numFmtId="165" formatCode="_(* #,##0.00_);_(* \(#,##0.00\);_(* &quot;-&quot;??_);_(@_)"/>
    </dxf>
    <dxf>
      <numFmt numFmtId="165" formatCode="_(* #,##0.00_);_(* \(#,##0.00\);_(* &quot;-&quot;??_);_(@_)"/>
    </dxf>
    <dxf>
      <alignment horizontal="left" relativeIndent="1"/>
    </dxf>
    <dxf>
      <alignment horizontal="general"/>
    </dxf>
    <dxf>
      <font>
        <color rgb="FFFF0000"/>
      </font>
    </dxf>
    <dxf>
      <font>
        <color rgb="FFFF0000"/>
      </font>
    </dxf>
    <dxf>
      <font>
        <b/>
      </font>
    </dxf>
    <dxf>
      <font>
        <b/>
      </font>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numFmt numFmtId="165" formatCode="_(* #,##0.00_);_(* \(#,##0.00\);_(* &quot;-&quot;??_);_(@_)"/>
    </dxf>
    <dxf>
      <numFmt numFmtId="165" formatCode="_(* #,##0.00_);_(* \(#,##0.00\);_(* &quot;-&quot;??_);_(@_)"/>
    </dxf>
    <dxf>
      <numFmt numFmtId="165" formatCode="_(* #,##0.00_);_(* \(#,##0.00\);_(* &quot;-&quot;??_);_(@_)"/>
    </dxf>
    <dxf>
      <numFmt numFmtId="13" formatCode="0%"/>
    </dxf>
    <dxf>
      <numFmt numFmtId="13" formatCode="0%"/>
    </dxf>
    <dxf>
      <numFmt numFmtId="165" formatCode="_(* #,##0.00_);_(* \(#,##0.00\);_(* &quot;-&quot;??_);_(@_)"/>
    </dxf>
    <dxf>
      <numFmt numFmtId="13" formatCode="0%"/>
    </dxf>
    <dxf>
      <numFmt numFmtId="13" formatCode="0%"/>
    </dxf>
    <dxf>
      <numFmt numFmtId="165" formatCode="_(* #,##0.00_);_(* \(#,##0.00\);_(* &quot;-&quot;??_);_(@_)"/>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alignment horizontal="left" relativeIndent="1"/>
    </dxf>
    <dxf>
      <font>
        <i/>
      </font>
    </dxf>
    <dxf>
      <font>
        <b/>
      </font>
    </dxf>
    <dxf>
      <font>
        <color theme="1"/>
      </font>
    </dxf>
    <dxf>
      <font>
        <b/>
      </font>
    </dxf>
    <dxf>
      <font>
        <b/>
        <sz val="12"/>
        <color rgb="FFFF0000"/>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alignment horizontal="right"/>
    </dxf>
    <dxf>
      <alignment vertical="center"/>
    </dxf>
    <dxf>
      <font>
        <sz val="16"/>
      </font>
    </dxf>
    <dxf>
      <alignment vertical="center"/>
    </dxf>
    <dxf>
      <font>
        <b/>
        <sz val="12"/>
        <color rgb="FFFF0000"/>
      </font>
    </dxf>
    <dxf>
      <font>
        <sz val="12"/>
      </font>
    </dxf>
    <dxf>
      <font>
        <sz val="12"/>
      </font>
    </dxf>
    <dxf>
      <font>
        <b/>
      </font>
    </dxf>
    <dxf>
      <font>
        <sz val="14"/>
      </font>
    </dxf>
    <dxf>
      <font>
        <sz val="14"/>
      </font>
    </dxf>
    <dxf>
      <font>
        <sz val="14"/>
      </font>
    </dxf>
    <dxf>
      <font>
        <sz val="14"/>
      </font>
    </dxf>
    <dxf>
      <font>
        <sz val="14"/>
      </font>
    </dxf>
    <dxf>
      <font>
        <sz val="14"/>
      </font>
    </dxf>
    <dxf>
      <font>
        <sz val="14"/>
      </font>
    </dxf>
    <dxf>
      <font>
        <sz val="16"/>
      </font>
    </dxf>
    <dxf>
      <font>
        <sz val="16"/>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alignment wrapText="1"/>
    </dxf>
    <dxf>
      <font>
        <b/>
        <name val="NewsGoth Lt BT"/>
        <scheme val="none"/>
      </font>
    </dxf>
    <dxf>
      <alignment wrapText="1"/>
    </dxf>
    <dxf>
      <alignment horizontal="center"/>
    </dxf>
    <dxf>
      <alignment vertical="center"/>
    </dxf>
    <dxf>
      <font>
        <color theme="0"/>
      </font>
    </dxf>
    <dxf>
      <font>
        <color auto="1"/>
      </font>
    </dxf>
    <dxf>
      <font>
        <color auto="1"/>
      </font>
    </dxf>
    <dxf>
      <fill>
        <patternFill patternType="solid">
          <bgColor theme="1"/>
        </patternFill>
      </fill>
    </dxf>
    <dxf>
      <fill>
        <patternFill patternType="solid">
          <bgColor theme="1"/>
        </patternFill>
      </fill>
    </dxf>
    <dxf>
      <alignment horizontal="center"/>
    </dxf>
    <dxf>
      <alignment vertical="center"/>
    </dxf>
    <dxf>
      <numFmt numFmtId="13" formatCode="0%"/>
    </dxf>
    <dxf>
      <font>
        <color rgb="FFFF0000"/>
      </font>
    </dxf>
    <dxf>
      <font>
        <color rgb="FFFF0000"/>
      </font>
    </dxf>
    <dxf>
      <font>
        <color rgb="FFFF0000"/>
      </font>
    </dxf>
    <dxf>
      <font>
        <b/>
      </font>
    </dxf>
    <dxf>
      <alignment horizontal="left"/>
    </dxf>
    <dxf>
      <alignment vertical="center"/>
    </dxf>
    <dxf>
      <font>
        <sz val="12"/>
      </font>
    </dxf>
    <dxf>
      <font>
        <sz val="12"/>
      </font>
    </dxf>
    <dxf>
      <font>
        <b/>
        <name val="NewsGoth Lt BT"/>
        <scheme val="none"/>
      </font>
      <alignment wrapText="1"/>
    </dxf>
    <dxf>
      <font>
        <b val="0"/>
        <i val="0"/>
        <strike val="0"/>
        <condense val="0"/>
        <extend val="0"/>
        <outline val="0"/>
        <shadow val="0"/>
        <u val="none"/>
        <vertAlign val="baseline"/>
        <sz val="11"/>
        <color theme="1"/>
        <name val="Calibri"/>
        <family val="2"/>
        <scheme val="minor"/>
      </font>
    </dxf>
    <dxf>
      <alignment horizontal="center"/>
    </dxf>
    <dxf>
      <alignment vertical="center"/>
    </dxf>
    <dxf>
      <alignment wrapText="1"/>
    </dxf>
    <dxf>
      <alignment wrapText="1"/>
    </dxf>
    <dxf>
      <font>
        <name val="NewsGoth Lt BT"/>
        <family val="2"/>
      </font>
    </dxf>
    <dxf>
      <font>
        <name val="NewsGoth Lt BT"/>
        <family val="2"/>
      </font>
    </dxf>
    <dxf>
      <font>
        <name val="NewsGoth Lt BT"/>
        <family val="2"/>
      </font>
    </dxf>
    <dxf>
      <font>
        <name val="NewsGoth Lt BT"/>
        <family val="2"/>
      </font>
    </dxf>
    <dxf>
      <font>
        <name val="NewsGoth Lt BT"/>
        <family val="2"/>
      </font>
    </dxf>
    <dxf>
      <font>
        <b/>
      </font>
    </dxf>
    <dxf>
      <font>
        <b/>
      </font>
    </dxf>
    <dxf>
      <font>
        <b/>
      </font>
    </dxf>
    <dxf>
      <font>
        <b/>
      </font>
    </dxf>
    <dxf>
      <font>
        <b/>
      </font>
    </dxf>
    <dxf>
      <alignment horizontal="center"/>
    </dxf>
    <dxf>
      <alignment vertic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font>
        <b/>
      </font>
    </dxf>
    <dxf>
      <font>
        <b/>
      </font>
    </dxf>
    <dxf>
      <numFmt numFmtId="165" formatCode="_(* #,##0.00_);_(* \(#,##0.00\);_(* &quot;-&quot;??_);_(@_)"/>
    </dxf>
    <dxf>
      <numFmt numFmtId="165" formatCode="_(* #,##0.00_);_(* \(#,##0.00\);_(* &quot;-&quot;??_);_(@_)"/>
    </dxf>
    <dxf>
      <numFmt numFmtId="35" formatCode="_-* #,##0.00_-;\-* #,##0.00_-;_-* &quot;-&quot;??_-;_-@_-"/>
    </dxf>
    <dxf>
      <font>
        <color auto="1"/>
      </font>
    </dxf>
    <dxf>
      <fill>
        <patternFill>
          <bgColor theme="4"/>
        </patternFill>
      </fill>
    </dxf>
    <dxf>
      <font>
        <b/>
        <i val="0"/>
        <color theme="2"/>
      </font>
      <fill>
        <patternFill>
          <bgColor rgb="FF00B0F0"/>
        </patternFill>
      </fill>
      <border>
        <left style="thin">
          <color theme="4" tint="-0.24994659260841701"/>
        </left>
        <right style="thin">
          <color theme="4" tint="-0.24994659260841701"/>
        </right>
        <top style="thin">
          <color theme="4" tint="-0.24994659260841701"/>
        </top>
        <bottom style="thin">
          <color theme="4" tint="-0.24994659260841701"/>
        </bottom>
      </border>
    </dxf>
    <dxf>
      <border>
        <left style="thin">
          <color auto="1"/>
        </left>
        <right style="thin">
          <color auto="1"/>
        </right>
        <top style="thin">
          <color auto="1"/>
        </top>
        <bottom style="thin">
          <color auto="1"/>
        </bottom>
        <vertical style="thin">
          <color auto="1"/>
        </vertical>
        <horizontal style="thin">
          <color auto="1"/>
        </horizontal>
      </border>
    </dxf>
    <dxf>
      <font>
        <b/>
        <i val="0"/>
        <color theme="4"/>
      </font>
      <fill>
        <patternFill>
          <bgColor theme="4"/>
        </patternFill>
      </fill>
    </dxf>
    <dxf>
      <border>
        <left style="thin">
          <color auto="1"/>
        </left>
        <right style="thin">
          <color auto="1"/>
        </right>
        <top style="thin">
          <color auto="1"/>
        </top>
        <bottom style="thin">
          <color auto="1"/>
        </bottom>
        <vertical style="thin">
          <color auto="1"/>
        </vertical>
        <horizontal style="thin">
          <color auto="1"/>
        </horizontal>
      </border>
    </dxf>
  </dxfs>
  <tableStyles count="4" defaultTableStyle="TableStyleMedium2" defaultPivotStyle="PivotStyleLight16">
    <tableStyle name="PivotTable Style 1" table="0" count="3" xr9:uid="{4D0CAFEE-BB58-44D4-A1AF-1EB7BB27BFB8}">
      <tableStyleElement type="firstRowStripe" dxfId="670"/>
      <tableStyleElement type="secondRowSubheading" dxfId="669"/>
      <tableStyleElement type="pageFieldLabels" dxfId="668"/>
    </tableStyle>
    <tableStyle name="PivotTable Style 2" table="0" count="1" xr9:uid="{ADA3516B-BECE-481D-823F-35B780B05A6E}">
      <tableStyleElement type="pageFieldLabels" dxfId="667"/>
    </tableStyle>
    <tableStyle name="Slicer Style 1" pivot="0" table="0" count="2" xr9:uid="{C3D675C4-44FE-4526-A018-60B027E23CF5}">
      <tableStyleElement type="wholeTable" dxfId="666"/>
    </tableStyle>
    <tableStyle name="Slicer Style 2" pivot="0" table="0" count="1" xr9:uid="{67F4BE7D-DF2D-423D-A73E-86190B2D8332}"/>
  </tableStyles>
  <extLst>
    <ext xmlns:x14="http://schemas.microsoft.com/office/spreadsheetml/2009/9/main" uri="{46F421CA-312F-682f-3DD2-61675219B42D}">
      <x14:dxfs count="2">
        <dxf>
          <font>
            <b/>
            <i val="0"/>
            <sz val="12"/>
            <name val="AMGDT"/>
            <scheme val="none"/>
          </font>
          <fill>
            <patternFill>
              <bgColor theme="3"/>
            </patternFill>
          </fill>
        </dxf>
        <dxf>
          <font>
            <b val="0"/>
            <i/>
            <u/>
            <sz val="12"/>
            <color theme="2"/>
            <name val="Trebuchet MS"/>
            <family val="2"/>
            <scheme val="none"/>
          </font>
          <fill>
            <patternFill patternType="solid">
              <fgColor auto="1"/>
              <bgColor theme="4"/>
            </patternFill>
          </fill>
          <border diagonalUp="0" diagonalDown="0">
            <left/>
            <right/>
            <top/>
            <bottom/>
            <vertical/>
            <horizontal/>
          </border>
        </dxf>
      </x14:dxfs>
    </ext>
    <ext xmlns:x14="http://schemas.microsoft.com/office/spreadsheetml/2009/9/main" uri="{EB79DEF2-80B8-43e5-95BD-54CBDDF9020C}">
      <x14:slicerStyles defaultSlicerStyle="SlicerStyleLight1">
        <x14:slicerStyle name="Slicer Style 1">
          <x14:slicerStyleElements>
            <x14:slicerStyleElement type="selectedItemWithData" dxfId="1"/>
          </x14:slicerStyleElements>
        </x14:slicerStyle>
        <x14:slicerStyle name="Slicer Style 2">
          <x14:slicerStyleElements>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pivotCacheDefinition" Target="pivotCache/pivotCacheDefinition3.xml"/><Relationship Id="rId26" Type="http://schemas.openxmlformats.org/officeDocument/2006/relationships/sheetMetadata" Target="metadata.xml"/><Relationship Id="rId39" Type="http://schemas.openxmlformats.org/officeDocument/2006/relationships/customXml" Target="../customXml/item3.xml"/><Relationship Id="rId21" Type="http://schemas.openxmlformats.org/officeDocument/2006/relationships/pivotCacheDefinition" Target="pivotCache/pivotCacheDefinition6.xml"/><Relationship Id="rId34" Type="http://schemas.microsoft.com/office/2017/06/relationships/rdRichValueTypes" Target="richData/rdRichValueTypes.xml"/><Relationship Id="rId42" Type="http://schemas.openxmlformats.org/officeDocument/2006/relationships/customXml" Target="../customXml/item6.xml"/><Relationship Id="rId47" Type="http://schemas.openxmlformats.org/officeDocument/2006/relationships/customXml" Target="../customXml/item11.xml"/><Relationship Id="rId50" Type="http://schemas.openxmlformats.org/officeDocument/2006/relationships/customXml" Target="../customXml/item14.xml"/><Relationship Id="rId55" Type="http://schemas.openxmlformats.org/officeDocument/2006/relationships/customXml" Target="../customXml/item19.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1.xml"/><Relationship Id="rId29" Type="http://schemas.microsoft.com/office/2017/06/relationships/rdRichValueStructure" Target="richData/rdrichvaluestructure.xml"/><Relationship Id="rId11" Type="http://schemas.openxmlformats.org/officeDocument/2006/relationships/worksheet" Target="worksheets/sheet11.xml"/><Relationship Id="rId24" Type="http://schemas.openxmlformats.org/officeDocument/2006/relationships/styles" Target="styles.xml"/><Relationship Id="rId32" Type="http://schemas.microsoft.com/office/2017/06/relationships/rdSupportingPropertyBagStructure" Target="richData/rdsupportingpropertybagstructure.xml"/><Relationship Id="rId37" Type="http://schemas.openxmlformats.org/officeDocument/2006/relationships/customXml" Target="../customXml/item1.xml"/><Relationship Id="rId40" Type="http://schemas.openxmlformats.org/officeDocument/2006/relationships/customXml" Target="../customXml/item4.xml"/><Relationship Id="rId45" Type="http://schemas.openxmlformats.org/officeDocument/2006/relationships/customXml" Target="../customXml/item9.xml"/><Relationship Id="rId53" Type="http://schemas.openxmlformats.org/officeDocument/2006/relationships/customXml" Target="../customXml/item17.xml"/><Relationship Id="rId58" Type="http://schemas.openxmlformats.org/officeDocument/2006/relationships/customXml" Target="../customXml/item22.xml"/><Relationship Id="rId5" Type="http://schemas.openxmlformats.org/officeDocument/2006/relationships/worksheet" Target="worksheets/sheet5.xml"/><Relationship Id="rId19" Type="http://schemas.openxmlformats.org/officeDocument/2006/relationships/pivotCacheDefinition" Target="pivotCache/pivotCacheDefinition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 Id="rId27" Type="http://schemas.microsoft.com/office/2020/07/relationships/rdRichValueWebImage" Target="richData/rdRichValueWebImage.xml"/><Relationship Id="rId30" Type="http://schemas.microsoft.com/office/2017/06/relationships/rdArray" Target="richData/rdarray.xml"/><Relationship Id="rId35" Type="http://schemas.openxmlformats.org/officeDocument/2006/relationships/powerPivotData" Target="model/item.data"/><Relationship Id="rId43" Type="http://schemas.openxmlformats.org/officeDocument/2006/relationships/customXml" Target="../customXml/item7.xml"/><Relationship Id="rId48" Type="http://schemas.openxmlformats.org/officeDocument/2006/relationships/customXml" Target="../customXml/item12.xml"/><Relationship Id="rId56" Type="http://schemas.openxmlformats.org/officeDocument/2006/relationships/customXml" Target="../customXml/item20.xml"/><Relationship Id="rId8" Type="http://schemas.openxmlformats.org/officeDocument/2006/relationships/worksheet" Target="worksheets/sheet8.xml"/><Relationship Id="rId51" Type="http://schemas.openxmlformats.org/officeDocument/2006/relationships/customXml" Target="../customXml/item15.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pivotCacheDefinition" Target="pivotCache/pivotCacheDefinition2.xml"/><Relationship Id="rId25" Type="http://schemas.openxmlformats.org/officeDocument/2006/relationships/sharedStrings" Target="sharedStrings.xml"/><Relationship Id="rId33" Type="http://schemas.microsoft.com/office/2017/06/relationships/rdSupportingPropertyBag" Target="richData/rdsupportingpropertybag.xml"/><Relationship Id="rId38" Type="http://schemas.openxmlformats.org/officeDocument/2006/relationships/customXml" Target="../customXml/item2.xml"/><Relationship Id="rId46" Type="http://schemas.openxmlformats.org/officeDocument/2006/relationships/customXml" Target="../customXml/item10.xml"/><Relationship Id="rId59" Type="http://schemas.openxmlformats.org/officeDocument/2006/relationships/customXml" Target="../customXml/item23.xml"/><Relationship Id="rId20" Type="http://schemas.openxmlformats.org/officeDocument/2006/relationships/pivotCacheDefinition" Target="pivotCache/pivotCacheDefinition5.xml"/><Relationship Id="rId41" Type="http://schemas.openxmlformats.org/officeDocument/2006/relationships/customXml" Target="../customXml/item5.xml"/><Relationship Id="rId54" Type="http://schemas.openxmlformats.org/officeDocument/2006/relationships/customXml" Target="../customXml/item18.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connections" Target="connections.xml"/><Relationship Id="rId28" Type="http://schemas.microsoft.com/office/2017/06/relationships/rdRichValue" Target="richData/rdrichvalue.xml"/><Relationship Id="rId36" Type="http://schemas.openxmlformats.org/officeDocument/2006/relationships/calcChain" Target="calcChain.xml"/><Relationship Id="rId49" Type="http://schemas.openxmlformats.org/officeDocument/2006/relationships/customXml" Target="../customXml/item13.xml"/><Relationship Id="rId57" Type="http://schemas.openxmlformats.org/officeDocument/2006/relationships/customXml" Target="../customXml/item21.xml"/><Relationship Id="rId10" Type="http://schemas.openxmlformats.org/officeDocument/2006/relationships/worksheet" Target="worksheets/sheet10.xml"/><Relationship Id="rId31" Type="http://schemas.microsoft.com/office/2017/06/relationships/richStyles" Target="richData/richStyles.xml"/><Relationship Id="rId44" Type="http://schemas.openxmlformats.org/officeDocument/2006/relationships/customXml" Target="../customXml/item8.xml"/><Relationship Id="rId52" Type="http://schemas.openxmlformats.org/officeDocument/2006/relationships/customXml" Target="../customXml/item16.xml"/><Relationship Id="rId60" Type="http://schemas.openxmlformats.org/officeDocument/2006/relationships/customXml" Target="../customXml/item24.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[Controlled Project 2023_by Jonal.xlsx]PIVOT!PivotTable7</c:name>
    <c:fmtId val="5"/>
  </c:pivotSource>
  <c:chart>
    <c:autoTitleDeleted val="1"/>
    <c:pivotFmts>
      <c:pivotFmt>
        <c:idx val="0"/>
        <c:spPr>
          <a:noFill/>
          <a:ln w="19050">
            <a:solidFill>
              <a:schemeClr val="bg1"/>
            </a:solid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w="19050">
            <a:solidFill>
              <a:schemeClr val="bg1"/>
            </a:solidFill>
          </a:ln>
          <a:effectLst/>
        </c:spPr>
        <c:dLbl>
          <c:idx val="0"/>
          <c:layout>
            <c:manualLayout>
              <c:x val="-0.15277777777777779"/>
              <c:y val="-0.18055555555555564"/>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344ACE77-5314-4357-AA37-4E26602AECB5}" type="VALUE">
                  <a:rPr lang="en-US" sz="3600"/>
                  <a:pPr>
                    <a:defRPr sz="900" b="0" i="0" u="none" strike="noStrike" kern="1200" baseline="0">
                      <a:solidFill>
                        <a:schemeClr val="tx1">
                          <a:lumMod val="75000"/>
                          <a:lumOff val="25000"/>
                        </a:schemeClr>
                      </a:solidFill>
                      <a:latin typeface="+mn-lt"/>
                      <a:ea typeface="+mn-ea"/>
                      <a:cs typeface="+mn-cs"/>
                    </a:defRPr>
                  </a:pPr>
                  <a:t>[VALUE]</a:t>
                </a:fld>
                <a:endParaRPr lang="en-US"/>
              </a:p>
            </c:rich>
          </c:tx>
          <c:spPr>
            <a:noFill/>
            <a:ln>
              <a:noFill/>
            </a:ln>
            <a:effectLst/>
          </c:sp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
        <c:spPr>
          <a:noFill/>
          <a:ln w="19050">
            <a:solidFill>
              <a:schemeClr val="bg1"/>
            </a:solidFill>
          </a:ln>
          <a:effectLst/>
        </c:spPr>
        <c:dLbl>
          <c:idx val="0"/>
          <c:delete val="1"/>
          <c:extLst>
            <c:ext xmlns:c15="http://schemas.microsoft.com/office/drawing/2012/chart" uri="{CE6537A1-D6FC-4f65-9D91-7224C49458BB}"/>
          </c:extLst>
        </c:dLbl>
      </c:pivotFmt>
      <c:pivotFmt>
        <c:idx val="3"/>
        <c:spPr>
          <a:noFill/>
          <a:ln w="19050">
            <a:solidFill>
              <a:schemeClr val="bg1"/>
            </a:solidFill>
          </a:ln>
          <a:effectLst/>
        </c:spPr>
        <c:marker>
          <c:symbol val="none"/>
        </c:marker>
        <c:dLbl>
          <c:idx val="0"/>
          <c:delete val="1"/>
          <c:extLst>
            <c:ext xmlns:c15="http://schemas.microsoft.com/office/drawing/2012/chart" uri="{CE6537A1-D6FC-4f65-9D91-7224C49458BB}"/>
          </c:extLst>
        </c:dLbl>
      </c:pivotFmt>
      <c:pivotFmt>
        <c:idx val="4"/>
        <c:spPr>
          <a:solidFill>
            <a:schemeClr val="accent1"/>
          </a:solidFill>
          <a:ln w="19050">
            <a:solidFill>
              <a:schemeClr val="bg1"/>
            </a:solidFill>
          </a:ln>
          <a:effectLst/>
        </c:spPr>
        <c:dLbl>
          <c:idx val="0"/>
          <c:layout>
            <c:manualLayout>
              <c:x val="-0.15277777777777779"/>
              <c:y val="-0.18055555555555564"/>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344ACE77-5314-4357-AA37-4E26602AECB5}" type="VALUE">
                  <a:rPr lang="en-US" sz="3600"/>
                  <a:pPr>
                    <a:defRPr sz="900" b="0" i="0" u="none" strike="noStrike" kern="1200" baseline="0">
                      <a:solidFill>
                        <a:schemeClr val="tx1">
                          <a:lumMod val="75000"/>
                          <a:lumOff val="25000"/>
                        </a:schemeClr>
                      </a:solidFill>
                      <a:latin typeface="+mn-lt"/>
                      <a:ea typeface="+mn-ea"/>
                      <a:cs typeface="+mn-cs"/>
                    </a:defRPr>
                  </a:pPr>
                  <a:t>[VALUE]</a:t>
                </a:fld>
                <a:endParaRPr lang="en-US"/>
              </a:p>
            </c:rich>
          </c:tx>
          <c:spPr>
            <a:noFill/>
            <a:ln>
              <a:noFill/>
            </a:ln>
            <a:effectLst/>
          </c:sp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5"/>
        <c:spPr>
          <a:noFill/>
          <a:ln w="19050">
            <a:solidFill>
              <a:schemeClr val="bg1"/>
            </a:solidFill>
          </a:ln>
          <a:effectLst/>
        </c:spPr>
        <c:dLbl>
          <c:idx val="0"/>
          <c:delete val="1"/>
          <c:extLst>
            <c:ext xmlns:c15="http://schemas.microsoft.com/office/drawing/2012/chart" uri="{CE6537A1-D6FC-4f65-9D91-7224C49458BB}"/>
          </c:extLst>
        </c:dLbl>
      </c:pivotFmt>
      <c:pivotFmt>
        <c:idx val="6"/>
        <c:spPr>
          <a:solidFill>
            <a:schemeClr val="bg1"/>
          </a:solidFill>
          <a:ln w="19050">
            <a:noFill/>
          </a:ln>
          <a:effectLst/>
        </c:spPr>
        <c:marker>
          <c:symbol val="none"/>
        </c:marker>
        <c:dLbl>
          <c:idx val="0"/>
          <c:delete val="1"/>
          <c:extLst>
            <c:ext xmlns:c15="http://schemas.microsoft.com/office/drawing/2012/chart" uri="{CE6537A1-D6FC-4f65-9D91-7224C49458BB}"/>
          </c:extLst>
        </c:dLbl>
      </c:pivotFmt>
      <c:pivotFmt>
        <c:idx val="7"/>
        <c:spPr>
          <a:solidFill>
            <a:srgbClr val="00B0F0"/>
          </a:solidFill>
          <a:ln w="19050">
            <a:noFill/>
          </a:ln>
          <a:effectLst/>
        </c:spPr>
        <c:dLbl>
          <c:idx val="0"/>
          <c:layout>
            <c:manualLayout>
              <c:x val="-0.14539929933555015"/>
              <c:y val="-0.14209414948158958"/>
            </c:manualLayout>
          </c:layout>
          <c:tx>
            <c:rich>
              <a:bodyPr rot="0" spcFirstLastPara="1" vertOverflow="ellipsis" vert="horz" wrap="square" lIns="38100" tIns="19050" rIns="38100" bIns="19050" anchor="ctr" anchorCtr="1">
                <a:spAutoFit/>
              </a:bodyPr>
              <a:lstStyle/>
              <a:p>
                <a:pPr>
                  <a:defRPr sz="4400" b="0" i="0" u="none" strike="noStrike" kern="1200" baseline="0">
                    <a:solidFill>
                      <a:schemeClr val="tx1">
                        <a:lumMod val="75000"/>
                        <a:lumOff val="25000"/>
                      </a:schemeClr>
                    </a:solidFill>
                    <a:latin typeface="+mn-lt"/>
                    <a:ea typeface="+mn-ea"/>
                    <a:cs typeface="+mn-cs"/>
                  </a:defRPr>
                </a:pPr>
                <a:fld id="{344ACE77-5314-4357-AA37-4E26602AECB5}" type="VALUE">
                  <a:rPr lang="en-US" sz="4400">
                    <a:solidFill>
                      <a:schemeClr val="bg1"/>
                    </a:solidFill>
                  </a:rPr>
                  <a:pPr>
                    <a:defRPr sz="4400" b="0" i="0" u="none" strike="noStrike" kern="1200" baseline="0">
                      <a:solidFill>
                        <a:schemeClr val="tx1">
                          <a:lumMod val="75000"/>
                          <a:lumOff val="25000"/>
                        </a:schemeClr>
                      </a:solidFill>
                      <a:latin typeface="+mn-lt"/>
                      <a:ea typeface="+mn-ea"/>
                      <a:cs typeface="+mn-cs"/>
                    </a:defRPr>
                  </a:pPr>
                  <a:t>[VALUE]</a:t>
                </a:fld>
                <a:endParaRPr lang="en-US"/>
              </a:p>
            </c:rich>
          </c:tx>
          <c:spPr>
            <a:noFill/>
            <a:ln>
              <a:noFill/>
            </a:ln>
            <a:effectLst/>
          </c:spPr>
          <c:showLegendKey val="0"/>
          <c:showVal val="1"/>
          <c:showCatName val="0"/>
          <c:showSerName val="0"/>
          <c:showPercent val="0"/>
          <c:showBubbleSize val="0"/>
          <c:extLst>
            <c:ext xmlns:c15="http://schemas.microsoft.com/office/drawing/2012/chart" uri="{CE6537A1-D6FC-4f65-9D91-7224C49458BB}">
              <c15:layout>
                <c:manualLayout>
                  <c:w val="0.33596647345783137"/>
                  <c:h val="0.35391016709313367"/>
                </c:manualLayout>
              </c15:layout>
              <c15:dlblFieldTable/>
              <c15:showDataLabelsRange val="0"/>
            </c:ext>
          </c:extLst>
        </c:dLbl>
      </c:pivotFmt>
      <c:pivotFmt>
        <c:idx val="8"/>
        <c:spPr>
          <a:solidFill>
            <a:schemeClr val="bg1"/>
          </a:solidFill>
          <a:ln w="19050">
            <a:noFill/>
          </a:ln>
          <a:effectLst/>
        </c:spPr>
        <c:dLbl>
          <c:idx val="0"/>
          <c:delete val="1"/>
          <c:extLst>
            <c:ext xmlns:c15="http://schemas.microsoft.com/office/drawing/2012/chart" uri="{CE6537A1-D6FC-4f65-9D91-7224C49458BB}"/>
          </c:extLst>
        </c:dLbl>
      </c:pivotFmt>
      <c:pivotFmt>
        <c:idx val="9"/>
        <c:spPr>
          <a:solidFill>
            <a:schemeClr val="bg1"/>
          </a:solidFill>
          <a:ln w="19050">
            <a:noFill/>
          </a:ln>
          <a:effectLst/>
        </c:spPr>
        <c:marker>
          <c:symbol val="none"/>
        </c:marker>
        <c:dLbl>
          <c:idx val="0"/>
          <c:delete val="1"/>
          <c:extLst>
            <c:ext xmlns:c15="http://schemas.microsoft.com/office/drawing/2012/chart" uri="{CE6537A1-D6FC-4f65-9D91-7224C49458BB}"/>
          </c:extLst>
        </c:dLbl>
      </c:pivotFmt>
      <c:pivotFmt>
        <c:idx val="10"/>
        <c:spPr>
          <a:solidFill>
            <a:srgbClr val="00B0F0"/>
          </a:solidFill>
          <a:ln w="19050">
            <a:noFill/>
          </a:ln>
          <a:effectLst/>
        </c:spPr>
        <c:dLbl>
          <c:idx val="0"/>
          <c:layout>
            <c:manualLayout>
              <c:x val="-0.14539929933555015"/>
              <c:y val="-0.14209414948158958"/>
            </c:manualLayout>
          </c:layout>
          <c:tx>
            <c:rich>
              <a:bodyPr rot="0" spcFirstLastPara="1" vertOverflow="ellipsis" vert="horz" wrap="square" lIns="38100" tIns="19050" rIns="38100" bIns="19050" anchor="ctr" anchorCtr="1">
                <a:spAutoFit/>
              </a:bodyPr>
              <a:lstStyle/>
              <a:p>
                <a:pPr>
                  <a:defRPr sz="4400" b="0" i="0" u="none" strike="noStrike" kern="1200" baseline="0">
                    <a:solidFill>
                      <a:schemeClr val="tx1">
                        <a:lumMod val="75000"/>
                        <a:lumOff val="25000"/>
                      </a:schemeClr>
                    </a:solidFill>
                    <a:latin typeface="+mn-lt"/>
                    <a:ea typeface="+mn-ea"/>
                    <a:cs typeface="+mn-cs"/>
                  </a:defRPr>
                </a:pPr>
                <a:fld id="{344ACE77-5314-4357-AA37-4E26602AECB5}" type="VALUE">
                  <a:rPr lang="en-US" sz="4400">
                    <a:solidFill>
                      <a:schemeClr val="bg1"/>
                    </a:solidFill>
                  </a:rPr>
                  <a:pPr>
                    <a:defRPr sz="4400" b="0" i="0" u="none" strike="noStrike" kern="1200" baseline="0">
                      <a:solidFill>
                        <a:schemeClr val="tx1">
                          <a:lumMod val="75000"/>
                          <a:lumOff val="25000"/>
                        </a:schemeClr>
                      </a:solidFill>
                      <a:latin typeface="+mn-lt"/>
                      <a:ea typeface="+mn-ea"/>
                      <a:cs typeface="+mn-cs"/>
                    </a:defRPr>
                  </a:pPr>
                  <a:t>[VALUE]</a:t>
                </a:fld>
                <a:endParaRPr lang="en-US"/>
              </a:p>
            </c:rich>
          </c:tx>
          <c:spPr>
            <a:noFill/>
            <a:ln>
              <a:noFill/>
            </a:ln>
            <a:effectLst/>
          </c:spPr>
          <c:showLegendKey val="0"/>
          <c:showVal val="1"/>
          <c:showCatName val="0"/>
          <c:showSerName val="0"/>
          <c:showPercent val="0"/>
          <c:showBubbleSize val="0"/>
          <c:extLst>
            <c:ext xmlns:c15="http://schemas.microsoft.com/office/drawing/2012/chart" uri="{CE6537A1-D6FC-4f65-9D91-7224C49458BB}">
              <c15:layout>
                <c:manualLayout>
                  <c:w val="0.33596647345783137"/>
                  <c:h val="0.35391016709313367"/>
                </c:manualLayout>
              </c15:layout>
              <c15:dlblFieldTable/>
              <c15:showDataLabelsRange val="0"/>
            </c:ext>
          </c:extLst>
        </c:dLbl>
      </c:pivotFmt>
      <c:pivotFmt>
        <c:idx val="11"/>
        <c:spPr>
          <a:solidFill>
            <a:schemeClr val="bg1"/>
          </a:solidFill>
          <a:ln w="19050">
            <a:noFill/>
          </a:ln>
          <a:effectLst/>
        </c:spPr>
        <c:dLbl>
          <c:idx val="0"/>
          <c:delete val="1"/>
          <c:extLst>
            <c:ext xmlns:c15="http://schemas.microsoft.com/office/drawing/2012/chart" uri="{CE6537A1-D6FC-4f65-9D91-7224C49458BB}"/>
          </c:extLst>
        </c:dLbl>
      </c:pivotFmt>
      <c:pivotFmt>
        <c:idx val="12"/>
        <c:spPr>
          <a:solidFill>
            <a:schemeClr val="bg1"/>
          </a:solidFill>
          <a:ln w="19050">
            <a:noFill/>
          </a:ln>
          <a:effectLst/>
        </c:spPr>
        <c:marker>
          <c:symbol val="none"/>
        </c:marker>
        <c:dLbl>
          <c:idx val="0"/>
          <c:delete val="1"/>
          <c:extLst>
            <c:ext xmlns:c15="http://schemas.microsoft.com/office/drawing/2012/chart" uri="{CE6537A1-D6FC-4f65-9D91-7224C49458BB}"/>
          </c:extLst>
        </c:dLbl>
      </c:pivotFmt>
      <c:pivotFmt>
        <c:idx val="13"/>
        <c:spPr>
          <a:solidFill>
            <a:srgbClr val="00B0F0"/>
          </a:solidFill>
          <a:ln w="19050">
            <a:noFill/>
          </a:ln>
          <a:effectLst/>
        </c:spPr>
        <c:dLbl>
          <c:idx val="0"/>
          <c:layout>
            <c:manualLayout>
              <c:x val="-0.14539929933555015"/>
              <c:y val="-0.14209414948158958"/>
            </c:manualLayout>
          </c:layout>
          <c:tx>
            <c:rich>
              <a:bodyPr rot="0" spcFirstLastPara="1" vertOverflow="ellipsis" vert="horz" wrap="square" lIns="38100" tIns="19050" rIns="38100" bIns="19050" anchor="ctr" anchorCtr="1">
                <a:spAutoFit/>
              </a:bodyPr>
              <a:lstStyle/>
              <a:p>
                <a:pPr>
                  <a:defRPr sz="4400" b="0" i="0" u="none" strike="noStrike" kern="1200" baseline="0">
                    <a:solidFill>
                      <a:schemeClr val="tx1">
                        <a:lumMod val="75000"/>
                        <a:lumOff val="25000"/>
                      </a:schemeClr>
                    </a:solidFill>
                    <a:latin typeface="+mn-lt"/>
                    <a:ea typeface="+mn-ea"/>
                    <a:cs typeface="+mn-cs"/>
                  </a:defRPr>
                </a:pPr>
                <a:fld id="{344ACE77-5314-4357-AA37-4E26602AECB5}" type="VALUE">
                  <a:rPr lang="en-US" sz="4400">
                    <a:solidFill>
                      <a:schemeClr val="bg1"/>
                    </a:solidFill>
                  </a:rPr>
                  <a:pPr>
                    <a:defRPr sz="4400" b="0" i="0" u="none" strike="noStrike" kern="1200" baseline="0">
                      <a:solidFill>
                        <a:schemeClr val="tx1">
                          <a:lumMod val="75000"/>
                          <a:lumOff val="25000"/>
                        </a:schemeClr>
                      </a:solidFill>
                      <a:latin typeface="+mn-lt"/>
                      <a:ea typeface="+mn-ea"/>
                      <a:cs typeface="+mn-cs"/>
                    </a:defRPr>
                  </a:pPr>
                  <a:t>[VALUE]</a:t>
                </a:fld>
                <a:endParaRPr lang="en-US"/>
              </a:p>
            </c:rich>
          </c:tx>
          <c:spPr>
            <a:noFill/>
            <a:ln>
              <a:noFill/>
            </a:ln>
            <a:effectLst/>
          </c:spPr>
          <c:showLegendKey val="0"/>
          <c:showVal val="1"/>
          <c:showCatName val="0"/>
          <c:showSerName val="0"/>
          <c:showPercent val="0"/>
          <c:showBubbleSize val="0"/>
          <c:extLst>
            <c:ext xmlns:c15="http://schemas.microsoft.com/office/drawing/2012/chart" uri="{CE6537A1-D6FC-4f65-9D91-7224C49458BB}">
              <c15:layout>
                <c:manualLayout>
                  <c:w val="0.33596647345783137"/>
                  <c:h val="0.35391016709313367"/>
                </c:manualLayout>
              </c15:layout>
              <c15:dlblFieldTable/>
              <c15:showDataLabelsRange val="0"/>
            </c:ext>
          </c:extLst>
        </c:dLbl>
      </c:pivotFmt>
      <c:pivotFmt>
        <c:idx val="14"/>
        <c:spPr>
          <a:solidFill>
            <a:schemeClr val="bg1"/>
          </a:solidFill>
          <a:ln w="19050">
            <a:noFill/>
          </a:ln>
          <a:effectLst/>
        </c:spPr>
        <c:dLbl>
          <c:idx val="0"/>
          <c:delete val="1"/>
          <c:extLst>
            <c:ext xmlns:c15="http://schemas.microsoft.com/office/drawing/2012/chart" uri="{CE6537A1-D6FC-4f65-9D91-7224C49458BB}"/>
          </c:extLst>
        </c:dLbl>
      </c:pivotFmt>
      <c:pivotFmt>
        <c:idx val="15"/>
        <c:spPr>
          <a:solidFill>
            <a:schemeClr val="bg1"/>
          </a:solidFill>
          <a:ln w="19050">
            <a:noFill/>
          </a:ln>
          <a:effectLst/>
        </c:spPr>
        <c:marker>
          <c:symbol val="none"/>
        </c:marker>
        <c:dLbl>
          <c:idx val="0"/>
          <c:delete val="1"/>
          <c:extLst>
            <c:ext xmlns:c15="http://schemas.microsoft.com/office/drawing/2012/chart" uri="{CE6537A1-D6FC-4f65-9D91-7224C49458BB}"/>
          </c:extLst>
        </c:dLbl>
      </c:pivotFmt>
      <c:pivotFmt>
        <c:idx val="16"/>
        <c:spPr>
          <a:solidFill>
            <a:srgbClr val="00B0F0"/>
          </a:solidFill>
          <a:ln w="19050">
            <a:noFill/>
          </a:ln>
          <a:effectLst/>
        </c:spPr>
        <c:dLbl>
          <c:idx val="0"/>
          <c:layout>
            <c:manualLayout>
              <c:x val="-0.14539929933555015"/>
              <c:y val="-0.14209414948158958"/>
            </c:manualLayout>
          </c:layout>
          <c:tx>
            <c:rich>
              <a:bodyPr rot="0" spcFirstLastPara="1" vertOverflow="ellipsis" vert="horz" wrap="square" lIns="38100" tIns="19050" rIns="38100" bIns="19050" anchor="ctr" anchorCtr="1">
                <a:spAutoFit/>
              </a:bodyPr>
              <a:lstStyle/>
              <a:p>
                <a:pPr>
                  <a:defRPr sz="4400" b="0" i="0" u="none" strike="noStrike" kern="1200" baseline="0">
                    <a:solidFill>
                      <a:schemeClr val="tx1">
                        <a:lumMod val="75000"/>
                        <a:lumOff val="25000"/>
                      </a:schemeClr>
                    </a:solidFill>
                    <a:latin typeface="+mn-lt"/>
                    <a:ea typeface="+mn-ea"/>
                    <a:cs typeface="+mn-cs"/>
                  </a:defRPr>
                </a:pPr>
                <a:fld id="{344ACE77-5314-4357-AA37-4E26602AECB5}" type="VALUE">
                  <a:rPr lang="en-US" sz="4400">
                    <a:solidFill>
                      <a:schemeClr val="bg1"/>
                    </a:solidFill>
                  </a:rPr>
                  <a:pPr>
                    <a:defRPr sz="4400" b="0" i="0" u="none" strike="noStrike" kern="1200" baseline="0">
                      <a:solidFill>
                        <a:schemeClr val="tx1">
                          <a:lumMod val="75000"/>
                          <a:lumOff val="25000"/>
                        </a:schemeClr>
                      </a:solidFill>
                      <a:latin typeface="+mn-lt"/>
                      <a:ea typeface="+mn-ea"/>
                      <a:cs typeface="+mn-cs"/>
                    </a:defRPr>
                  </a:pPr>
                  <a:t>[VALUE]</a:t>
                </a:fld>
                <a:endParaRPr lang="en-US"/>
              </a:p>
            </c:rich>
          </c:tx>
          <c:spPr>
            <a:noFill/>
            <a:ln>
              <a:noFill/>
            </a:ln>
            <a:effectLst/>
          </c:spPr>
          <c:showLegendKey val="0"/>
          <c:showVal val="1"/>
          <c:showCatName val="0"/>
          <c:showSerName val="0"/>
          <c:showPercent val="0"/>
          <c:showBubbleSize val="0"/>
          <c:extLst>
            <c:ext xmlns:c15="http://schemas.microsoft.com/office/drawing/2012/chart" uri="{CE6537A1-D6FC-4f65-9D91-7224C49458BB}">
              <c15:layout>
                <c:manualLayout>
                  <c:w val="0.33596647345783137"/>
                  <c:h val="0.35391016709313367"/>
                </c:manualLayout>
              </c15:layout>
              <c15:dlblFieldTable/>
              <c15:showDataLabelsRange val="0"/>
            </c:ext>
          </c:extLst>
        </c:dLbl>
      </c:pivotFmt>
      <c:pivotFmt>
        <c:idx val="17"/>
        <c:dLbl>
          <c:idx val="0"/>
          <c:delete val="1"/>
          <c:extLst>
            <c:ext xmlns:c15="http://schemas.microsoft.com/office/drawing/2012/chart" uri="{CE6537A1-D6FC-4f65-9D91-7224C49458BB}"/>
          </c:extLst>
        </c:dLbl>
      </c:pivotFmt>
      <c:pivotFmt>
        <c:idx val="18"/>
        <c:spPr>
          <a:solidFill>
            <a:schemeClr val="bg1"/>
          </a:solidFill>
          <a:ln w="19050">
            <a:noFill/>
          </a:ln>
          <a:effectLst/>
        </c:spPr>
        <c:marker>
          <c:symbol val="none"/>
        </c:marker>
        <c:dLbl>
          <c:idx val="0"/>
          <c:delete val="1"/>
          <c:extLst>
            <c:ext xmlns:c15="http://schemas.microsoft.com/office/drawing/2012/chart" uri="{CE6537A1-D6FC-4f65-9D91-7224C49458BB}"/>
          </c:extLst>
        </c:dLbl>
      </c:pivotFmt>
      <c:pivotFmt>
        <c:idx val="19"/>
        <c:spPr>
          <a:solidFill>
            <a:srgbClr val="00B0F0"/>
          </a:solidFill>
          <a:ln w="19050">
            <a:noFill/>
          </a:ln>
          <a:effectLst/>
        </c:spPr>
        <c:dLbl>
          <c:idx val="0"/>
          <c:layout>
            <c:manualLayout>
              <c:x val="-0.14539929933555015"/>
              <c:y val="-0.14209414948158958"/>
            </c:manualLayout>
          </c:layout>
          <c:tx>
            <c:rich>
              <a:bodyPr rot="0" spcFirstLastPara="1" vertOverflow="ellipsis" vert="horz" wrap="square" lIns="38100" tIns="19050" rIns="38100" bIns="19050" anchor="ctr" anchorCtr="1">
                <a:spAutoFit/>
              </a:bodyPr>
              <a:lstStyle/>
              <a:p>
                <a:pPr>
                  <a:defRPr sz="4400" b="0" i="0" u="none" strike="noStrike" kern="1200" baseline="0">
                    <a:solidFill>
                      <a:schemeClr val="tx1">
                        <a:lumMod val="75000"/>
                        <a:lumOff val="25000"/>
                      </a:schemeClr>
                    </a:solidFill>
                    <a:latin typeface="+mn-lt"/>
                    <a:ea typeface="+mn-ea"/>
                    <a:cs typeface="+mn-cs"/>
                  </a:defRPr>
                </a:pPr>
                <a:fld id="{344ACE77-5314-4357-AA37-4E26602AECB5}" type="VALUE">
                  <a:rPr lang="en-US" sz="4400">
                    <a:solidFill>
                      <a:schemeClr val="bg1"/>
                    </a:solidFill>
                  </a:rPr>
                  <a:pPr>
                    <a:defRPr sz="4400" b="0" i="0" u="none" strike="noStrike" kern="1200" baseline="0">
                      <a:solidFill>
                        <a:schemeClr val="tx1">
                          <a:lumMod val="75000"/>
                          <a:lumOff val="25000"/>
                        </a:schemeClr>
                      </a:solidFill>
                      <a:latin typeface="+mn-lt"/>
                      <a:ea typeface="+mn-ea"/>
                      <a:cs typeface="+mn-cs"/>
                    </a:defRPr>
                  </a:pPr>
                  <a:t>[VALUE]</a:t>
                </a:fld>
                <a:endParaRPr lang="en-US"/>
              </a:p>
            </c:rich>
          </c:tx>
          <c:spPr>
            <a:noFill/>
            <a:ln>
              <a:noFill/>
            </a:ln>
            <a:effectLst/>
          </c:spPr>
          <c:showLegendKey val="0"/>
          <c:showVal val="1"/>
          <c:showCatName val="0"/>
          <c:showSerName val="0"/>
          <c:showPercent val="0"/>
          <c:showBubbleSize val="0"/>
          <c:extLst>
            <c:ext xmlns:c15="http://schemas.microsoft.com/office/drawing/2012/chart" uri="{CE6537A1-D6FC-4f65-9D91-7224C49458BB}">
              <c15:layout>
                <c:manualLayout>
                  <c:w val="0.33596647345783137"/>
                  <c:h val="0.35391016709313367"/>
                </c:manualLayout>
              </c15:layout>
              <c15:dlblFieldTable/>
              <c15:showDataLabelsRange val="0"/>
            </c:ext>
          </c:extLst>
        </c:dLbl>
      </c:pivotFmt>
      <c:pivotFmt>
        <c:idx val="20"/>
        <c:dLbl>
          <c:idx val="0"/>
          <c:delete val="1"/>
          <c:extLst>
            <c:ext xmlns:c15="http://schemas.microsoft.com/office/drawing/2012/chart" uri="{CE6537A1-D6FC-4f65-9D91-7224C49458BB}"/>
          </c:extLst>
        </c:dLbl>
      </c:pivotFmt>
      <c:pivotFmt>
        <c:idx val="21"/>
        <c:spPr>
          <a:solidFill>
            <a:schemeClr val="bg1"/>
          </a:solidFill>
          <a:ln w="19050">
            <a:noFill/>
          </a:ln>
          <a:effectLst/>
        </c:spPr>
        <c:marker>
          <c:symbol val="none"/>
        </c:marker>
        <c:dLbl>
          <c:idx val="0"/>
          <c:delete val="1"/>
          <c:extLst>
            <c:ext xmlns:c15="http://schemas.microsoft.com/office/drawing/2012/chart" uri="{CE6537A1-D6FC-4f65-9D91-7224C49458BB}"/>
          </c:extLst>
        </c:dLbl>
      </c:pivotFmt>
      <c:pivotFmt>
        <c:idx val="22"/>
        <c:spPr>
          <a:solidFill>
            <a:srgbClr val="00B0F0"/>
          </a:solidFill>
          <a:ln w="19050">
            <a:noFill/>
          </a:ln>
          <a:effectLst/>
        </c:spPr>
        <c:dLbl>
          <c:idx val="0"/>
          <c:layout>
            <c:manualLayout>
              <c:x val="-0.14539929933555015"/>
              <c:y val="-0.14209414948158958"/>
            </c:manualLayout>
          </c:layout>
          <c:tx>
            <c:rich>
              <a:bodyPr rot="0" spcFirstLastPara="1" vertOverflow="ellipsis" vert="horz" wrap="square" lIns="38100" tIns="19050" rIns="38100" bIns="19050" anchor="ctr" anchorCtr="1">
                <a:spAutoFit/>
              </a:bodyPr>
              <a:lstStyle/>
              <a:p>
                <a:pPr>
                  <a:defRPr sz="4400" b="0" i="0" u="none" strike="noStrike" kern="1200" baseline="0">
                    <a:solidFill>
                      <a:schemeClr val="tx1">
                        <a:lumMod val="75000"/>
                        <a:lumOff val="25000"/>
                      </a:schemeClr>
                    </a:solidFill>
                    <a:latin typeface="+mn-lt"/>
                    <a:ea typeface="+mn-ea"/>
                    <a:cs typeface="+mn-cs"/>
                  </a:defRPr>
                </a:pPr>
                <a:fld id="{344ACE77-5314-4357-AA37-4E26602AECB5}" type="VALUE">
                  <a:rPr lang="en-US" sz="4400">
                    <a:solidFill>
                      <a:schemeClr val="bg1"/>
                    </a:solidFill>
                  </a:rPr>
                  <a:pPr>
                    <a:defRPr sz="4400" b="0" i="0" u="none" strike="noStrike" kern="1200" baseline="0">
                      <a:solidFill>
                        <a:schemeClr val="tx1">
                          <a:lumMod val="75000"/>
                          <a:lumOff val="25000"/>
                        </a:schemeClr>
                      </a:solidFill>
                      <a:latin typeface="+mn-lt"/>
                      <a:ea typeface="+mn-ea"/>
                      <a:cs typeface="+mn-cs"/>
                    </a:defRPr>
                  </a:pPr>
                  <a:t>[VALUE]</a:t>
                </a:fld>
                <a:endParaRPr lang="en-US"/>
              </a:p>
            </c:rich>
          </c:tx>
          <c:spPr>
            <a:noFill/>
            <a:ln>
              <a:noFill/>
            </a:ln>
            <a:effectLst/>
          </c:spPr>
          <c:showLegendKey val="0"/>
          <c:showVal val="1"/>
          <c:showCatName val="0"/>
          <c:showSerName val="0"/>
          <c:showPercent val="0"/>
          <c:showBubbleSize val="0"/>
          <c:extLst>
            <c:ext xmlns:c15="http://schemas.microsoft.com/office/drawing/2012/chart" uri="{CE6537A1-D6FC-4f65-9D91-7224C49458BB}">
              <c15:layout>
                <c:manualLayout>
                  <c:w val="0.33596647345783137"/>
                  <c:h val="0.35391016709313367"/>
                </c:manualLayout>
              </c15:layout>
              <c15:dlblFieldTable/>
              <c15:showDataLabelsRange val="0"/>
            </c:ext>
          </c:extLst>
        </c:dLbl>
      </c:pivotFmt>
      <c:pivotFmt>
        <c:idx val="23"/>
        <c:dLbl>
          <c:idx val="0"/>
          <c:delete val="1"/>
          <c:extLst>
            <c:ext xmlns:c15="http://schemas.microsoft.com/office/drawing/2012/chart" uri="{CE6537A1-D6FC-4f65-9D91-7224C49458BB}"/>
          </c:extLst>
        </c:dLbl>
      </c:pivotFmt>
      <c:pivotFmt>
        <c:idx val="24"/>
        <c:spPr>
          <a:solidFill>
            <a:schemeClr val="bg1"/>
          </a:solidFill>
          <a:ln w="19050">
            <a:noFill/>
          </a:ln>
          <a:effectLst/>
        </c:spPr>
        <c:marker>
          <c:symbol val="none"/>
        </c:marker>
        <c:dLbl>
          <c:idx val="0"/>
          <c:delete val="1"/>
          <c:extLst>
            <c:ext xmlns:c15="http://schemas.microsoft.com/office/drawing/2012/chart" uri="{CE6537A1-D6FC-4f65-9D91-7224C49458BB}"/>
          </c:extLst>
        </c:dLbl>
      </c:pivotFmt>
      <c:pivotFmt>
        <c:idx val="25"/>
        <c:spPr>
          <a:solidFill>
            <a:srgbClr val="00B0F0"/>
          </a:solidFill>
          <a:ln w="19050">
            <a:noFill/>
          </a:ln>
          <a:effectLst/>
        </c:spPr>
        <c:dLbl>
          <c:idx val="0"/>
          <c:layout>
            <c:manualLayout>
              <c:x val="0.16933916732345272"/>
              <c:y val="0.11174658902300515"/>
            </c:manualLayout>
          </c:layout>
          <c:tx>
            <c:rich>
              <a:bodyPr wrap="square" lIns="38100" tIns="19050" rIns="38100" bIns="19050" anchor="ctr">
                <a:spAutoFit/>
              </a:bodyPr>
              <a:lstStyle/>
              <a:p>
                <a:pPr>
                  <a:defRPr/>
                </a:pPr>
                <a:fld id="{344ACE77-5314-4357-AA37-4E26602AECB5}" type="VALUE">
                  <a:rPr lang="en-US" sz="4400">
                    <a:solidFill>
                      <a:schemeClr val="bg1"/>
                    </a:solidFill>
                  </a:rPr>
                  <a:pPr>
                    <a:defRPr/>
                  </a:pPr>
                  <a:t>[VALUE]</a:t>
                </a:fld>
                <a:endParaRPr lang="en-US"/>
              </a:p>
            </c:rich>
          </c:tx>
          <c:spPr>
            <a:noFill/>
            <a:ln>
              <a:noFill/>
            </a:ln>
            <a:effectLst/>
          </c:spPr>
          <c:showLegendKey val="0"/>
          <c:showVal val="1"/>
          <c:showCatName val="0"/>
          <c:showSerName val="0"/>
          <c:showPercent val="0"/>
          <c:showBubbleSize val="0"/>
          <c:extLst>
            <c:ext xmlns:c15="http://schemas.microsoft.com/office/drawing/2012/chart" uri="{CE6537A1-D6FC-4f65-9D91-7224C49458BB}">
              <c15:layout>
                <c:manualLayout>
                  <c:w val="0.33596647345783137"/>
                  <c:h val="0.35391016709313367"/>
                </c:manualLayout>
              </c15:layout>
              <c15:dlblFieldTable/>
              <c15:showDataLabelsRange val="0"/>
            </c:ext>
          </c:extLst>
        </c:dLbl>
      </c:pivotFmt>
      <c:pivotFmt>
        <c:idx val="26"/>
      </c:pivotFmt>
      <c:pivotFmt>
        <c:idx val="27"/>
        <c:spPr>
          <a:solidFill>
            <a:schemeClr val="bg1"/>
          </a:solidFill>
          <a:ln w="19050">
            <a:noFill/>
          </a:ln>
          <a:effectLst/>
        </c:spPr>
        <c:marker>
          <c:symbol val="none"/>
        </c:marker>
        <c:dLbl>
          <c:idx val="0"/>
          <c:delete val="1"/>
          <c:extLst>
            <c:ext xmlns:c15="http://schemas.microsoft.com/office/drawing/2012/chart" uri="{CE6537A1-D6FC-4f65-9D91-7224C49458BB}"/>
          </c:extLst>
        </c:dLbl>
      </c:pivotFmt>
      <c:pivotFmt>
        <c:idx val="28"/>
        <c:spPr>
          <a:solidFill>
            <a:srgbClr val="00B0F0"/>
          </a:solidFill>
          <a:ln w="19050">
            <a:noFill/>
          </a:ln>
          <a:effectLst/>
        </c:spPr>
        <c:dLbl>
          <c:idx val="0"/>
          <c:layout>
            <c:manualLayout>
              <c:x val="0.16933916732345272"/>
              <c:y val="0.11174658902300515"/>
            </c:manualLayout>
          </c:layout>
          <c:tx>
            <c:rich>
              <a:bodyPr wrap="square" lIns="38100" tIns="19050" rIns="38100" bIns="19050" anchor="ctr">
                <a:spAutoFit/>
              </a:bodyPr>
              <a:lstStyle/>
              <a:p>
                <a:pPr>
                  <a:defRPr/>
                </a:pPr>
                <a:fld id="{344ACE77-5314-4357-AA37-4E26602AECB5}" type="VALUE">
                  <a:rPr lang="en-US" sz="4400">
                    <a:solidFill>
                      <a:schemeClr val="bg1"/>
                    </a:solidFill>
                  </a:rPr>
                  <a:pPr>
                    <a:defRPr/>
                  </a:pPr>
                  <a:t>[VALUE]</a:t>
                </a:fld>
                <a:endParaRPr lang="en-US"/>
              </a:p>
            </c:rich>
          </c:tx>
          <c:spPr>
            <a:noFill/>
            <a:ln>
              <a:noFill/>
            </a:ln>
            <a:effectLst/>
          </c:spPr>
          <c:showLegendKey val="0"/>
          <c:showVal val="1"/>
          <c:showCatName val="0"/>
          <c:showSerName val="0"/>
          <c:showPercent val="0"/>
          <c:showBubbleSize val="0"/>
          <c:extLst>
            <c:ext xmlns:c15="http://schemas.microsoft.com/office/drawing/2012/chart" uri="{CE6537A1-D6FC-4f65-9D91-7224C49458BB}">
              <c15:layout>
                <c:manualLayout>
                  <c:w val="0.33596647345783137"/>
                  <c:h val="0.35391016709313367"/>
                </c:manualLayout>
              </c15:layout>
              <c15:dlblFieldTable/>
              <c15:showDataLabelsRange val="0"/>
            </c:ext>
          </c:extLst>
        </c:dLbl>
      </c:pivotFmt>
      <c:pivotFmt>
        <c:idx val="29"/>
        <c:spPr>
          <a:solidFill>
            <a:schemeClr val="bg1"/>
          </a:solidFill>
          <a:ln w="19050">
            <a:noFill/>
          </a:ln>
          <a:effectLst/>
        </c:spPr>
        <c:marker>
          <c:symbol val="none"/>
        </c:marker>
        <c:dLbl>
          <c:idx val="0"/>
          <c:delete val="1"/>
          <c:extLst>
            <c:ext xmlns:c15="http://schemas.microsoft.com/office/drawing/2012/chart" uri="{CE6537A1-D6FC-4f65-9D91-7224C49458BB}"/>
          </c:extLst>
        </c:dLbl>
      </c:pivotFmt>
      <c:pivotFmt>
        <c:idx val="30"/>
        <c:spPr>
          <a:solidFill>
            <a:srgbClr val="00B0F0"/>
          </a:solidFill>
          <a:ln w="19050">
            <a:noFill/>
          </a:ln>
          <a:effectLst/>
        </c:spPr>
        <c:dLbl>
          <c:idx val="0"/>
          <c:layout>
            <c:manualLayout>
              <c:x val="0.16933916732345272"/>
              <c:y val="0.11174658902300515"/>
            </c:manualLayout>
          </c:layout>
          <c:tx>
            <c:rich>
              <a:bodyPr wrap="square" lIns="38100" tIns="19050" rIns="38100" bIns="19050" anchor="ctr">
                <a:spAutoFit/>
              </a:bodyPr>
              <a:lstStyle/>
              <a:p>
                <a:pPr>
                  <a:defRPr/>
                </a:pPr>
                <a:fld id="{344ACE77-5314-4357-AA37-4E26602AECB5}" type="VALUE">
                  <a:rPr lang="en-US" sz="4400">
                    <a:solidFill>
                      <a:schemeClr val="bg1"/>
                    </a:solidFill>
                  </a:rPr>
                  <a:pPr>
                    <a:defRPr/>
                  </a:pPr>
                  <a:t>[VALUE]</a:t>
                </a:fld>
                <a:endParaRPr lang="en-US"/>
              </a:p>
            </c:rich>
          </c:tx>
          <c:spPr>
            <a:noFill/>
            <a:ln>
              <a:noFill/>
            </a:ln>
            <a:effectLst/>
          </c:spPr>
          <c:showLegendKey val="0"/>
          <c:showVal val="1"/>
          <c:showCatName val="0"/>
          <c:showSerName val="0"/>
          <c:showPercent val="0"/>
          <c:showBubbleSize val="0"/>
          <c:extLst>
            <c:ext xmlns:c15="http://schemas.microsoft.com/office/drawing/2012/chart" uri="{CE6537A1-D6FC-4f65-9D91-7224C49458BB}">
              <c15:layout>
                <c:manualLayout>
                  <c:w val="0.33596647345783137"/>
                  <c:h val="0.35391016709313367"/>
                </c:manualLayout>
              </c15:layout>
              <c15:dlblFieldTable/>
              <c15:showDataLabelsRange val="0"/>
            </c:ext>
          </c:extLst>
        </c:dLbl>
      </c:pivotFmt>
      <c:pivotFmt>
        <c:idx val="31"/>
        <c:spPr>
          <a:solidFill>
            <a:schemeClr val="bg1"/>
          </a:solidFill>
          <a:ln w="19050">
            <a:noFill/>
          </a:ln>
          <a:effectLst/>
        </c:spPr>
        <c:marker>
          <c:symbol val="none"/>
        </c:marker>
        <c:dLbl>
          <c:idx val="0"/>
          <c:delete val="1"/>
          <c:extLst>
            <c:ext xmlns:c15="http://schemas.microsoft.com/office/drawing/2012/chart" uri="{CE6537A1-D6FC-4f65-9D91-7224C49458BB}"/>
          </c:extLst>
        </c:dLbl>
      </c:pivotFmt>
      <c:pivotFmt>
        <c:idx val="32"/>
        <c:spPr>
          <a:solidFill>
            <a:srgbClr val="00B0F0"/>
          </a:solidFill>
          <a:ln w="19050">
            <a:noFill/>
          </a:ln>
          <a:effectLst/>
        </c:spPr>
        <c:dLbl>
          <c:idx val="0"/>
          <c:layout>
            <c:manualLayout>
              <c:x val="7.0493876644298223E-2"/>
              <c:y val="0.10093661903373181"/>
            </c:manualLayout>
          </c:layout>
          <c:tx>
            <c:rich>
              <a:bodyPr wrap="square" lIns="38100" tIns="19050" rIns="38100" bIns="19050" anchor="ctr">
                <a:spAutoFit/>
              </a:bodyPr>
              <a:lstStyle/>
              <a:p>
                <a:pPr>
                  <a:defRPr/>
                </a:pPr>
                <a:fld id="{344ACE77-5314-4357-AA37-4E26602AECB5}" type="VALUE">
                  <a:rPr lang="en-US" sz="3600">
                    <a:solidFill>
                      <a:schemeClr val="bg1"/>
                    </a:solidFill>
                  </a:rPr>
                  <a:pPr>
                    <a:defRPr/>
                  </a:pPr>
                  <a:t>[VALUE]</a:t>
                </a:fld>
                <a:endParaRPr lang="en-US"/>
              </a:p>
            </c:rich>
          </c:tx>
          <c:spPr>
            <a:noFill/>
            <a:ln>
              <a:noFill/>
            </a:ln>
            <a:effectLst/>
          </c:spPr>
          <c:showLegendKey val="0"/>
          <c:showVal val="1"/>
          <c:showCatName val="0"/>
          <c:showSerName val="0"/>
          <c:showPercent val="0"/>
          <c:showBubbleSize val="0"/>
          <c:extLst>
            <c:ext xmlns:c15="http://schemas.microsoft.com/office/drawing/2012/chart" uri="{CE6537A1-D6FC-4f65-9D91-7224C49458BB}">
              <c15:layout>
                <c:manualLayout>
                  <c:w val="0.33596647345783137"/>
                  <c:h val="0.35391016709313367"/>
                </c:manualLayout>
              </c15:layout>
              <c15:dlblFieldTable/>
              <c15:showDataLabelsRange val="0"/>
            </c:ext>
          </c:extLst>
        </c:dLbl>
      </c:pivotFmt>
    </c:pivotFmts>
    <c:plotArea>
      <c:layout>
        <c:manualLayout>
          <c:layoutTarget val="inner"/>
          <c:xMode val="edge"/>
          <c:yMode val="edge"/>
          <c:x val="0.22350697215927037"/>
          <c:y val="0.28235231099510438"/>
          <c:w val="0.46388888888888891"/>
          <c:h val="0.77314814814814814"/>
        </c:manualLayout>
      </c:layout>
      <c:doughnutChart>
        <c:varyColors val="0"/>
        <c:ser>
          <c:idx val="0"/>
          <c:order val="0"/>
          <c:tx>
            <c:strRef>
              <c:f>PIVOT!$G$4</c:f>
              <c:strCache>
                <c:ptCount val="1"/>
                <c:pt idx="0">
                  <c:v>Total</c:v>
                </c:pt>
              </c:strCache>
            </c:strRef>
          </c:tx>
          <c:spPr>
            <a:solidFill>
              <a:schemeClr val="bg1"/>
            </a:solidFill>
            <a:ln w="19050">
              <a:noFill/>
            </a:ln>
            <a:effectLst/>
          </c:spPr>
          <c:dPt>
            <c:idx val="0"/>
            <c:bubble3D val="0"/>
            <c:spPr>
              <a:solidFill>
                <a:srgbClr val="00B0F0"/>
              </a:solidFill>
              <a:ln w="19050">
                <a:noFill/>
              </a:ln>
              <a:effectLst/>
            </c:spPr>
            <c:extLst>
              <c:ext xmlns:c16="http://schemas.microsoft.com/office/drawing/2014/chart" uri="{C3380CC4-5D6E-409C-BE32-E72D297353CC}">
                <c16:uniqueId val="{00000009-69C3-4BB1-AD17-C89EBA271F07}"/>
              </c:ext>
            </c:extLst>
          </c:dPt>
          <c:dPt>
            <c:idx val="1"/>
            <c:bubble3D val="0"/>
            <c:extLst>
              <c:ext xmlns:c16="http://schemas.microsoft.com/office/drawing/2014/chart" uri="{C3380CC4-5D6E-409C-BE32-E72D297353CC}">
                <c16:uniqueId val="{00000002-0632-4189-9A31-254290E84370}"/>
              </c:ext>
            </c:extLst>
          </c:dPt>
          <c:dLbls>
            <c:dLbl>
              <c:idx val="0"/>
              <c:layout>
                <c:manualLayout>
                  <c:x val="7.0493876644298223E-2"/>
                  <c:y val="0.10093661903373181"/>
                </c:manualLayout>
              </c:layout>
              <c:tx>
                <c:rich>
                  <a:bodyPr/>
                  <a:lstStyle/>
                  <a:p>
                    <a:fld id="{344ACE77-5314-4357-AA37-4E26602AECB5}" type="VALUE">
                      <a:rPr lang="en-US" sz="3600">
                        <a:solidFill>
                          <a:schemeClr val="bg1"/>
                        </a:solidFill>
                      </a:rPr>
                      <a:pPr/>
                      <a:t>[VALUE]</a:t>
                    </a:fld>
                    <a:endParaRPr lang="en-US"/>
                  </a:p>
                </c:rich>
              </c:tx>
              <c:showLegendKey val="0"/>
              <c:showVal val="1"/>
              <c:showCatName val="0"/>
              <c:showSerName val="0"/>
              <c:showPercent val="0"/>
              <c:showBubbleSize val="0"/>
              <c:extLst>
                <c:ext xmlns:c15="http://schemas.microsoft.com/office/drawing/2012/chart" uri="{CE6537A1-D6FC-4f65-9D91-7224C49458BB}">
                  <c15:layout>
                    <c:manualLayout>
                      <c:w val="0.33596647345783137"/>
                      <c:h val="0.35391016709313367"/>
                    </c:manualLayout>
                  </c15:layout>
                  <c15:dlblFieldTable/>
                  <c15:showDataLabelsRange val="0"/>
                </c:ext>
                <c:ext xmlns:c16="http://schemas.microsoft.com/office/drawing/2014/chart" uri="{C3380CC4-5D6E-409C-BE32-E72D297353CC}">
                  <c16:uniqueId val="{00000009-69C3-4BB1-AD17-C89EBA271F07}"/>
                </c:ext>
              </c:extLst>
            </c:dLbl>
            <c:spPr>
              <a:noFill/>
              <a:ln>
                <a:noFill/>
              </a:ln>
              <a:effectLst/>
            </c:spPr>
            <c:txPr>
              <a:bodyPr wrap="square" lIns="38100" tIns="19050" rIns="38100" bIns="19050" anchor="ctr">
                <a:spAutoFit/>
              </a:bodyPr>
              <a:lstStyle/>
              <a:p>
                <a:pPr>
                  <a:defRPr/>
                </a:pPr>
                <a:endParaRPr lang="en-US"/>
              </a:p>
            </c:txPr>
            <c:showLegendKey val="0"/>
            <c:showVal val="0"/>
            <c:showCatName val="0"/>
            <c:showSerName val="0"/>
            <c:showPercent val="0"/>
            <c:showBubbleSize val="0"/>
            <c:extLst>
              <c:ext xmlns:c15="http://schemas.microsoft.com/office/drawing/2012/chart" uri="{CE6537A1-D6FC-4f65-9D91-7224C49458BB}"/>
            </c:extLst>
          </c:dLbls>
          <c:cat>
            <c:strRef>
              <c:f>PIVOT!$F$5:$F$8</c:f>
              <c:strCache>
                <c:ptCount val="3"/>
                <c:pt idx="0">
                  <c:v>COMPLETED</c:v>
                </c:pt>
                <c:pt idx="1">
                  <c:v>ON GOING</c:v>
                </c:pt>
                <c:pt idx="2">
                  <c:v>RFD</c:v>
                </c:pt>
              </c:strCache>
            </c:strRef>
          </c:cat>
          <c:val>
            <c:numRef>
              <c:f>PIVOT!$G$5:$G$8</c:f>
              <c:numCache>
                <c:formatCode>0%</c:formatCode>
                <c:ptCount val="3"/>
                <c:pt idx="0">
                  <c:v>0.92682926829268297</c:v>
                </c:pt>
                <c:pt idx="1">
                  <c:v>1.6260162601626018E-2</c:v>
                </c:pt>
                <c:pt idx="2">
                  <c:v>5.6910569105691054E-2</c:v>
                </c:pt>
              </c:numCache>
            </c:numRef>
          </c:val>
          <c:extLst>
            <c:ext xmlns:c16="http://schemas.microsoft.com/office/drawing/2014/chart" uri="{C3380CC4-5D6E-409C-BE32-E72D297353CC}">
              <c16:uniqueId val="{0000000A-69C3-4BB1-AD17-C89EBA271F07}"/>
            </c:ext>
          </c:extLst>
        </c:ser>
        <c:dLbls>
          <c:showLegendKey val="0"/>
          <c:showVal val="0"/>
          <c:showCatName val="0"/>
          <c:showSerName val="0"/>
          <c:showPercent val="0"/>
          <c:showBubbleSize val="0"/>
          <c:showLeaderLines val="1"/>
        </c:dLbls>
        <c:firstSliceAng val="177"/>
        <c:holeSize val="65"/>
      </c:doughnutChart>
    </c:plotArea>
    <c:plotVisOnly val="1"/>
    <c:dispBlanksAs val="gap"/>
    <c:showDLblsOverMax val="0"/>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[Controlled Project 2023_by Jonal.xlsx]PIVOT!PivotTable7</c:name>
    <c:fmtId val="11"/>
  </c:pivotSource>
  <c:chart>
    <c:autoTitleDeleted val="1"/>
    <c:pivotFmts>
      <c:pivotFmt>
        <c:idx val="0"/>
        <c:spPr>
          <a:noFill/>
          <a:ln w="1905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19050">
            <a:noFill/>
          </a:ln>
          <a:effectLst/>
        </c:spPr>
        <c:dLbl>
          <c:idx val="0"/>
          <c:layout>
            <c:manualLayout>
              <c:x val="-0.15277777777777779"/>
              <c:y val="-0.1805555555555556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C000"/>
          </a:solidFill>
          <a:ln w="19050">
            <a:solidFill>
              <a:schemeClr val="bg1"/>
            </a:solidFill>
          </a:ln>
          <a:effectLst/>
        </c:spPr>
        <c:dLbl>
          <c:idx val="0"/>
          <c:layout>
            <c:manualLayout>
              <c:x val="-0.17625330645695339"/>
              <c:y val="-0.21931812845243057"/>
            </c:manualLayout>
          </c:layout>
          <c:spPr>
            <a:noFill/>
            <a:ln>
              <a:noFill/>
            </a:ln>
            <a:effectLst/>
          </c:spPr>
          <c:txPr>
            <a:bodyPr rot="0" spcFirstLastPara="1" vertOverflow="ellipsis" vert="horz" wrap="square" lIns="38100" tIns="19050" rIns="38100" bIns="19050" anchor="ctr" anchorCtr="1">
              <a:noAutofit/>
            </a:bodyPr>
            <a:lstStyle/>
            <a:p>
              <a:pPr>
                <a:defRPr sz="3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7910485306906302"/>
                  <c:h val="0.42394453217181"/>
                </c:manualLayout>
              </c15:layout>
            </c:ext>
          </c:extLst>
        </c:dLbl>
      </c:pivotFmt>
      <c:pivotFmt>
        <c:idx val="3"/>
        <c:spPr>
          <a:noFill/>
          <a:ln w="1905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noFill/>
          <a:ln w="19050">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FFC000"/>
          </a:solidFill>
          <a:ln w="19050">
            <a:solidFill>
              <a:schemeClr val="bg1"/>
            </a:solidFill>
          </a:ln>
          <a:effectLst/>
        </c:spPr>
        <c:dLbl>
          <c:idx val="0"/>
          <c:layout>
            <c:manualLayout>
              <c:x val="-0.17625330645695339"/>
              <c:y val="-0.21931812845243057"/>
            </c:manualLayout>
          </c:layout>
          <c:spPr>
            <a:noFill/>
            <a:ln>
              <a:noFill/>
            </a:ln>
            <a:effectLst/>
          </c:spPr>
          <c:txPr>
            <a:bodyPr rot="0" spcFirstLastPara="1" vertOverflow="ellipsis" vert="horz" wrap="square" lIns="38100" tIns="19050" rIns="38100" bIns="19050" anchor="ctr" anchorCtr="1">
              <a:noAutofit/>
            </a:bodyPr>
            <a:lstStyle/>
            <a:p>
              <a:pPr>
                <a:defRPr sz="3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7910485306906302"/>
                  <c:h val="0.42394453217181"/>
                </c:manualLayout>
              </c15:layout>
            </c:ext>
          </c:extLst>
        </c:dLbl>
      </c:pivotFmt>
      <c:pivotFmt>
        <c:idx val="6"/>
        <c:spPr>
          <a:solidFill>
            <a:schemeClr val="bg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36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bg1"/>
          </a:solidFill>
          <a:ln w="19050">
            <a:noFill/>
          </a:ln>
          <a:effectLst/>
        </c:spPr>
      </c:pivotFmt>
      <c:pivotFmt>
        <c:idx val="8"/>
        <c:spPr>
          <a:solidFill>
            <a:srgbClr val="92D050"/>
          </a:solidFill>
          <a:ln w="19050">
            <a:noFill/>
          </a:ln>
          <a:effectLst/>
        </c:spPr>
        <c:dLbl>
          <c:idx val="0"/>
          <c:layout>
            <c:manualLayout>
              <c:x val="-8.8252056132857609E-2"/>
              <c:y val="-9.377043963161294E-2"/>
            </c:manualLayout>
          </c:layout>
          <c:tx>
            <c:rich>
              <a:bodyPr rot="0" spcFirstLastPara="1" vertOverflow="ellipsis" vert="horz" wrap="square" lIns="38100" tIns="19050" rIns="38100" bIns="19050" anchor="ctr" anchorCtr="0">
                <a:noAutofit/>
              </a:bodyPr>
              <a:lstStyle/>
              <a:p>
                <a:pPr algn="ctr">
                  <a:defRPr lang="en-US" sz="3600" b="0" i="0" u="none" strike="noStrike" kern="1200" baseline="0">
                    <a:solidFill>
                      <a:schemeClr val="bg1"/>
                    </a:solidFill>
                    <a:latin typeface="+mn-lt"/>
                    <a:ea typeface="+mn-ea"/>
                    <a:cs typeface="+mn-cs"/>
                  </a:defRPr>
                </a:pPr>
                <a:fld id="{EF83DBAD-6AA9-48F6-9FCD-F54040877946}" type="VALUE">
                  <a:rPr lang="en-US" sz="2400"/>
                  <a:pPr algn="ctr">
                    <a:defRPr lang="en-US" sz="3600">
                      <a:solidFill>
                        <a:schemeClr val="bg1"/>
                      </a:solidFill>
                    </a:defRPr>
                  </a:pPr>
                  <a:t>[VALUE]</a:t>
                </a:fld>
                <a:endParaRPr lang="en-US"/>
              </a:p>
            </c:rich>
          </c:tx>
          <c:spPr>
            <a:noFill/>
            <a:ln>
              <a:noFill/>
            </a:ln>
            <a:effectLst/>
          </c:spPr>
          <c:txPr>
            <a:bodyPr rot="0" spcFirstLastPara="1" vertOverflow="ellipsis" vert="horz" wrap="square" lIns="38100" tIns="19050" rIns="38100" bIns="19050" anchor="ctr" anchorCtr="0">
              <a:noAutofit/>
            </a:bodyPr>
            <a:lstStyle/>
            <a:p>
              <a:pPr algn="ctr">
                <a:defRPr lang="en-US" sz="36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7910485306906302"/>
                  <c:h val="0.42394453217181"/>
                </c:manualLayout>
              </c15:layout>
              <c15:dlblFieldTable/>
              <c15:showDataLabelsRange val="0"/>
            </c:ext>
          </c:extLst>
        </c:dLbl>
      </c:pivotFmt>
      <c:pivotFmt>
        <c:idx val="9"/>
        <c:spPr>
          <a:solidFill>
            <a:schemeClr val="bg1"/>
          </a:solidFill>
          <a:ln w="19050">
            <a:noFill/>
          </a:ln>
          <a:effectLst/>
        </c:spPr>
      </c:pivotFmt>
      <c:pivotFmt>
        <c:idx val="10"/>
      </c:pivotFmt>
    </c:pivotFmts>
    <c:plotArea>
      <c:layout>
        <c:manualLayout>
          <c:layoutTarget val="inner"/>
          <c:xMode val="edge"/>
          <c:yMode val="edge"/>
          <c:x val="0.17710170603674544"/>
          <c:y val="0.11342592592592593"/>
          <c:w val="0.46388888888888891"/>
          <c:h val="0.77314814814814814"/>
        </c:manualLayout>
      </c:layout>
      <c:doughnutChart>
        <c:varyColors val="0"/>
        <c:ser>
          <c:idx val="0"/>
          <c:order val="0"/>
          <c:tx>
            <c:strRef>
              <c:f>PIVOT!$G$4</c:f>
              <c:strCache>
                <c:ptCount val="1"/>
                <c:pt idx="0">
                  <c:v>Total</c:v>
                </c:pt>
              </c:strCache>
            </c:strRef>
          </c:tx>
          <c:spPr>
            <a:solidFill>
              <a:schemeClr val="bg1"/>
            </a:solidFill>
            <a:ln w="19050">
              <a:noFill/>
            </a:ln>
            <a:effectLst/>
          </c:spPr>
          <c:dPt>
            <c:idx val="0"/>
            <c:bubble3D val="0"/>
            <c:spPr>
              <a:solidFill>
                <a:schemeClr val="bg1"/>
              </a:solidFill>
              <a:ln w="19050">
                <a:noFill/>
              </a:ln>
              <a:effectLst/>
            </c:spPr>
            <c:extLst>
              <c:ext xmlns:c16="http://schemas.microsoft.com/office/drawing/2014/chart" uri="{C3380CC4-5D6E-409C-BE32-E72D297353CC}">
                <c16:uniqueId val="{00000001-4691-4E39-9E6D-8A8BBAAA6E8B}"/>
              </c:ext>
            </c:extLst>
          </c:dPt>
          <c:dPt>
            <c:idx val="1"/>
            <c:bubble3D val="0"/>
            <c:extLst>
              <c:ext xmlns:c16="http://schemas.microsoft.com/office/drawing/2014/chart" uri="{C3380CC4-5D6E-409C-BE32-E72D297353CC}">
                <c16:uniqueId val="{00000002-D4DE-42BB-9724-2F754109BD4E}"/>
              </c:ext>
            </c:extLst>
          </c:dPt>
          <c:dPt>
            <c:idx val="2"/>
            <c:bubble3D val="0"/>
            <c:spPr>
              <a:solidFill>
                <a:srgbClr val="92D050"/>
              </a:solidFill>
              <a:ln w="19050">
                <a:noFill/>
              </a:ln>
              <a:effectLst/>
            </c:spPr>
            <c:extLst>
              <c:ext xmlns:c16="http://schemas.microsoft.com/office/drawing/2014/chart" uri="{C3380CC4-5D6E-409C-BE32-E72D297353CC}">
                <c16:uniqueId val="{00000003-E379-4915-8C15-4CE79916A8D0}"/>
              </c:ext>
            </c:extLst>
          </c:dPt>
          <c:dPt>
            <c:idx val="3"/>
            <c:bubble3D val="0"/>
            <c:extLst>
              <c:ext xmlns:c16="http://schemas.microsoft.com/office/drawing/2014/chart" uri="{C3380CC4-5D6E-409C-BE32-E72D297353CC}">
                <c16:uniqueId val="{00000003-4691-4E39-9E6D-8A8BBAAA6E8B}"/>
              </c:ext>
            </c:extLst>
          </c:dPt>
          <c:dLbls>
            <c:dLbl>
              <c:idx val="2"/>
              <c:layout>
                <c:manualLayout>
                  <c:x val="-8.8252056132857609E-2"/>
                  <c:y val="-9.377043963161294E-2"/>
                </c:manualLayout>
              </c:layout>
              <c:tx>
                <c:rich>
                  <a:bodyPr rot="0" spcFirstLastPara="1" vertOverflow="ellipsis" vert="horz" wrap="square" lIns="38100" tIns="19050" rIns="38100" bIns="19050" anchor="ctr" anchorCtr="0">
                    <a:noAutofit/>
                  </a:bodyPr>
                  <a:lstStyle/>
                  <a:p>
                    <a:pPr algn="ctr">
                      <a:defRPr lang="en-US" sz="3600" b="0" i="0" u="none" strike="noStrike" kern="1200" baseline="0">
                        <a:solidFill>
                          <a:schemeClr val="bg1"/>
                        </a:solidFill>
                        <a:latin typeface="+mn-lt"/>
                        <a:ea typeface="+mn-ea"/>
                        <a:cs typeface="+mn-cs"/>
                      </a:defRPr>
                    </a:pPr>
                    <a:fld id="{EF83DBAD-6AA9-48F6-9FCD-F54040877946}" type="VALUE">
                      <a:rPr lang="en-US" sz="2400"/>
                      <a:pPr algn="ctr">
                        <a:defRPr lang="en-US" sz="3600">
                          <a:solidFill>
                            <a:schemeClr val="bg1"/>
                          </a:solidFill>
                        </a:defRPr>
                      </a:pPr>
                      <a:t>[VALUE]</a:t>
                    </a:fld>
                    <a:endParaRPr lang="en-US"/>
                  </a:p>
                </c:rich>
              </c:tx>
              <c:spPr>
                <a:noFill/>
                <a:ln>
                  <a:noFill/>
                </a:ln>
                <a:effectLst/>
              </c:spPr>
              <c:txPr>
                <a:bodyPr rot="0" spcFirstLastPara="1" vertOverflow="ellipsis" vert="horz" wrap="square" lIns="38100" tIns="19050" rIns="38100" bIns="19050" anchor="ctr" anchorCtr="0">
                  <a:noAutofit/>
                </a:bodyPr>
                <a:lstStyle/>
                <a:p>
                  <a:pPr algn="ctr">
                    <a:defRPr lang="en-US" sz="36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7910485306906302"/>
                      <c:h val="0.42394453217181"/>
                    </c:manualLayout>
                  </c15:layout>
                  <c15:dlblFieldTable/>
                  <c15:showDataLabelsRange val="0"/>
                </c:ext>
                <c:ext xmlns:c16="http://schemas.microsoft.com/office/drawing/2014/chart" uri="{C3380CC4-5D6E-409C-BE32-E72D297353CC}">
                  <c16:uniqueId val="{00000003-E379-4915-8C15-4CE79916A8D0}"/>
                </c:ext>
              </c:extLst>
            </c:dLbl>
            <c:spPr>
              <a:noFill/>
              <a:ln>
                <a:noFill/>
              </a:ln>
              <a:effectLst/>
            </c:spPr>
            <c:txPr>
              <a:bodyPr rot="0" spcFirstLastPara="1" vertOverflow="ellipsis" vert="horz" wrap="square" lIns="38100" tIns="19050" rIns="38100" bIns="19050" anchor="ctr" anchorCtr="0">
                <a:spAutoFit/>
              </a:bodyPr>
              <a:lstStyle/>
              <a:p>
                <a:pPr algn="ctr">
                  <a:defRPr lang="en-US" sz="36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s>
          <c:cat>
            <c:strRef>
              <c:f>PIVOT!$F$5:$F$8</c:f>
              <c:strCache>
                <c:ptCount val="3"/>
                <c:pt idx="0">
                  <c:v>COMPLETED</c:v>
                </c:pt>
                <c:pt idx="1">
                  <c:v>ON GOING</c:v>
                </c:pt>
                <c:pt idx="2">
                  <c:v>RFD</c:v>
                </c:pt>
              </c:strCache>
            </c:strRef>
          </c:cat>
          <c:val>
            <c:numRef>
              <c:f>PIVOT!$G$5:$G$8</c:f>
              <c:numCache>
                <c:formatCode>0%</c:formatCode>
                <c:ptCount val="3"/>
                <c:pt idx="0">
                  <c:v>0.92682926829268297</c:v>
                </c:pt>
                <c:pt idx="1">
                  <c:v>1.6260162601626018E-2</c:v>
                </c:pt>
                <c:pt idx="2">
                  <c:v>5.6910569105691054E-2</c:v>
                </c:pt>
              </c:numCache>
            </c:numRef>
          </c:val>
          <c:extLst>
            <c:ext xmlns:c16="http://schemas.microsoft.com/office/drawing/2014/chart" uri="{C3380CC4-5D6E-409C-BE32-E72D297353CC}">
              <c16:uniqueId val="{00000004-4691-4E39-9E6D-8A8BBAAA6E8B}"/>
            </c:ext>
          </c:extLst>
        </c:ser>
        <c:dLbls>
          <c:showLegendKey val="0"/>
          <c:showVal val="0"/>
          <c:showCatName val="0"/>
          <c:showSerName val="0"/>
          <c:showPercent val="0"/>
          <c:showBubbleSize val="0"/>
          <c:showLeaderLines val="1"/>
        </c:dLbls>
        <c:firstSliceAng val="162"/>
        <c:holeSize val="6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[Controlled Project 2023_by Jonal.xlsx]PIVOT!PivotTable7</c:name>
    <c:fmtId val="15"/>
  </c:pivotSource>
  <c:chart>
    <c:autoTitleDeleted val="1"/>
    <c:pivotFmts>
      <c:pivotFmt>
        <c:idx val="0"/>
        <c:spPr>
          <a:noFill/>
          <a:ln w="1905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36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19050">
            <a:noFill/>
          </a:ln>
          <a:effectLst/>
        </c:spPr>
      </c:pivotFmt>
      <c:pivotFmt>
        <c:idx val="2"/>
        <c:spPr>
          <a:noFill/>
          <a:ln w="19050">
            <a:solidFill>
              <a:schemeClr val="bg1"/>
            </a:solidFill>
          </a:ln>
          <a:effectLst/>
        </c:spPr>
      </c:pivotFmt>
      <c:pivotFmt>
        <c:idx val="3"/>
        <c:spPr>
          <a:solidFill>
            <a:srgbClr val="FFC000"/>
          </a:solidFill>
          <a:ln w="19050">
            <a:solidFill>
              <a:schemeClr val="bg1"/>
            </a:solidFill>
          </a:ln>
          <a:effectLst/>
        </c:spPr>
        <c:dLbl>
          <c:idx val="0"/>
          <c:layout>
            <c:manualLayout>
              <c:x val="-0.14300603869124293"/>
              <c:y val="0"/>
            </c:manualLayout>
          </c:layout>
          <c:spPr>
            <a:noFill/>
            <a:ln>
              <a:noFill/>
            </a:ln>
            <a:effectLst/>
          </c:spPr>
          <c:txPr>
            <a:bodyPr rot="0" spcFirstLastPara="1" vertOverflow="ellipsis" vert="horz" wrap="square" lIns="38100" tIns="19050" rIns="38100" bIns="19050" anchor="ctr" anchorCtr="1">
              <a:spAutoFit/>
            </a:bodyPr>
            <a:lstStyle/>
            <a:p>
              <a:pPr>
                <a:defRPr sz="36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noFill/>
          <a:ln w="1905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36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noFill/>
          <a:ln w="19050">
            <a:noFill/>
          </a:ln>
          <a:effectLst/>
        </c:spPr>
      </c:pivotFmt>
      <c:pivotFmt>
        <c:idx val="6"/>
        <c:spPr>
          <a:solidFill>
            <a:srgbClr val="FFC000"/>
          </a:solidFill>
          <a:ln w="19050">
            <a:solidFill>
              <a:schemeClr val="bg1"/>
            </a:solidFill>
          </a:ln>
          <a:effectLst/>
        </c:spPr>
        <c:dLbl>
          <c:idx val="0"/>
          <c:layout>
            <c:manualLayout>
              <c:x val="-0.14300603869124293"/>
              <c:y val="0"/>
            </c:manualLayout>
          </c:layout>
          <c:spPr>
            <a:noFill/>
            <a:ln>
              <a:noFill/>
            </a:ln>
            <a:effectLst/>
          </c:spPr>
          <c:txPr>
            <a:bodyPr rot="0" spcFirstLastPara="1" vertOverflow="ellipsis" vert="horz" wrap="square" lIns="38100" tIns="19050" rIns="38100" bIns="19050" anchor="ctr" anchorCtr="1">
              <a:spAutoFit/>
            </a:bodyPr>
            <a:lstStyle/>
            <a:p>
              <a:pPr>
                <a:defRPr sz="36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noFill/>
          <a:ln w="19050">
            <a:solidFill>
              <a:schemeClr val="bg1"/>
            </a:solidFill>
          </a:ln>
          <a:effectLst/>
        </c:spPr>
      </c:pivotFmt>
      <c:pivotFmt>
        <c:idx val="8"/>
        <c:spPr>
          <a:solidFill>
            <a:schemeClr val="bg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40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bg1"/>
          </a:solidFill>
          <a:ln w="19050">
            <a:noFill/>
          </a:ln>
          <a:effectLst/>
        </c:spPr>
      </c:pivotFmt>
      <c:pivotFmt>
        <c:idx val="10"/>
        <c:spPr>
          <a:solidFill>
            <a:srgbClr val="FFC000"/>
          </a:solidFill>
          <a:ln w="19050">
            <a:noFill/>
          </a:ln>
          <a:effectLst/>
        </c:spPr>
        <c:dLbl>
          <c:idx val="0"/>
          <c:layout>
            <c:manualLayout>
              <c:x val="-7.5901076806780154E-2"/>
              <c:y val="-0.23722069851460553"/>
            </c:manualLayout>
          </c:layout>
          <c:tx>
            <c:rich>
              <a:bodyPr rot="0" spcFirstLastPara="1" vertOverflow="ellipsis" vert="horz" wrap="square" lIns="38100" tIns="19050" rIns="38100" bIns="19050" anchor="ctr" anchorCtr="1">
                <a:noAutofit/>
              </a:bodyPr>
              <a:lstStyle/>
              <a:p>
                <a:pPr>
                  <a:defRPr sz="4000" b="0" i="0" u="none" strike="noStrike" kern="1200" baseline="0">
                    <a:solidFill>
                      <a:schemeClr val="bg1"/>
                    </a:solidFill>
                    <a:latin typeface="+mn-lt"/>
                    <a:ea typeface="+mn-ea"/>
                    <a:cs typeface="+mn-cs"/>
                  </a:defRPr>
                </a:pPr>
                <a:fld id="{B5729FEC-9B0B-4136-A172-114949FF663E}" type="VALUE">
                  <a:rPr lang="en-US" sz="2800"/>
                  <a:pPr>
                    <a:defRPr sz="4000">
                      <a:solidFill>
                        <a:schemeClr val="bg1"/>
                      </a:solidFill>
                    </a:defRPr>
                  </a:pPr>
                  <a:t>[VALUE]</a:t>
                </a:fld>
                <a:endParaRPr lang="en-US"/>
              </a:p>
            </c:rich>
          </c:tx>
          <c:spPr>
            <a:noFill/>
            <a:ln>
              <a:noFill/>
            </a:ln>
            <a:effectLst/>
          </c:spPr>
          <c:txPr>
            <a:bodyPr rot="0" spcFirstLastPara="1" vertOverflow="ellipsis" vert="horz" wrap="square" lIns="38100" tIns="19050" rIns="38100" bIns="19050" anchor="ctr" anchorCtr="1">
              <a:noAutofit/>
            </a:bodyPr>
            <a:lstStyle/>
            <a:p>
              <a:pPr>
                <a:defRPr sz="40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17434535694078"/>
                  <c:h val="0.57340570760181409"/>
                </c:manualLayout>
              </c15:layout>
              <c15:dlblFieldTable/>
              <c15:showDataLabelsRange val="0"/>
            </c:ext>
          </c:extLst>
        </c:dLbl>
      </c:pivotFmt>
      <c:pivotFmt>
        <c:idx val="11"/>
        <c:spPr>
          <a:solidFill>
            <a:schemeClr val="bg1"/>
          </a:solidFill>
          <a:ln w="19050">
            <a:noFill/>
          </a:ln>
          <a:effectLst/>
        </c:spPr>
      </c:pivotFmt>
    </c:pivotFmts>
    <c:plotArea>
      <c:layout>
        <c:manualLayout>
          <c:layoutTarget val="inner"/>
          <c:xMode val="edge"/>
          <c:yMode val="edge"/>
          <c:x val="0.17710170603674544"/>
          <c:y val="0.11342592592592593"/>
          <c:w val="0.46388888888888891"/>
          <c:h val="0.77314814814814814"/>
        </c:manualLayout>
      </c:layout>
      <c:doughnutChart>
        <c:varyColors val="0"/>
        <c:ser>
          <c:idx val="0"/>
          <c:order val="0"/>
          <c:tx>
            <c:strRef>
              <c:f>PIVOT!$G$4</c:f>
              <c:strCache>
                <c:ptCount val="1"/>
                <c:pt idx="0">
                  <c:v>Total</c:v>
                </c:pt>
              </c:strCache>
            </c:strRef>
          </c:tx>
          <c:spPr>
            <a:solidFill>
              <a:schemeClr val="bg1"/>
            </a:solidFill>
            <a:ln w="19050">
              <a:noFill/>
            </a:ln>
            <a:effectLst/>
          </c:spPr>
          <c:dPt>
            <c:idx val="0"/>
            <c:bubble3D val="0"/>
            <c:spPr>
              <a:solidFill>
                <a:schemeClr val="bg1"/>
              </a:solidFill>
              <a:ln w="19050">
                <a:noFill/>
              </a:ln>
              <a:effectLst/>
            </c:spPr>
            <c:extLst>
              <c:ext xmlns:c16="http://schemas.microsoft.com/office/drawing/2014/chart" uri="{C3380CC4-5D6E-409C-BE32-E72D297353CC}">
                <c16:uniqueId val="{00000001-2933-44D0-A926-2D57E0F21D99}"/>
              </c:ext>
            </c:extLst>
          </c:dPt>
          <c:dPt>
            <c:idx val="1"/>
            <c:bubble3D val="0"/>
            <c:spPr>
              <a:solidFill>
                <a:srgbClr val="FFC000"/>
              </a:solidFill>
              <a:ln w="19050">
                <a:noFill/>
              </a:ln>
              <a:effectLst/>
            </c:spPr>
            <c:extLst>
              <c:ext xmlns:c16="http://schemas.microsoft.com/office/drawing/2014/chart" uri="{C3380CC4-5D6E-409C-BE32-E72D297353CC}">
                <c16:uniqueId val="{0000000B-F601-4C2B-9048-B285F86A5140}"/>
              </c:ext>
            </c:extLst>
          </c:dPt>
          <c:dPt>
            <c:idx val="2"/>
            <c:bubble3D val="0"/>
            <c:spPr>
              <a:solidFill>
                <a:schemeClr val="bg1"/>
              </a:solidFill>
              <a:ln w="19050">
                <a:noFill/>
              </a:ln>
              <a:effectLst/>
            </c:spPr>
            <c:extLst>
              <c:ext xmlns:c16="http://schemas.microsoft.com/office/drawing/2014/chart" uri="{C3380CC4-5D6E-409C-BE32-E72D297353CC}">
                <c16:uniqueId val="{00000003-2933-44D0-A926-2D57E0F21D99}"/>
              </c:ext>
            </c:extLst>
          </c:dPt>
          <c:dPt>
            <c:idx val="3"/>
            <c:bubble3D val="0"/>
            <c:extLst>
              <c:ext xmlns:c16="http://schemas.microsoft.com/office/drawing/2014/chart" uri="{C3380CC4-5D6E-409C-BE32-E72D297353CC}">
                <c16:uniqueId val="{00000005-2933-44D0-A926-2D57E0F21D99}"/>
              </c:ext>
            </c:extLst>
          </c:dPt>
          <c:dLbls>
            <c:dLbl>
              <c:idx val="1"/>
              <c:layout>
                <c:manualLayout>
                  <c:x val="-7.5901076806780154E-2"/>
                  <c:y val="-0.23722069851460553"/>
                </c:manualLayout>
              </c:layout>
              <c:tx>
                <c:rich>
                  <a:bodyPr rot="0" spcFirstLastPara="1" vertOverflow="ellipsis" vert="horz" wrap="square" lIns="38100" tIns="19050" rIns="38100" bIns="19050" anchor="ctr" anchorCtr="1">
                    <a:noAutofit/>
                  </a:bodyPr>
                  <a:lstStyle/>
                  <a:p>
                    <a:pPr>
                      <a:defRPr sz="4000" b="0" i="0" u="none" strike="noStrike" kern="1200" baseline="0">
                        <a:solidFill>
                          <a:schemeClr val="bg1"/>
                        </a:solidFill>
                        <a:latin typeface="+mn-lt"/>
                        <a:ea typeface="+mn-ea"/>
                        <a:cs typeface="+mn-cs"/>
                      </a:defRPr>
                    </a:pPr>
                    <a:fld id="{B5729FEC-9B0B-4136-A172-114949FF663E}" type="VALUE">
                      <a:rPr lang="en-US" sz="2800"/>
                      <a:pPr>
                        <a:defRPr sz="4000">
                          <a:solidFill>
                            <a:schemeClr val="bg1"/>
                          </a:solidFill>
                        </a:defRPr>
                      </a:pPr>
                      <a:t>[VALUE]</a:t>
                    </a:fld>
                    <a:endParaRPr lang="en-US"/>
                  </a:p>
                </c:rich>
              </c:tx>
              <c:spPr>
                <a:noFill/>
                <a:ln>
                  <a:noFill/>
                </a:ln>
                <a:effectLst/>
              </c:spPr>
              <c:txPr>
                <a:bodyPr rot="0" spcFirstLastPara="1" vertOverflow="ellipsis" vert="horz" wrap="square" lIns="38100" tIns="19050" rIns="38100" bIns="19050" anchor="ctr" anchorCtr="1">
                  <a:noAutofit/>
                </a:bodyPr>
                <a:lstStyle/>
                <a:p>
                  <a:pPr>
                    <a:defRPr sz="40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17434535694078"/>
                      <c:h val="0.57340570760181409"/>
                    </c:manualLayout>
                  </c15:layout>
                  <c15:dlblFieldTable/>
                  <c15:showDataLabelsRange val="0"/>
                </c:ext>
                <c:ext xmlns:c16="http://schemas.microsoft.com/office/drawing/2014/chart" uri="{C3380CC4-5D6E-409C-BE32-E72D297353CC}">
                  <c16:uniqueId val="{0000000B-F601-4C2B-9048-B285F86A5140}"/>
                </c:ext>
              </c:extLst>
            </c:dLbl>
            <c:spPr>
              <a:noFill/>
              <a:ln>
                <a:noFill/>
              </a:ln>
              <a:effectLst/>
            </c:spPr>
            <c:txPr>
              <a:bodyPr rot="0" spcFirstLastPara="1" vertOverflow="ellipsis" vert="horz" wrap="square" lIns="38100" tIns="19050" rIns="38100" bIns="19050" anchor="ctr" anchorCtr="1">
                <a:spAutoFit/>
              </a:bodyPr>
              <a:lstStyle/>
              <a:p>
                <a:pPr>
                  <a:defRPr sz="40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s>
          <c:cat>
            <c:strRef>
              <c:f>PIVOT!$F$5:$F$8</c:f>
              <c:strCache>
                <c:ptCount val="3"/>
                <c:pt idx="0">
                  <c:v>COMPLETED</c:v>
                </c:pt>
                <c:pt idx="1">
                  <c:v>ON GOING</c:v>
                </c:pt>
                <c:pt idx="2">
                  <c:v>RFD</c:v>
                </c:pt>
              </c:strCache>
            </c:strRef>
          </c:cat>
          <c:val>
            <c:numRef>
              <c:f>PIVOT!$G$5:$G$8</c:f>
              <c:numCache>
                <c:formatCode>0%</c:formatCode>
                <c:ptCount val="3"/>
                <c:pt idx="0">
                  <c:v>0.92682926829268297</c:v>
                </c:pt>
                <c:pt idx="1">
                  <c:v>1.6260162601626018E-2</c:v>
                </c:pt>
                <c:pt idx="2">
                  <c:v>5.6910569105691054E-2</c:v>
                </c:pt>
              </c:numCache>
            </c:numRef>
          </c:val>
          <c:extLst>
            <c:ext xmlns:c16="http://schemas.microsoft.com/office/drawing/2014/chart" uri="{C3380CC4-5D6E-409C-BE32-E72D297353CC}">
              <c16:uniqueId val="{00000006-2933-44D0-A926-2D57E0F21D99}"/>
            </c:ext>
          </c:extLst>
        </c:ser>
        <c:dLbls>
          <c:showLegendKey val="0"/>
          <c:showVal val="0"/>
          <c:showCatName val="0"/>
          <c:showSerName val="0"/>
          <c:showPercent val="0"/>
          <c:showBubbleSize val="0"/>
          <c:showLeaderLines val="1"/>
        </c:dLbls>
        <c:firstSliceAng val="162"/>
        <c:holeSize val="6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[Controlled Project 2023_by Jonal.xlsx]PIVOT!PivotTable8</c:name>
    <c:fmtId val="4"/>
  </c:pivotSource>
  <c:chart>
    <c:autoTitleDeleted val="1"/>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pivotFmt>
      <c:pivotFmt>
        <c:idx val="4"/>
        <c:dLbl>
          <c:idx val="0"/>
          <c:showLegendKey val="0"/>
          <c:showVal val="1"/>
          <c:showCatName val="0"/>
          <c:showSerName val="0"/>
          <c:showPercent val="0"/>
          <c:showBubbleSize val="0"/>
          <c:extLst>
            <c:ext xmlns:c15="http://schemas.microsoft.com/office/drawing/2012/chart" uri="{CE6537A1-D6FC-4f65-9D91-7224C49458BB}"/>
          </c:extLst>
        </c:dLbl>
      </c:pivotFmt>
      <c:pivotFmt>
        <c:idx val="5"/>
        <c:dLbl>
          <c:idx val="0"/>
          <c:showLegendKey val="0"/>
          <c:showVal val="1"/>
          <c:showCatName val="0"/>
          <c:showSerName val="0"/>
          <c:showPercent val="0"/>
          <c:showBubbleSize val="0"/>
          <c:extLst>
            <c:ext xmlns:c15="http://schemas.microsoft.com/office/drawing/2012/chart" uri="{CE6537A1-D6FC-4f65-9D91-7224C49458BB}"/>
          </c:extLst>
        </c:dLbl>
      </c:pivotFmt>
      <c:pivotFmt>
        <c:idx val="6"/>
        <c:dLbl>
          <c:idx val="0"/>
          <c:showLegendKey val="0"/>
          <c:showVal val="1"/>
          <c:showCatName val="0"/>
          <c:showSerName val="0"/>
          <c:showPercent val="0"/>
          <c:showBubbleSize val="0"/>
          <c:extLst>
            <c:ext xmlns:c15="http://schemas.microsoft.com/office/drawing/2012/chart" uri="{CE6537A1-D6FC-4f65-9D91-7224C49458BB}"/>
          </c:extLst>
        </c:dLbl>
      </c:pivotFmt>
      <c:pivotFmt>
        <c:idx val="7"/>
        <c:dLbl>
          <c:idx val="0"/>
          <c:showLegendKey val="0"/>
          <c:showVal val="1"/>
          <c:showCatName val="0"/>
          <c:showSerName val="0"/>
          <c:showPercent val="0"/>
          <c:showBubbleSize val="0"/>
          <c:extLst>
            <c:ext xmlns:c15="http://schemas.microsoft.com/office/drawing/2012/chart" uri="{CE6537A1-D6FC-4f65-9D91-7224C49458BB}"/>
          </c:extLst>
        </c:dLbl>
      </c:pivotFmt>
      <c:pivotFmt>
        <c:idx val="8"/>
        <c:spPr>
          <a:gradFill flip="none" rotWithShape="1">
            <a:gsLst>
              <a:gs pos="0">
                <a:schemeClr val="accent2">
                  <a:lumMod val="67000"/>
                </a:schemeClr>
              </a:gs>
              <a:gs pos="48000">
                <a:schemeClr val="accent2">
                  <a:lumMod val="97000"/>
                  <a:lumOff val="3000"/>
                </a:schemeClr>
              </a:gs>
              <a:gs pos="100000">
                <a:schemeClr val="accent2">
                  <a:lumMod val="60000"/>
                  <a:lumOff val="40000"/>
                </a:schemeClr>
              </a:gs>
            </a:gsLst>
            <a:lin ang="16200000" scaled="1"/>
            <a:tileRect/>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flip="none" rotWithShape="1">
            <a:gsLst>
              <a:gs pos="0">
                <a:schemeClr val="accent5">
                  <a:lumMod val="0"/>
                  <a:lumOff val="100000"/>
                </a:schemeClr>
              </a:gs>
              <a:gs pos="35000">
                <a:schemeClr val="accent5">
                  <a:lumMod val="0"/>
                  <a:lumOff val="100000"/>
                </a:schemeClr>
              </a:gs>
              <a:gs pos="100000">
                <a:schemeClr val="accent5">
                  <a:lumMod val="100000"/>
                </a:schemeClr>
              </a:gs>
            </a:gsLst>
            <a:path path="circle">
              <a:fillToRect l="50000" t="-80000" r="50000" b="180000"/>
            </a:path>
            <a:tileRect/>
          </a:gradFill>
          <a:ln>
            <a:noFill/>
          </a:ln>
          <a:effectLst>
            <a:outerShdw blurRad="57150" dist="19050" dir="5400000" algn="ctr" rotWithShape="0">
              <a:srgbClr val="000000">
                <a:alpha val="63000"/>
              </a:srgbClr>
            </a:outerShdw>
          </a:effectLst>
        </c:spPr>
      </c:pivotFmt>
      <c:pivotFmt>
        <c:idx val="10"/>
        <c:spPr>
          <a:gradFill flip="none" rotWithShape="1">
            <a:gsLst>
              <a:gs pos="0">
                <a:schemeClr val="accent6">
                  <a:lumMod val="0"/>
                  <a:lumOff val="100000"/>
                </a:schemeClr>
              </a:gs>
              <a:gs pos="35000">
                <a:schemeClr val="accent6">
                  <a:lumMod val="0"/>
                  <a:lumOff val="100000"/>
                </a:schemeClr>
              </a:gs>
              <a:gs pos="100000">
                <a:schemeClr val="accent6">
                  <a:lumMod val="100000"/>
                </a:schemeClr>
              </a:gs>
            </a:gsLst>
            <a:path path="circle">
              <a:fillToRect l="50000" t="-80000" r="50000" b="180000"/>
            </a:path>
            <a:tileRect/>
          </a:gradFill>
          <a:ln>
            <a:noFill/>
          </a:ln>
          <a:effectLst>
            <a:outerShdw blurRad="57150" dist="19050" dir="5400000" algn="ctr" rotWithShape="0">
              <a:srgbClr val="000000">
                <a:alpha val="63000"/>
              </a:srgbClr>
            </a:outerShdw>
          </a:effectLst>
        </c:spPr>
      </c:pivotFmt>
      <c:pivotFmt>
        <c:idx val="11"/>
        <c:spPr>
          <a:gradFill flip="none" rotWithShape="1">
            <a:gsLst>
              <a:gs pos="0">
                <a:schemeClr val="accent2">
                  <a:lumMod val="67000"/>
                </a:schemeClr>
              </a:gs>
              <a:gs pos="48000">
                <a:schemeClr val="accent2">
                  <a:lumMod val="97000"/>
                  <a:lumOff val="3000"/>
                </a:schemeClr>
              </a:gs>
              <a:gs pos="100000">
                <a:schemeClr val="accent2">
                  <a:lumMod val="60000"/>
                  <a:lumOff val="40000"/>
                </a:schemeClr>
              </a:gs>
            </a:gsLst>
            <a:lin ang="16200000" scaled="1"/>
            <a:tileRect/>
          </a:gra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0.11127905503050635"/>
          <c:y val="4.6288162258055123E-3"/>
          <c:w val="0.90325773199426707"/>
          <c:h val="0.8351431745269815"/>
        </c:manualLayout>
      </c:layout>
      <c:barChart>
        <c:barDir val="col"/>
        <c:grouping val="clustered"/>
        <c:varyColors val="0"/>
        <c:ser>
          <c:idx val="0"/>
          <c:order val="0"/>
          <c:tx>
            <c:strRef>
              <c:f>PIVOT!$C$32</c:f>
              <c:strCache>
                <c:ptCount val="1"/>
                <c:pt idx="0">
                  <c:v>Total</c:v>
                </c:pt>
              </c:strCache>
            </c:strRef>
          </c:tx>
          <c:spPr>
            <a:gradFill flip="none" rotWithShape="1">
              <a:gsLst>
                <a:gs pos="0">
                  <a:schemeClr val="accent2">
                    <a:lumMod val="67000"/>
                  </a:schemeClr>
                </a:gs>
                <a:gs pos="48000">
                  <a:schemeClr val="accent2">
                    <a:lumMod val="97000"/>
                    <a:lumOff val="3000"/>
                  </a:schemeClr>
                </a:gs>
                <a:gs pos="100000">
                  <a:schemeClr val="accent2">
                    <a:lumMod val="60000"/>
                    <a:lumOff val="40000"/>
                  </a:schemeClr>
                </a:gs>
              </a:gsLst>
              <a:lin ang="16200000" scaled="1"/>
              <a:tileRect/>
            </a:gradFill>
            <a:ln>
              <a:noFill/>
            </a:ln>
            <a:effectLst>
              <a:outerShdw blurRad="57150" dist="19050" dir="5400000" algn="ctr" rotWithShape="0">
                <a:srgbClr val="000000">
                  <a:alpha val="63000"/>
                </a:srgbClr>
              </a:outerShdw>
            </a:effectLst>
          </c:spPr>
          <c:invertIfNegative val="0"/>
          <c:dPt>
            <c:idx val="0"/>
            <c:invertIfNegative val="0"/>
            <c:bubble3D val="0"/>
            <c:spPr>
              <a:gradFill flip="none" rotWithShape="1">
                <a:gsLst>
                  <a:gs pos="0">
                    <a:schemeClr val="accent5">
                      <a:lumMod val="0"/>
                      <a:lumOff val="100000"/>
                    </a:schemeClr>
                  </a:gs>
                  <a:gs pos="35000">
                    <a:schemeClr val="accent5">
                      <a:lumMod val="0"/>
                      <a:lumOff val="100000"/>
                    </a:schemeClr>
                  </a:gs>
                  <a:gs pos="100000">
                    <a:schemeClr val="accent5">
                      <a:lumMod val="100000"/>
                    </a:schemeClr>
                  </a:gs>
                </a:gsLst>
                <a:path path="circle">
                  <a:fillToRect l="50000" t="-80000" r="50000" b="180000"/>
                </a:path>
                <a:tileRect/>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0-9BB3-456E-BFD5-57DE22206B37}"/>
              </c:ext>
            </c:extLst>
          </c:dPt>
          <c:dPt>
            <c:idx val="1"/>
            <c:invertIfNegative val="0"/>
            <c:bubble3D val="0"/>
            <c:spPr>
              <a:gradFill flip="none" rotWithShape="1">
                <a:gsLst>
                  <a:gs pos="0">
                    <a:schemeClr val="accent6">
                      <a:lumMod val="0"/>
                      <a:lumOff val="100000"/>
                    </a:schemeClr>
                  </a:gs>
                  <a:gs pos="35000">
                    <a:schemeClr val="accent6">
                      <a:lumMod val="0"/>
                      <a:lumOff val="100000"/>
                    </a:schemeClr>
                  </a:gs>
                  <a:gs pos="100000">
                    <a:schemeClr val="accent6">
                      <a:lumMod val="100000"/>
                    </a:schemeClr>
                  </a:gs>
                </a:gsLst>
                <a:path path="circle">
                  <a:fillToRect l="50000" t="-80000" r="50000" b="180000"/>
                </a:path>
                <a:tileRect/>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9BB3-456E-BFD5-57DE22206B37}"/>
              </c:ext>
            </c:extLst>
          </c:dPt>
          <c:dPt>
            <c:idx val="2"/>
            <c:invertIfNegative val="0"/>
            <c:bubble3D val="0"/>
            <c:extLst>
              <c:ext xmlns:c16="http://schemas.microsoft.com/office/drawing/2014/chart" uri="{C3380CC4-5D6E-409C-BE32-E72D297353CC}">
                <c16:uniqueId val="{00000004-4CB5-46A7-A5D7-0D3F45813A1E}"/>
              </c:ext>
            </c:extLst>
          </c:dPt>
          <c:cat>
            <c:strRef>
              <c:f>PIVOT!$B$33:$B$36</c:f>
              <c:strCache>
                <c:ptCount val="3"/>
                <c:pt idx="0">
                  <c:v>COMPLETED</c:v>
                </c:pt>
                <c:pt idx="1">
                  <c:v>ON GOING</c:v>
                </c:pt>
                <c:pt idx="2">
                  <c:v>RFD</c:v>
                </c:pt>
              </c:strCache>
            </c:strRef>
          </c:cat>
          <c:val>
            <c:numRef>
              <c:f>PIVOT!$C$33:$C$36</c:f>
              <c:numCache>
                <c:formatCode>_(* #,##0.00_);_(* \(#,##0.00\);_(* "-"??_);_(@_)</c:formatCode>
                <c:ptCount val="3"/>
                <c:pt idx="0">
                  <c:v>6469525.6058291448</c:v>
                </c:pt>
                <c:pt idx="1">
                  <c:v>781307.71100000013</c:v>
                </c:pt>
                <c:pt idx="2">
                  <c:v>252326.13297213404</c:v>
                </c:pt>
              </c:numCache>
            </c:numRef>
          </c:val>
          <c:extLst>
            <c:ext xmlns:c16="http://schemas.microsoft.com/office/drawing/2014/chart" uri="{C3380CC4-5D6E-409C-BE32-E72D297353CC}">
              <c16:uniqueId val="{00000003-9BB3-456E-BFD5-57DE22206B37}"/>
            </c:ext>
          </c:extLst>
        </c:ser>
        <c:dLbls>
          <c:showLegendKey val="0"/>
          <c:showVal val="0"/>
          <c:showCatName val="0"/>
          <c:showSerName val="0"/>
          <c:showPercent val="0"/>
          <c:showBubbleSize val="0"/>
        </c:dLbls>
        <c:gapWidth val="212"/>
        <c:overlap val="-100"/>
        <c:axId val="133628783"/>
        <c:axId val="237731583"/>
      </c:barChart>
      <c:catAx>
        <c:axId val="133628783"/>
        <c:scaling>
          <c:orientation val="minMax"/>
        </c:scaling>
        <c:delete val="0"/>
        <c:axPos val="b"/>
        <c:numFmt formatCode="#,##0.00" sourceLinked="0"/>
        <c:majorTickMark val="none"/>
        <c:minorTickMark val="none"/>
        <c:tickLblPos val="low"/>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37731583"/>
        <c:crosses val="autoZero"/>
        <c:auto val="1"/>
        <c:lblAlgn val="ctr"/>
        <c:lblOffset val="20"/>
        <c:noMultiLvlLbl val="0"/>
      </c:catAx>
      <c:valAx>
        <c:axId val="237731583"/>
        <c:scaling>
          <c:orientation val="minMax"/>
        </c:scaling>
        <c:delete val="1"/>
        <c:axPos val="l"/>
        <c:numFmt formatCode="_(* #,##0.00_);_(* \(#,##0.00\);_(* &quot;-&quot;??_);_(@_)" sourceLinked="1"/>
        <c:majorTickMark val="none"/>
        <c:minorTickMark val="none"/>
        <c:tickLblPos val="nextTo"/>
        <c:crossAx val="133628783"/>
        <c:crosses val="autoZero"/>
        <c:crossBetween val="between"/>
      </c:valAx>
      <c:dTable>
        <c:showHorzBorder val="0"/>
        <c:showVertBorder val="0"/>
        <c:showOutline val="0"/>
        <c:showKeys val="0"/>
        <c:spPr>
          <a:noFill/>
          <a:ln w="9525">
            <a:solidFill>
              <a:srgbClr val="00B050"/>
            </a:solidFill>
          </a:ln>
          <a:effectLst/>
        </c:spPr>
        <c:txPr>
          <a:bodyPr rot="0" spcFirstLastPara="1" vertOverflow="ellipsis" vert="horz" wrap="square" anchor="ctr" anchorCtr="1"/>
          <a:lstStyle/>
          <a:p>
            <a:pPr rtl="0">
              <a:defRPr sz="1200" b="0" i="0" u="none" strike="noStrike" kern="1200" baseline="0">
                <a:ln w="12700" cap="rnd">
                  <a:solidFill>
                    <a:schemeClr val="bg1"/>
                  </a:solidFill>
                  <a:bevel/>
                </a:ln>
                <a:solidFill>
                  <a:schemeClr val="bg1">
                    <a:lumMod val="95000"/>
                  </a:schemeClr>
                </a:solidFill>
                <a:effectLst>
                  <a:glow rad="266700">
                    <a:schemeClr val="accent1">
                      <a:satMod val="175000"/>
                      <a:alpha val="40000"/>
                    </a:schemeClr>
                  </a:glow>
                </a:effectLst>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cap="rnd">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[Controlled Project 2023_by Jonal.xlsx]PIVOT!PivotTable6</c:name>
    <c:fmtId val="2"/>
  </c:pivotSource>
  <c:chart>
    <c:autoTitleDeleted val="1"/>
    <c:pivotFmts>
      <c:pivotFmt>
        <c:idx val="0"/>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500" b="1" i="0" u="none" strike="noStrike" kern="1200" baseline="0">
                  <a:solidFill>
                    <a:schemeClr val="tx1">
                      <a:lumMod val="75000"/>
                      <a:lumOff val="25000"/>
                    </a:schemeClr>
                  </a:solidFill>
                  <a:latin typeface="Artifakt Element Light" panose="020B0303050000020004" pitchFamily="34" charset="0"/>
                  <a:ea typeface="Artifakt Element Light" panose="020B0303050000020004" pitchFamily="34" charset="0"/>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500" b="1" i="0" u="none" strike="noStrike" kern="1200" baseline="0">
                  <a:solidFill>
                    <a:schemeClr val="tx1">
                      <a:lumMod val="75000"/>
                      <a:lumOff val="25000"/>
                    </a:schemeClr>
                  </a:solidFill>
                  <a:latin typeface="Artifakt Element Light" panose="020B0303050000020004" pitchFamily="34" charset="0"/>
                  <a:ea typeface="Artifakt Element Light" panose="020B0303050000020004" pitchFamily="34" charset="0"/>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bg1"/>
                  </a:solidFill>
                  <a:latin typeface="Artifakt Element Light" panose="020B0303050000020004" pitchFamily="34" charset="0"/>
                  <a:ea typeface="Artifakt Element Light" panose="020B0303050000020004" pitchFamily="34" charset="0"/>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PIVOT!$C$4</c:f>
              <c:strCache>
                <c:ptCount val="1"/>
                <c:pt idx="0">
                  <c:v>Total</c:v>
                </c:pt>
              </c:strCache>
            </c:strRef>
          </c:tx>
          <c:spPr>
            <a:solidFill>
              <a:srgbClr val="00B0F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bg1"/>
                    </a:solidFill>
                    <a:latin typeface="Artifakt Element Light" panose="020B0303050000020004" pitchFamily="34" charset="0"/>
                    <a:ea typeface="Artifakt Element Light" panose="020B0303050000020004" pitchFamily="34" charset="0"/>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PIVOT!$B$5:$B$27</c:f>
              <c:strCache>
                <c:ptCount val="22"/>
                <c:pt idx="0">
                  <c:v>BEAM TRESTLE</c:v>
                </c:pt>
                <c:pt idx="1">
                  <c:v>FENCING SHELTER &amp; STAIRCASES</c:v>
                </c:pt>
                <c:pt idx="2">
                  <c:v>Girder</c:v>
                </c:pt>
                <c:pt idx="3">
                  <c:v>Girder Spesial</c:v>
                </c:pt>
                <c:pt idx="4">
                  <c:v>Jembatan Gantung</c:v>
                </c:pt>
                <c:pt idx="5">
                  <c:v>Jembatan Pendekat</c:v>
                </c:pt>
                <c:pt idx="6">
                  <c:v>JPO</c:v>
                </c:pt>
                <c:pt idx="7">
                  <c:v>KING POST</c:v>
                </c:pt>
                <c:pt idx="8">
                  <c:v>Komponen Jembatan</c:v>
                </c:pt>
                <c:pt idx="9">
                  <c:v>ORNAMEN PIPA</c:v>
                </c:pt>
                <c:pt idx="10">
                  <c:v>Panel Bailey</c:v>
                </c:pt>
                <c:pt idx="11">
                  <c:v>Panel Bailey STOCK</c:v>
                </c:pt>
                <c:pt idx="12">
                  <c:v>PIPE RACK</c:v>
                </c:pt>
                <c:pt idx="13">
                  <c:v>PLATE LRB</c:v>
                </c:pt>
                <c:pt idx="14">
                  <c:v>RAMP Panel Bailey</c:v>
                </c:pt>
                <c:pt idx="15">
                  <c:v>SPECER MRT</c:v>
                </c:pt>
                <c:pt idx="16">
                  <c:v>STRUKTUR ATAP</c:v>
                </c:pt>
                <c:pt idx="17">
                  <c:v>STRUKTUR PERKUATAN</c:v>
                </c:pt>
                <c:pt idx="18">
                  <c:v>SUPPORT BEAM</c:v>
                </c:pt>
                <c:pt idx="19">
                  <c:v>TOWER</c:v>
                </c:pt>
                <c:pt idx="20">
                  <c:v>Truss Modullar</c:v>
                </c:pt>
                <c:pt idx="21">
                  <c:v>WELDED BEAM</c:v>
                </c:pt>
              </c:strCache>
            </c:strRef>
          </c:cat>
          <c:val>
            <c:numRef>
              <c:f>PIVOT!$C$5:$C$27</c:f>
              <c:numCache>
                <c:formatCode>_(* #,##0.00_);_(* \(#,##0.00\);_(* "-"??_);_(@_)</c:formatCode>
                <c:ptCount val="22"/>
                <c:pt idx="0">
                  <c:v>4164.2339999999995</c:v>
                </c:pt>
                <c:pt idx="1">
                  <c:v>3450.4569721340395</c:v>
                </c:pt>
                <c:pt idx="2">
                  <c:v>797918.34607427416</c:v>
                </c:pt>
                <c:pt idx="3">
                  <c:v>117791.51508000001</c:v>
                </c:pt>
                <c:pt idx="4">
                  <c:v>581742.04376563092</c:v>
                </c:pt>
                <c:pt idx="5">
                  <c:v>26491.089790999999</c:v>
                </c:pt>
                <c:pt idx="6">
                  <c:v>23903.115000000002</c:v>
                </c:pt>
                <c:pt idx="7">
                  <c:v>451165.01500000007</c:v>
                </c:pt>
                <c:pt idx="8">
                  <c:v>28576.787420000001</c:v>
                </c:pt>
                <c:pt idx="9">
                  <c:v>6708.2150000000011</c:v>
                </c:pt>
                <c:pt idx="10">
                  <c:v>2075040.1734673879</c:v>
                </c:pt>
                <c:pt idx="11">
                  <c:v>2326218.4557498274</c:v>
                </c:pt>
                <c:pt idx="12">
                  <c:v>14655.016</c:v>
                </c:pt>
                <c:pt idx="13">
                  <c:v>152196.04488662104</c:v>
                </c:pt>
                <c:pt idx="14">
                  <c:v>15357.463999999998</c:v>
                </c:pt>
                <c:pt idx="15">
                  <c:v>5737.32</c:v>
                </c:pt>
                <c:pt idx="16">
                  <c:v>15052.733</c:v>
                </c:pt>
                <c:pt idx="17">
                  <c:v>6951.4168880000007</c:v>
                </c:pt>
                <c:pt idx="18">
                  <c:v>20784.694</c:v>
                </c:pt>
                <c:pt idx="19">
                  <c:v>12082.891776400002</c:v>
                </c:pt>
                <c:pt idx="20">
                  <c:v>813318.09193000023</c:v>
                </c:pt>
                <c:pt idx="21">
                  <c:v>3854.33</c:v>
                </c:pt>
              </c:numCache>
            </c:numRef>
          </c:val>
          <c:extLst>
            <c:ext xmlns:c16="http://schemas.microsoft.com/office/drawing/2014/chart" uri="{C3380CC4-5D6E-409C-BE32-E72D297353CC}">
              <c16:uniqueId val="{00000000-746B-4629-9BF4-456788B79556}"/>
            </c:ext>
          </c:extLst>
        </c:ser>
        <c:dLbls>
          <c:showLegendKey val="0"/>
          <c:showVal val="0"/>
          <c:showCatName val="0"/>
          <c:showSerName val="0"/>
          <c:showPercent val="0"/>
          <c:showBubbleSize val="0"/>
        </c:dLbls>
        <c:gapWidth val="133"/>
        <c:overlap val="46"/>
        <c:axId val="243433551"/>
        <c:axId val="1850568047"/>
      </c:barChart>
      <c:catAx>
        <c:axId val="24343355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1" i="0" u="none" strike="noStrike" kern="1200" baseline="0">
                <a:solidFill>
                  <a:schemeClr val="bg1"/>
                </a:solidFill>
                <a:latin typeface="Artifakt Element Light" panose="020B0303050000020004" pitchFamily="34" charset="0"/>
                <a:ea typeface="Artifakt Element Light" panose="020B0303050000020004" pitchFamily="34" charset="0"/>
                <a:cs typeface="+mn-cs"/>
              </a:defRPr>
            </a:pPr>
            <a:endParaRPr lang="en-US"/>
          </a:p>
        </c:txPr>
        <c:crossAx val="1850568047"/>
        <c:crosses val="autoZero"/>
        <c:auto val="1"/>
        <c:lblAlgn val="ctr"/>
        <c:lblOffset val="50"/>
        <c:tickLblSkip val="1"/>
        <c:noMultiLvlLbl val="0"/>
      </c:catAx>
      <c:valAx>
        <c:axId val="1850568047"/>
        <c:scaling>
          <c:orientation val="minMax"/>
        </c:scaling>
        <c:delete val="1"/>
        <c:axPos val="b"/>
        <c:numFmt formatCode="_(* #,##0.00_);_(* \(#,##0.00\);_(* &quot;-&quot;??_);_(@_)" sourceLinked="1"/>
        <c:majorTickMark val="none"/>
        <c:minorTickMark val="none"/>
        <c:tickLblPos val="nextTo"/>
        <c:crossAx val="243433551"/>
        <c:crosses val="autoZero"/>
        <c:crossBetween val="between"/>
      </c:valAx>
      <c:spPr>
        <a:noFill/>
        <a:ln>
          <a:noFill/>
        </a:ln>
        <a:effectLst>
          <a:softEdge rad="203200"/>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tx1">
            <a:alpha val="70000"/>
            <a:lumMod val="62000"/>
            <a:lumOff val="38000"/>
          </a:schemeClr>
        </a:gs>
        <a:gs pos="23000">
          <a:schemeClr val="accent3">
            <a:lumMod val="89000"/>
          </a:schemeClr>
        </a:gs>
        <a:gs pos="69000">
          <a:schemeClr val="accent3">
            <a:lumMod val="75000"/>
          </a:schemeClr>
        </a:gs>
        <a:gs pos="97000">
          <a:schemeClr val="accent3">
            <a:lumMod val="70000"/>
          </a:schemeClr>
        </a:gs>
      </a:gsLst>
      <a:path path="rect">
        <a:fillToRect l="50000" t="50000" r="50000" b="50000"/>
      </a:path>
    </a:gradFill>
    <a:ln w="38100" cap="flat" cmpd="sng" algn="ctr">
      <a:solidFill>
        <a:schemeClr val="bg1"/>
      </a:solidFill>
      <a:round/>
    </a:ln>
    <a:effectLst>
      <a:innerShdw blurRad="63500" dist="50800" dir="16200000">
        <a:prstClr val="black">
          <a:alpha val="50000"/>
        </a:prstClr>
      </a:innerShdw>
    </a:effectLst>
  </c:spPr>
  <c:txPr>
    <a:bodyPr/>
    <a:lstStyle/>
    <a:p>
      <a:pPr>
        <a:defRPr/>
      </a:pPr>
      <a:endParaRPr lang="en-US"/>
    </a:p>
  </c:txPr>
  <c:printSettings>
    <c:headerFooter/>
    <c:pageMargins b="0.75" l="0.7" r="0.7" t="0.75" header="0.3" footer="0.3"/>
    <c:pageSetup orientation="portrait"/>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3.png"/><Relationship Id="rId3" Type="http://schemas.openxmlformats.org/officeDocument/2006/relationships/chart" Target="../charts/chart2.xml"/><Relationship Id="rId7" Type="http://schemas.openxmlformats.org/officeDocument/2006/relationships/image" Target="../media/image2.png"/><Relationship Id="rId2" Type="http://schemas.openxmlformats.org/officeDocument/2006/relationships/chart" Target="../charts/chart1.xml"/><Relationship Id="rId1" Type="http://schemas.openxmlformats.org/officeDocument/2006/relationships/image" Target="../media/image1.png"/><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 Id="rId9" Type="http://schemas.microsoft.com/office/2007/relationships/hdphoto" Target="../media/hdphoto1.wdp"/></Relationships>
</file>

<file path=xl/drawings/_rels/drawing2.xml.rels><?xml version="1.0" encoding="UTF-8" standalone="yes"?>
<Relationships xmlns="http://schemas.openxmlformats.org/package/2006/relationships"><Relationship Id="rId3" Type="http://schemas.openxmlformats.org/officeDocument/2006/relationships/image" Target="../media/image5.png"/><Relationship Id="rId2" Type="http://schemas.microsoft.com/office/2007/relationships/hdphoto" Target="../media/hdphoto2.wdp"/><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14</xdr:col>
      <xdr:colOff>345431</xdr:colOff>
      <xdr:row>10</xdr:row>
      <xdr:rowOff>214787</xdr:rowOff>
    </xdr:from>
    <xdr:to>
      <xdr:col>19</xdr:col>
      <xdr:colOff>93379</xdr:colOff>
      <xdr:row>18</xdr:row>
      <xdr:rowOff>68596</xdr:rowOff>
    </xdr:to>
    <xdr:sp macro="" textlink="">
      <xdr:nvSpPr>
        <xdr:cNvPr id="22" name="Rectangle 21">
          <a:extLst>
            <a:ext uri="{FF2B5EF4-FFF2-40B4-BE49-F238E27FC236}">
              <a16:creationId xmlns:a16="http://schemas.microsoft.com/office/drawing/2014/main" id="{AD210EAD-4B41-4874-B0F0-8AD83BE54300}"/>
            </a:ext>
          </a:extLst>
        </xdr:cNvPr>
        <xdr:cNvSpPr/>
      </xdr:nvSpPr>
      <xdr:spPr>
        <a:xfrm>
          <a:off x="17511213" y="2209842"/>
          <a:ext cx="3793475" cy="1557918"/>
        </a:xfrm>
        <a:prstGeom prst="rect">
          <a:avLst/>
        </a:prstGeom>
        <a:ln>
          <a:noFill/>
        </a:ln>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1143000</xdr:colOff>
      <xdr:row>1</xdr:row>
      <xdr:rowOff>82964</xdr:rowOff>
    </xdr:from>
    <xdr:to>
      <xdr:col>10</xdr:col>
      <xdr:colOff>526473</xdr:colOff>
      <xdr:row>5</xdr:row>
      <xdr:rowOff>40224</xdr:rowOff>
    </xdr:to>
    <xdr:sp macro="" textlink="">
      <xdr:nvSpPr>
        <xdr:cNvPr id="2" name="Rounded Rectangle 1">
          <a:extLst>
            <a:ext uri="{FF2B5EF4-FFF2-40B4-BE49-F238E27FC236}">
              <a16:creationId xmlns:a16="http://schemas.microsoft.com/office/drawing/2014/main" id="{BD1EA751-A665-487E-B916-411C7FD58D16}"/>
            </a:ext>
          </a:extLst>
        </xdr:cNvPr>
        <xdr:cNvSpPr/>
      </xdr:nvSpPr>
      <xdr:spPr>
        <a:xfrm>
          <a:off x="3494314" y="365993"/>
          <a:ext cx="9235045" cy="741031"/>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000" b="1">
              <a:ln>
                <a:noFill/>
              </a:ln>
              <a:effectLst>
                <a:glow rad="228600">
                  <a:schemeClr val="accent1">
                    <a:satMod val="175000"/>
                    <a:alpha val="40000"/>
                  </a:schemeClr>
                </a:glow>
              </a:effectLst>
            </a:rPr>
            <a:t>DASHBOARD STATUS PEKERJAAN PT. WGJ</a:t>
          </a:r>
        </a:p>
      </xdr:txBody>
    </xdr:sp>
    <xdr:clientData/>
  </xdr:twoCellAnchor>
  <xdr:twoCellAnchor>
    <xdr:from>
      <xdr:col>2</xdr:col>
      <xdr:colOff>7620</xdr:colOff>
      <xdr:row>5</xdr:row>
      <xdr:rowOff>129540</xdr:rowOff>
    </xdr:from>
    <xdr:to>
      <xdr:col>12</xdr:col>
      <xdr:colOff>6626</xdr:colOff>
      <xdr:row>5</xdr:row>
      <xdr:rowOff>129540</xdr:rowOff>
    </xdr:to>
    <xdr:cxnSp macro="">
      <xdr:nvCxnSpPr>
        <xdr:cNvPr id="4" name="Straight Connector 3">
          <a:extLst>
            <a:ext uri="{FF2B5EF4-FFF2-40B4-BE49-F238E27FC236}">
              <a16:creationId xmlns:a16="http://schemas.microsoft.com/office/drawing/2014/main" id="{C8F3E14E-9A79-9542-F815-B89DCFC531AC}"/>
            </a:ext>
          </a:extLst>
        </xdr:cNvPr>
        <xdr:cNvCxnSpPr/>
      </xdr:nvCxnSpPr>
      <xdr:spPr>
        <a:xfrm>
          <a:off x="1226820" y="1242723"/>
          <a:ext cx="13741510" cy="0"/>
        </a:xfrm>
        <a:prstGeom prst="line">
          <a:avLst/>
        </a:prstGeom>
        <a:ln w="76200"/>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7620</xdr:colOff>
      <xdr:row>14</xdr:row>
      <xdr:rowOff>121920</xdr:rowOff>
    </xdr:from>
    <xdr:to>
      <xdr:col>12</xdr:col>
      <xdr:colOff>33131</xdr:colOff>
      <xdr:row>14</xdr:row>
      <xdr:rowOff>121920</xdr:rowOff>
    </xdr:to>
    <xdr:cxnSp macro="">
      <xdr:nvCxnSpPr>
        <xdr:cNvPr id="8" name="Straight Connector 7">
          <a:extLst>
            <a:ext uri="{FF2B5EF4-FFF2-40B4-BE49-F238E27FC236}">
              <a16:creationId xmlns:a16="http://schemas.microsoft.com/office/drawing/2014/main" id="{F596BE7D-C848-4EC2-9823-7247A95F7194}"/>
            </a:ext>
          </a:extLst>
        </xdr:cNvPr>
        <xdr:cNvCxnSpPr/>
      </xdr:nvCxnSpPr>
      <xdr:spPr>
        <a:xfrm>
          <a:off x="1226820" y="3203050"/>
          <a:ext cx="13768015" cy="0"/>
        </a:xfrm>
        <a:prstGeom prst="line">
          <a:avLst/>
        </a:prstGeom>
        <a:ln w="76200"/>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92353</xdr:colOff>
      <xdr:row>16</xdr:row>
      <xdr:rowOff>103618</xdr:rowOff>
    </xdr:from>
    <xdr:to>
      <xdr:col>11</xdr:col>
      <xdr:colOff>119742</xdr:colOff>
      <xdr:row>18</xdr:row>
      <xdr:rowOff>246414</xdr:rowOff>
    </xdr:to>
    <xdr:sp macro="" textlink="">
      <xdr:nvSpPr>
        <xdr:cNvPr id="3" name="Rectangle: Rounded Corners 2">
          <a:extLst>
            <a:ext uri="{FF2B5EF4-FFF2-40B4-BE49-F238E27FC236}">
              <a16:creationId xmlns:a16="http://schemas.microsoft.com/office/drawing/2014/main" id="{2D84E952-390F-307A-54F0-471FEE2D26D3}"/>
            </a:ext>
          </a:extLst>
        </xdr:cNvPr>
        <xdr:cNvSpPr/>
      </xdr:nvSpPr>
      <xdr:spPr>
        <a:xfrm>
          <a:off x="1117589" y="3442563"/>
          <a:ext cx="17608808" cy="503015"/>
        </a:xfrm>
        <a:prstGeom prst="roundRect">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3200" b="1" i="1">
              <a:latin typeface="Eras Light ITC" panose="020B0402030504020804" pitchFamily="34" charset="0"/>
            </a:rPr>
            <a:t>LIST PEKERJAAN PT. WIRATAMA GLOBALINDO JAYA TAHUN 2023</a:t>
          </a:r>
          <a:endParaRPr lang="en-US" sz="3200" b="1" i="1" baseline="0">
            <a:latin typeface="Eras Light ITC" panose="020B0402030504020804" pitchFamily="34" charset="0"/>
          </a:endParaRPr>
        </a:p>
      </xdr:txBody>
    </xdr:sp>
    <xdr:clientData/>
  </xdr:twoCellAnchor>
  <xdr:twoCellAnchor editAs="oneCell">
    <xdr:from>
      <xdr:col>3</xdr:col>
      <xdr:colOff>53789</xdr:colOff>
      <xdr:row>7</xdr:row>
      <xdr:rowOff>0</xdr:rowOff>
    </xdr:from>
    <xdr:to>
      <xdr:col>5</xdr:col>
      <xdr:colOff>1093132</xdr:colOff>
      <xdr:row>13</xdr:row>
      <xdr:rowOff>69273</xdr:rowOff>
    </xdr:to>
    <xdr:pic>
      <xdr:nvPicPr>
        <xdr:cNvPr id="11" name="Picture 10" descr="A black background with white text&#10;&#10;Description automatically generated">
          <a:extLst>
            <a:ext uri="{FF2B5EF4-FFF2-40B4-BE49-F238E27FC236}">
              <a16:creationId xmlns:a16="http://schemas.microsoft.com/office/drawing/2014/main" id="{1386DD51-7202-A3E9-97E8-0CE3617B722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80807" y="1399309"/>
          <a:ext cx="4309016" cy="1468582"/>
        </a:xfrm>
        <a:prstGeom prst="rect">
          <a:avLst/>
        </a:prstGeom>
      </xdr:spPr>
    </xdr:pic>
    <xdr:clientData/>
  </xdr:twoCellAnchor>
  <xdr:twoCellAnchor>
    <xdr:from>
      <xdr:col>5</xdr:col>
      <xdr:colOff>1358348</xdr:colOff>
      <xdr:row>5</xdr:row>
      <xdr:rowOff>139147</xdr:rowOff>
    </xdr:from>
    <xdr:to>
      <xdr:col>5</xdr:col>
      <xdr:colOff>1371600</xdr:colOff>
      <xdr:row>14</xdr:row>
      <xdr:rowOff>89647</xdr:rowOff>
    </xdr:to>
    <xdr:cxnSp macro="">
      <xdr:nvCxnSpPr>
        <xdr:cNvPr id="13" name="Straight Connector 12">
          <a:extLst>
            <a:ext uri="{FF2B5EF4-FFF2-40B4-BE49-F238E27FC236}">
              <a16:creationId xmlns:a16="http://schemas.microsoft.com/office/drawing/2014/main" id="{F6CF6BCC-7BC7-E17A-E4BC-F5DE1949F276}"/>
            </a:ext>
          </a:extLst>
        </xdr:cNvPr>
        <xdr:cNvCxnSpPr/>
      </xdr:nvCxnSpPr>
      <xdr:spPr>
        <a:xfrm>
          <a:off x="5844209" y="1252330"/>
          <a:ext cx="13252" cy="1434743"/>
        </a:xfrm>
        <a:prstGeom prst="line">
          <a:avLst/>
        </a:prstGeom>
        <a:ln w="76200"/>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912561</xdr:colOff>
      <xdr:row>144</xdr:row>
      <xdr:rowOff>15833</xdr:rowOff>
    </xdr:from>
    <xdr:to>
      <xdr:col>11</xdr:col>
      <xdr:colOff>144481</xdr:colOff>
      <xdr:row>146</xdr:row>
      <xdr:rowOff>184067</xdr:rowOff>
    </xdr:to>
    <xdr:sp macro="" textlink="">
      <xdr:nvSpPr>
        <xdr:cNvPr id="10" name="Rectangle: Rounded Corners 9">
          <a:extLst>
            <a:ext uri="{FF2B5EF4-FFF2-40B4-BE49-F238E27FC236}">
              <a16:creationId xmlns:a16="http://schemas.microsoft.com/office/drawing/2014/main" id="{D1B3FEC2-9E87-4250-88CF-D2616C91EE8E}"/>
            </a:ext>
          </a:extLst>
        </xdr:cNvPr>
        <xdr:cNvSpPr/>
      </xdr:nvSpPr>
      <xdr:spPr>
        <a:xfrm>
          <a:off x="11351961" y="29189547"/>
          <a:ext cx="4326434" cy="71252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000" b="1">
              <a:latin typeface="Agency FB" panose="020B0503020202020204" pitchFamily="34" charset="0"/>
            </a:rPr>
            <a:t>PROJECT</a:t>
          </a:r>
          <a:r>
            <a:rPr lang="en-US" sz="4000" b="1" baseline="0">
              <a:latin typeface="Agency FB" panose="020B0503020202020204" pitchFamily="34" charset="0"/>
            </a:rPr>
            <a:t> SUMMARIES</a:t>
          </a:r>
          <a:endParaRPr lang="en-US" sz="4000" b="1">
            <a:latin typeface="Agency FB" panose="020B0503020202020204" pitchFamily="34" charset="0"/>
          </a:endParaRPr>
        </a:p>
      </xdr:txBody>
    </xdr:sp>
    <xdr:clientData/>
  </xdr:twoCellAnchor>
  <xdr:twoCellAnchor>
    <xdr:from>
      <xdr:col>12</xdr:col>
      <xdr:colOff>280468</xdr:colOff>
      <xdr:row>126</xdr:row>
      <xdr:rowOff>25336</xdr:rowOff>
    </xdr:from>
    <xdr:to>
      <xdr:col>19</xdr:col>
      <xdr:colOff>148560</xdr:colOff>
      <xdr:row>127</xdr:row>
      <xdr:rowOff>101175</xdr:rowOff>
    </xdr:to>
    <xdr:sp macro="" textlink="">
      <xdr:nvSpPr>
        <xdr:cNvPr id="12" name="Rectangle: Rounded Corners 11">
          <a:extLst>
            <a:ext uri="{FF2B5EF4-FFF2-40B4-BE49-F238E27FC236}">
              <a16:creationId xmlns:a16="http://schemas.microsoft.com/office/drawing/2014/main" id="{0213CA07-0170-4211-9D3C-2D86E26E25DD}"/>
            </a:ext>
          </a:extLst>
        </xdr:cNvPr>
        <xdr:cNvSpPr/>
      </xdr:nvSpPr>
      <xdr:spPr>
        <a:xfrm>
          <a:off x="16121103" y="25628536"/>
          <a:ext cx="4135292" cy="344780"/>
        </a:xfrm>
        <a:prstGeom prst="roundRect">
          <a:avLst/>
        </a:prstGeom>
        <a:solidFill>
          <a:srgbClr val="0070C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1"/>
            <a:t>PERSENTASE TERHADAP STATUS PEKERJAAN</a:t>
          </a:r>
        </a:p>
      </xdr:txBody>
    </xdr:sp>
    <xdr:clientData/>
  </xdr:twoCellAnchor>
  <xdr:twoCellAnchor>
    <xdr:from>
      <xdr:col>1</xdr:col>
      <xdr:colOff>402771</xdr:colOff>
      <xdr:row>1</xdr:row>
      <xdr:rowOff>0</xdr:rowOff>
    </xdr:from>
    <xdr:to>
      <xdr:col>11</xdr:col>
      <xdr:colOff>249377</xdr:colOff>
      <xdr:row>1</xdr:row>
      <xdr:rowOff>0</xdr:rowOff>
    </xdr:to>
    <xdr:cxnSp macro="">
      <xdr:nvCxnSpPr>
        <xdr:cNvPr id="25" name="Straight Connector 24">
          <a:extLst>
            <a:ext uri="{FF2B5EF4-FFF2-40B4-BE49-F238E27FC236}">
              <a16:creationId xmlns:a16="http://schemas.microsoft.com/office/drawing/2014/main" id="{EA8262E6-367F-4321-AB4A-AF86693138FA}"/>
            </a:ext>
          </a:extLst>
        </xdr:cNvPr>
        <xdr:cNvCxnSpPr/>
      </xdr:nvCxnSpPr>
      <xdr:spPr>
        <a:xfrm>
          <a:off x="1012371" y="283029"/>
          <a:ext cx="14694720" cy="0"/>
        </a:xfrm>
        <a:prstGeom prst="line">
          <a:avLst/>
        </a:prstGeom>
        <a:ln w="76200"/>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491139</xdr:colOff>
      <xdr:row>129</xdr:row>
      <xdr:rowOff>102817</xdr:rowOff>
    </xdr:from>
    <xdr:to>
      <xdr:col>19</xdr:col>
      <xdr:colOff>359231</xdr:colOff>
      <xdr:row>130</xdr:row>
      <xdr:rowOff>160727</xdr:rowOff>
    </xdr:to>
    <xdr:sp macro="" textlink="">
      <xdr:nvSpPr>
        <xdr:cNvPr id="32" name="Rectangle: Rounded Corners 31">
          <a:extLst>
            <a:ext uri="{FF2B5EF4-FFF2-40B4-BE49-F238E27FC236}">
              <a16:creationId xmlns:a16="http://schemas.microsoft.com/office/drawing/2014/main" id="{155E10EB-2A41-49E9-ABD2-284B7288F840}"/>
            </a:ext>
          </a:extLst>
        </xdr:cNvPr>
        <xdr:cNvSpPr/>
      </xdr:nvSpPr>
      <xdr:spPr>
        <a:xfrm>
          <a:off x="16331774" y="26369405"/>
          <a:ext cx="4135292" cy="326851"/>
        </a:xfrm>
        <a:prstGeom prst="roundRect">
          <a:avLst/>
        </a:prstGeom>
        <a:solidFill>
          <a:srgbClr val="0070C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1"/>
            <a:t>PERSENTASE TERHADAP STATUS PEKERJAAN</a:t>
          </a:r>
        </a:p>
      </xdr:txBody>
    </xdr:sp>
    <xdr:clientData/>
  </xdr:twoCellAnchor>
  <xdr:twoCellAnchor>
    <xdr:from>
      <xdr:col>3</xdr:col>
      <xdr:colOff>429608</xdr:colOff>
      <xdr:row>131</xdr:row>
      <xdr:rowOff>10888</xdr:rowOff>
    </xdr:from>
    <xdr:to>
      <xdr:col>5</xdr:col>
      <xdr:colOff>43543</xdr:colOff>
      <xdr:row>154</xdr:row>
      <xdr:rowOff>130630</xdr:rowOff>
    </xdr:to>
    <xdr:graphicFrame macro="">
      <xdr:nvGraphicFramePr>
        <xdr:cNvPr id="39" name="Chart 38">
          <a:extLst>
            <a:ext uri="{FF2B5EF4-FFF2-40B4-BE49-F238E27FC236}">
              <a16:creationId xmlns:a16="http://schemas.microsoft.com/office/drawing/2014/main" id="{1A98C9FF-218E-4511-AF30-8C1CBBACB7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1235099</xdr:colOff>
      <xdr:row>145</xdr:row>
      <xdr:rowOff>261257</xdr:rowOff>
    </xdr:from>
    <xdr:to>
      <xdr:col>5</xdr:col>
      <xdr:colOff>1415144</xdr:colOff>
      <xdr:row>168</xdr:row>
      <xdr:rowOff>25085</xdr:rowOff>
    </xdr:to>
    <xdr:graphicFrame macro="">
      <xdr:nvGraphicFramePr>
        <xdr:cNvPr id="40" name="Chart 39">
          <a:extLst>
            <a:ext uri="{FF2B5EF4-FFF2-40B4-BE49-F238E27FC236}">
              <a16:creationId xmlns:a16="http://schemas.microsoft.com/office/drawing/2014/main" id="{C0A7AD6E-39EB-4AD7-A1C1-9B64880608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130123</xdr:colOff>
      <xdr:row>154</xdr:row>
      <xdr:rowOff>258417</xdr:rowOff>
    </xdr:from>
    <xdr:to>
      <xdr:col>7</xdr:col>
      <xdr:colOff>54428</xdr:colOff>
      <xdr:row>159</xdr:row>
      <xdr:rowOff>195943</xdr:rowOff>
    </xdr:to>
    <xdr:graphicFrame macro="">
      <xdr:nvGraphicFramePr>
        <xdr:cNvPr id="9" name="Chart 8">
          <a:extLst>
            <a:ext uri="{FF2B5EF4-FFF2-40B4-BE49-F238E27FC236}">
              <a16:creationId xmlns:a16="http://schemas.microsoft.com/office/drawing/2014/main" id="{2D266D18-6D17-4131-B622-5FFEB9DD45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522514</xdr:colOff>
      <xdr:row>148</xdr:row>
      <xdr:rowOff>185057</xdr:rowOff>
    </xdr:from>
    <xdr:to>
      <xdr:col>5</xdr:col>
      <xdr:colOff>1959428</xdr:colOff>
      <xdr:row>164</xdr:row>
      <xdr:rowOff>163286</xdr:rowOff>
    </xdr:to>
    <xdr:graphicFrame macro="">
      <xdr:nvGraphicFramePr>
        <xdr:cNvPr id="16" name="Chart 15">
          <a:extLst>
            <a:ext uri="{FF2B5EF4-FFF2-40B4-BE49-F238E27FC236}">
              <a16:creationId xmlns:a16="http://schemas.microsoft.com/office/drawing/2014/main" id="{4B4B969C-CA60-4DE7-B615-806E6A00B4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17</xdr:col>
      <xdr:colOff>276588</xdr:colOff>
      <xdr:row>190</xdr:row>
      <xdr:rowOff>116092</xdr:rowOff>
    </xdr:from>
    <xdr:to>
      <xdr:col>25</xdr:col>
      <xdr:colOff>61855</xdr:colOff>
      <xdr:row>193</xdr:row>
      <xdr:rowOff>156434</xdr:rowOff>
    </xdr:to>
    <xdr:sp macro="" textlink="">
      <xdr:nvSpPr>
        <xdr:cNvPr id="20" name="Rectangle: Rounded Corners 19">
          <a:extLst>
            <a:ext uri="{FF2B5EF4-FFF2-40B4-BE49-F238E27FC236}">
              <a16:creationId xmlns:a16="http://schemas.microsoft.com/office/drawing/2014/main" id="{AE0F3B2D-BFA1-4771-8506-A02D4D3C503C}"/>
            </a:ext>
          </a:extLst>
        </xdr:cNvPr>
        <xdr:cNvSpPr/>
      </xdr:nvSpPr>
      <xdr:spPr>
        <a:xfrm>
          <a:off x="22194479" y="28961256"/>
          <a:ext cx="4662067" cy="622233"/>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3200" b="1">
              <a:latin typeface="Agency FB" panose="020B0503020202020204" pitchFamily="34" charset="0"/>
            </a:rPr>
            <a:t>SUMMARIES</a:t>
          </a:r>
        </a:p>
      </xdr:txBody>
    </xdr:sp>
    <xdr:clientData/>
  </xdr:twoCellAnchor>
  <xdr:twoCellAnchor>
    <xdr:from>
      <xdr:col>3</xdr:col>
      <xdr:colOff>870858</xdr:colOff>
      <xdr:row>164</xdr:row>
      <xdr:rowOff>87085</xdr:rowOff>
    </xdr:from>
    <xdr:to>
      <xdr:col>10</xdr:col>
      <xdr:colOff>2579915</xdr:colOff>
      <xdr:row>180</xdr:row>
      <xdr:rowOff>185056</xdr:rowOff>
    </xdr:to>
    <xdr:graphicFrame macro="">
      <xdr:nvGraphicFramePr>
        <xdr:cNvPr id="33" name="Chart 32">
          <a:extLst>
            <a:ext uri="{FF2B5EF4-FFF2-40B4-BE49-F238E27FC236}">
              <a16:creationId xmlns:a16="http://schemas.microsoft.com/office/drawing/2014/main" id="{8AE37538-06C1-4DD4-B7B9-D9888725B8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17</xdr:col>
      <xdr:colOff>276588</xdr:colOff>
      <xdr:row>217</xdr:row>
      <xdr:rowOff>116092</xdr:rowOff>
    </xdr:from>
    <xdr:to>
      <xdr:col>25</xdr:col>
      <xdr:colOff>61855</xdr:colOff>
      <xdr:row>220</xdr:row>
      <xdr:rowOff>156434</xdr:rowOff>
    </xdr:to>
    <xdr:sp macro="" textlink="">
      <xdr:nvSpPr>
        <xdr:cNvPr id="35" name="Rectangle: Rounded Corners 34">
          <a:extLst>
            <a:ext uri="{FF2B5EF4-FFF2-40B4-BE49-F238E27FC236}">
              <a16:creationId xmlns:a16="http://schemas.microsoft.com/office/drawing/2014/main" id="{A957C687-6165-49CE-B170-39B351917A25}"/>
            </a:ext>
          </a:extLst>
        </xdr:cNvPr>
        <xdr:cNvSpPr/>
      </xdr:nvSpPr>
      <xdr:spPr>
        <a:xfrm>
          <a:off x="22194479" y="34489219"/>
          <a:ext cx="4662067" cy="622233"/>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3200" b="1">
              <a:latin typeface="Agency FB" panose="020B0503020202020204" pitchFamily="34" charset="0"/>
            </a:rPr>
            <a:t>SUMMARIES</a:t>
          </a:r>
        </a:p>
      </xdr:txBody>
    </xdr:sp>
    <xdr:clientData/>
  </xdr:twoCellAnchor>
  <xdr:twoCellAnchor editAs="oneCell">
    <xdr:from>
      <xdr:col>10</xdr:col>
      <xdr:colOff>1797812</xdr:colOff>
      <xdr:row>5</xdr:row>
      <xdr:rowOff>175702</xdr:rowOff>
    </xdr:from>
    <xdr:to>
      <xdr:col>10</xdr:col>
      <xdr:colOff>3157886</xdr:colOff>
      <xdr:row>12</xdr:row>
      <xdr:rowOff>76200</xdr:rowOff>
    </xdr:to>
    <xdr:pic>
      <xdr:nvPicPr>
        <xdr:cNvPr id="44" name="Picture 43">
          <a:extLst>
            <a:ext uri="{FF2B5EF4-FFF2-40B4-BE49-F238E27FC236}">
              <a16:creationId xmlns:a16="http://schemas.microsoft.com/office/drawing/2014/main" id="{D168481B-B36F-3AC4-B491-199DD8DEB85A}"/>
            </a:ext>
          </a:extLst>
        </xdr:cNvPr>
        <xdr:cNvPicPr>
          <a:picLocks noChangeAspect="1"/>
        </xdr:cNvPicPr>
      </xdr:nvPicPr>
      <xdr:blipFill>
        <a:blip xmlns:r="http://schemas.openxmlformats.org/officeDocument/2006/relationships" r:embed="rId7" cstate="print">
          <a:clrChange>
            <a:clrFrom>
              <a:srgbClr val="000000"/>
            </a:clrFrom>
            <a:clrTo>
              <a:srgbClr val="000000">
                <a:alpha val="0"/>
              </a:srgbClr>
            </a:clrTo>
          </a:clrChange>
          <a:extLst>
            <a:ext uri="{28A0092B-C50C-407E-A947-70E740481C1C}">
              <a14:useLocalDpi xmlns:a14="http://schemas.microsoft.com/office/drawing/2010/main" val="0"/>
            </a:ext>
          </a:extLst>
        </a:blip>
        <a:stretch>
          <a:fillRect/>
        </a:stretch>
      </xdr:blipFill>
      <xdr:spPr>
        <a:xfrm>
          <a:off x="14000698" y="1242502"/>
          <a:ext cx="1360074" cy="1435384"/>
        </a:xfrm>
        <a:prstGeom prst="rect">
          <a:avLst/>
        </a:prstGeom>
      </xdr:spPr>
    </xdr:pic>
    <xdr:clientData/>
  </xdr:twoCellAnchor>
  <xdr:twoCellAnchor>
    <xdr:from>
      <xdr:col>10</xdr:col>
      <xdr:colOff>1513114</xdr:colOff>
      <xdr:row>11</xdr:row>
      <xdr:rowOff>206827</xdr:rowOff>
    </xdr:from>
    <xdr:to>
      <xdr:col>11</xdr:col>
      <xdr:colOff>54429</xdr:colOff>
      <xdr:row>13</xdr:row>
      <xdr:rowOff>152400</xdr:rowOff>
    </xdr:to>
    <xdr:sp macro="" textlink="$J$144">
      <xdr:nvSpPr>
        <xdr:cNvPr id="45" name="Rectangle 44">
          <a:extLst>
            <a:ext uri="{FF2B5EF4-FFF2-40B4-BE49-F238E27FC236}">
              <a16:creationId xmlns:a16="http://schemas.microsoft.com/office/drawing/2014/main" id="{CC3333B1-BF01-8D62-5E4C-94798F95CAB9}"/>
            </a:ext>
          </a:extLst>
        </xdr:cNvPr>
        <xdr:cNvSpPr/>
      </xdr:nvSpPr>
      <xdr:spPr>
        <a:xfrm>
          <a:off x="13716000" y="2514598"/>
          <a:ext cx="1796143" cy="478973"/>
        </a:xfrm>
        <a:prstGeom prst="rect">
          <a:avLst/>
        </a:prstGeom>
        <a:solidFill>
          <a:schemeClr val="tx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1E2374C1-6A03-4059-98BB-C74AB8DE93C3}" type="TxLink">
            <a:rPr lang="en-US" sz="1600" b="1" i="0" u="none" strike="noStrike">
              <a:solidFill>
                <a:srgbClr val="FFFFFF"/>
              </a:solidFill>
              <a:latin typeface="Biome Light" panose="020B0502040204020203" pitchFamily="34" charset="0"/>
              <a:ea typeface="Calibri"/>
              <a:cs typeface="Biome Light" panose="020B0502040204020203" pitchFamily="34" charset="0"/>
            </a:rPr>
            <a:pPr algn="ctr"/>
            <a:t> 7,503,159.45 </a:t>
          </a:fld>
          <a:endParaRPr lang="en-US" sz="1100">
            <a:solidFill>
              <a:srgbClr val="FF0000"/>
            </a:solidFill>
            <a:latin typeface="Biome Light" panose="020B0502040204020203" pitchFamily="34" charset="0"/>
            <a:cs typeface="Biome Light" panose="020B0502040204020203" pitchFamily="34" charset="0"/>
          </a:endParaRPr>
        </a:p>
      </xdr:txBody>
    </xdr:sp>
    <xdr:clientData/>
  </xdr:twoCellAnchor>
  <xdr:twoCellAnchor>
    <xdr:from>
      <xdr:col>10</xdr:col>
      <xdr:colOff>424543</xdr:colOff>
      <xdr:row>0</xdr:row>
      <xdr:rowOff>253748</xdr:rowOff>
    </xdr:from>
    <xdr:to>
      <xdr:col>11</xdr:col>
      <xdr:colOff>206828</xdr:colOff>
      <xdr:row>5</xdr:row>
      <xdr:rowOff>108857</xdr:rowOff>
    </xdr:to>
    <xdr:sp macro="" textlink="N5">
      <xdr:nvSpPr>
        <xdr:cNvPr id="53" name="Rectangle 52">
          <a:extLst>
            <a:ext uri="{FF2B5EF4-FFF2-40B4-BE49-F238E27FC236}">
              <a16:creationId xmlns:a16="http://schemas.microsoft.com/office/drawing/2014/main" id="{B3CE7CC8-BE9F-4C11-98C0-F05FCD5EA308}"/>
            </a:ext>
          </a:extLst>
        </xdr:cNvPr>
        <xdr:cNvSpPr/>
      </xdr:nvSpPr>
      <xdr:spPr>
        <a:xfrm>
          <a:off x="12627429" y="253748"/>
          <a:ext cx="3037113" cy="921909"/>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r"/>
          <a:fld id="{A7E6DB96-A45D-47D9-9594-AEDE5ADE2F8A}" type="TxLink">
            <a:rPr lang="en-US" sz="2800" b="1" i="1" u="none" strike="noStrike">
              <a:solidFill>
                <a:schemeClr val="bg1"/>
              </a:solidFill>
              <a:latin typeface="ADLaM Display" panose="02010000000000000000" pitchFamily="2" charset="0"/>
              <a:ea typeface="ADLaM Display" panose="02010000000000000000" pitchFamily="2" charset="0"/>
              <a:cs typeface="ADLaM Display" panose="02010000000000000000" pitchFamily="2" charset="0"/>
            </a:rPr>
            <a:pPr algn="r"/>
            <a:t>14 Dec 2024</a:t>
          </a:fld>
          <a:endParaRPr lang="en-US" sz="1600" b="1" i="1">
            <a:solidFill>
              <a:schemeClr val="bg1"/>
            </a:solidFill>
            <a:latin typeface="ADLaM Display" panose="02010000000000000000" pitchFamily="2" charset="0"/>
            <a:ea typeface="ADLaM Display" panose="02010000000000000000" pitchFamily="2" charset="0"/>
            <a:cs typeface="ADLaM Display" panose="02010000000000000000" pitchFamily="2" charset="0"/>
          </a:endParaRPr>
        </a:p>
      </xdr:txBody>
    </xdr:sp>
    <xdr:clientData/>
  </xdr:twoCellAnchor>
  <xdr:twoCellAnchor editAs="oneCell">
    <xdr:from>
      <xdr:col>5</xdr:col>
      <xdr:colOff>1399308</xdr:colOff>
      <xdr:row>6</xdr:row>
      <xdr:rowOff>90056</xdr:rowOff>
    </xdr:from>
    <xdr:to>
      <xdr:col>7</xdr:col>
      <xdr:colOff>2141</xdr:colOff>
      <xdr:row>13</xdr:row>
      <xdr:rowOff>124691</xdr:rowOff>
    </xdr:to>
    <xdr:pic>
      <xdr:nvPicPr>
        <xdr:cNvPr id="55" name="Picture 54" descr="A black background with a black square&#10;&#10;Description automatically generated with medium confidence">
          <a:extLst>
            <a:ext uri="{FF2B5EF4-FFF2-40B4-BE49-F238E27FC236}">
              <a16:creationId xmlns:a16="http://schemas.microsoft.com/office/drawing/2014/main" id="{C24CB466-F12E-71AC-D987-03879161FABD}"/>
            </a:ext>
          </a:extLst>
        </xdr:cNvPr>
        <xdr:cNvPicPr>
          <a:picLocks noChangeAspect="1"/>
        </xdr:cNvPicPr>
      </xdr:nvPicPr>
      <xdr:blipFill>
        <a:blip xmlns:r="http://schemas.openxmlformats.org/officeDocument/2006/relationships" r:embed="rId8" cstate="print">
          <a:duotone>
            <a:schemeClr val="bg2">
              <a:shade val="45000"/>
              <a:satMod val="135000"/>
            </a:schemeClr>
            <a:prstClr val="white"/>
          </a:duotone>
          <a:extLst>
            <a:ext uri="{BEBA8EAE-BF5A-486C-A8C5-ECC9F3942E4B}">
              <a14:imgProps xmlns:a14="http://schemas.microsoft.com/office/drawing/2010/main">
                <a14:imgLayer r:embed="rId9">
                  <a14:imgEffect>
                    <a14:artisticPhotocopy/>
                  </a14:imgEffect>
                  <a14:imgEffect>
                    <a14:brightnessContrast bright="20000"/>
                  </a14:imgEffect>
                </a14:imgLayer>
              </a14:imgProps>
            </a:ext>
            <a:ext uri="{28A0092B-C50C-407E-A947-70E740481C1C}">
              <a14:useLocalDpi xmlns:a14="http://schemas.microsoft.com/office/drawing/2010/main" val="0"/>
            </a:ext>
          </a:extLst>
        </a:blip>
        <a:stretch>
          <a:fillRect/>
        </a:stretch>
      </xdr:blipFill>
      <xdr:spPr>
        <a:xfrm>
          <a:off x="6095999" y="1309256"/>
          <a:ext cx="1526142" cy="161405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0</xdr:colOff>
      <xdr:row>7</xdr:row>
      <xdr:rowOff>15240</xdr:rowOff>
    </xdr:from>
    <xdr:to>
      <xdr:col>5</xdr:col>
      <xdr:colOff>636270</xdr:colOff>
      <xdr:row>12</xdr:row>
      <xdr:rowOff>175260</xdr:rowOff>
    </xdr:to>
    <xdr:pic>
      <xdr:nvPicPr>
        <xdr:cNvPr id="2" name="Picture 1">
          <a:extLst>
            <a:ext uri="{FF2B5EF4-FFF2-40B4-BE49-F238E27FC236}">
              <a16:creationId xmlns:a16="http://schemas.microsoft.com/office/drawing/2014/main" id="{75341AF3-E484-4A36-A682-BDD5370FBBBA}"/>
            </a:ext>
          </a:extLst>
        </xdr:cNvPr>
        <xdr:cNvPicPr>
          <a:picLocks noChangeAspect="1"/>
        </xdr:cNvPicPr>
      </xdr:nvPicPr>
      <xdr:blipFill rotWithShape="1">
        <a:blip xmlns:r="http://schemas.openxmlformats.org/officeDocument/2006/relationships" r:embed="rId1">
          <a:clrChange>
            <a:clrFrom>
              <a:srgbClr val="FEFEFE"/>
            </a:clrFrom>
            <a:clrTo>
              <a:srgbClr val="FEFEFE">
                <a:alpha val="0"/>
              </a:srgbClr>
            </a:clrTo>
          </a:clrChange>
          <a:extLst>
            <a:ext uri="{BEBA8EAE-BF5A-486C-A8C5-ECC9F3942E4B}">
              <a14:imgProps xmlns:a14="http://schemas.microsoft.com/office/drawing/2010/main">
                <a14:imgLayer r:embed="rId2">
                  <a14:imgEffect>
                    <a14:artisticPhotocopy/>
                  </a14:imgEffect>
                </a14:imgLayer>
              </a14:imgProps>
            </a:ext>
          </a:extLst>
        </a:blip>
        <a:srcRect t="4849" b="9697"/>
        <a:stretch/>
      </xdr:blipFill>
      <xdr:spPr>
        <a:xfrm>
          <a:off x="13441125" y="3855720"/>
          <a:ext cx="1245870" cy="1074420"/>
        </a:xfrm>
        <a:prstGeom prst="rect">
          <a:avLst/>
        </a:prstGeom>
      </xdr:spPr>
    </xdr:pic>
    <xdr:clientData/>
  </xdr:twoCellAnchor>
  <xdr:twoCellAnchor editAs="oneCell">
    <xdr:from>
      <xdr:col>4</xdr:col>
      <xdr:colOff>0</xdr:colOff>
      <xdr:row>15</xdr:row>
      <xdr:rowOff>28275</xdr:rowOff>
    </xdr:from>
    <xdr:to>
      <xdr:col>5</xdr:col>
      <xdr:colOff>411479</xdr:colOff>
      <xdr:row>22</xdr:row>
      <xdr:rowOff>38428</xdr:rowOff>
    </xdr:to>
    <xdr:pic>
      <xdr:nvPicPr>
        <xdr:cNvPr id="3" name="Picture 2">
          <a:extLst>
            <a:ext uri="{FF2B5EF4-FFF2-40B4-BE49-F238E27FC236}">
              <a16:creationId xmlns:a16="http://schemas.microsoft.com/office/drawing/2014/main" id="{A10BCF7F-B531-426C-8652-80A01E7E3B58}"/>
            </a:ext>
          </a:extLst>
        </xdr:cNvPr>
        <xdr:cNvPicPr>
          <a:picLocks noChangeAspect="1"/>
        </xdr:cNvPicPr>
      </xdr:nvPicPr>
      <xdr:blipFill>
        <a:blip xmlns:r="http://schemas.openxmlformats.org/officeDocument/2006/relationships" r:embed="rId3">
          <a:clrChange>
            <a:clrFrom>
              <a:srgbClr val="E6E6E6"/>
            </a:clrFrom>
            <a:clrTo>
              <a:srgbClr val="E6E6E6">
                <a:alpha val="0"/>
              </a:srgbClr>
            </a:clrTo>
          </a:clrChange>
        </a:blip>
        <a:stretch>
          <a:fillRect/>
        </a:stretch>
      </xdr:blipFill>
      <xdr:spPr>
        <a:xfrm>
          <a:off x="4579621" y="2870535"/>
          <a:ext cx="1021079" cy="1305553"/>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lee-ptwiratama.com" refreshedDate="45338.72475439815" backgroundQuery="1" createdVersion="8" refreshedVersion="8" minRefreshableVersion="3" recordCount="0" supportSubquery="1" supportAdvancedDrill="1" xr:uid="{4471BECD-3266-453F-86B2-F8C26E934DCC}">
  <cacheSource type="external" connectionId="1"/>
  <cacheFields count="8">
    <cacheField name="[Table2].[NO. PON].[NO. PON]" caption="NO. PON" numFmtId="0" hierarchy="13" level="1">
      <sharedItems count="123">
        <s v="STKJ18"/>
        <s v="STKJ19"/>
        <s v="STKJ20"/>
        <s v="STKJ21"/>
        <s v="STKJ22"/>
        <s v="STKJ23"/>
        <s v="STKJ24"/>
        <s v="STKJ25"/>
        <s v="STOCK2022"/>
        <s v="W-370"/>
        <s v="W-489A"/>
        <s v="W-489B"/>
        <s v="W-493"/>
        <s v="W-494"/>
        <s v="W-495A-02"/>
        <s v="W-496-A"/>
        <s v="W-496-B"/>
        <s v="W-498"/>
        <s v="W-499"/>
        <s v="W-500"/>
        <s v="W-501"/>
        <s v="W-502"/>
        <s v="W-503"/>
        <s v="W-504A"/>
        <s v="W-504B"/>
        <s v="W-504C"/>
        <s v="W-505"/>
        <s v="W-506A"/>
        <s v="W-506B"/>
        <s v="W-506C"/>
        <s v="W-506D"/>
        <s v="W-506E"/>
        <s v="W-507"/>
        <s v="W-511"/>
        <s v="W-512A"/>
        <s v="W-512B"/>
        <s v="W-512C"/>
        <s v="W-513"/>
        <s v="W-514"/>
        <s v="W-515"/>
        <s v="W-516A"/>
        <s v="W-516B"/>
        <s v="W-516C"/>
        <s v="W-516D"/>
        <s v="W-517"/>
        <s v="W-518A"/>
        <s v="W-518B"/>
        <s v="W-518C"/>
        <s v="W-519"/>
        <s v="W-520A"/>
        <s v="W-520B"/>
        <s v="W-520C"/>
        <s v="W-520D"/>
        <s v="W-521"/>
        <s v="W-522"/>
        <s v="W-523"/>
        <s v="W-524"/>
        <s v="W-525"/>
        <s v="W-526"/>
        <s v="W-527"/>
        <s v="W-528"/>
        <s v="W-529"/>
        <s v="W-530"/>
        <s v="W-531"/>
        <s v="W-532"/>
        <s v="W-532A"/>
        <s v="W-533"/>
        <s v="W-534"/>
        <s v="W-535"/>
        <s v="W-536"/>
        <s v="W-537"/>
        <s v="W-538"/>
        <s v="W-539"/>
        <s v="W-540"/>
        <s v="W-541"/>
        <s v="W-542"/>
        <s v="W-543"/>
        <s v="W-544"/>
        <s v="W-545"/>
        <s v="W-546"/>
        <s v="W-547"/>
        <s v="W-548"/>
        <s v="W-549"/>
        <s v="W-550"/>
        <s v="W-551"/>
        <s v="W-552"/>
        <s v="W-553"/>
        <s v="W-554"/>
        <s v="W-555"/>
        <s v="W-556"/>
        <s v="W-557"/>
        <s v="W-558"/>
        <s v="W-559"/>
        <s v="W-560A"/>
        <s v="W-560B"/>
        <s v="W-560C"/>
        <s v="W-561"/>
        <s v="W-562"/>
        <s v="W-563"/>
        <s v="W-564"/>
        <s v="W-565"/>
        <s v="W-565A"/>
        <s v="W-566"/>
        <s v="W-567"/>
        <s v="W-568A"/>
        <s v="W-568B"/>
        <s v="W-569"/>
        <s v="W-570"/>
        <s v="W-571"/>
        <s v="W-572"/>
        <s v="W-573"/>
        <s v="W-574"/>
        <s v="W-575"/>
        <s v="W-576A"/>
        <s v="W-576B"/>
        <s v="W-577"/>
        <s v="W-578"/>
        <s v="W-579"/>
        <s v="W-579A"/>
        <s v="W-580"/>
        <s v="W-581"/>
        <s v="W-582"/>
        <s v="W-585"/>
      </sharedItems>
      <extLst>
        <ext xmlns:x15="http://schemas.microsoft.com/office/spreadsheetml/2010/11/main" uri="{4F2E5C28-24EA-4eb8-9CBF-B6C8F9C3D259}">
          <x15:cachedUniqueNames>
            <x15:cachedUniqueName index="0" name="[Table2].[NO. PON].&amp;[STKJ18]"/>
            <x15:cachedUniqueName index="1" name="[Table2].[NO. PON].&amp;[STKJ19]"/>
            <x15:cachedUniqueName index="2" name="[Table2].[NO. PON].&amp;[STKJ20]"/>
            <x15:cachedUniqueName index="3" name="[Table2].[NO. PON].&amp;[STKJ21]"/>
            <x15:cachedUniqueName index="4" name="[Table2].[NO. PON].&amp;[STKJ22]"/>
            <x15:cachedUniqueName index="5" name="[Table2].[NO. PON].&amp;[STKJ23]"/>
            <x15:cachedUniqueName index="6" name="[Table2].[NO. PON].&amp;[STKJ24]"/>
            <x15:cachedUniqueName index="7" name="[Table2].[NO. PON].&amp;[STKJ25]"/>
            <x15:cachedUniqueName index="8" name="[Table2].[NO. PON].&amp;[STOCK2022]"/>
            <x15:cachedUniqueName index="9" name="[Table2].[NO. PON].&amp;[W-370]"/>
            <x15:cachedUniqueName index="10" name="[Table2].[NO. PON].&amp;[W-489A]"/>
            <x15:cachedUniqueName index="11" name="[Table2].[NO. PON].&amp;[W-489B]"/>
            <x15:cachedUniqueName index="12" name="[Table2].[NO. PON].&amp;[W-493]"/>
            <x15:cachedUniqueName index="13" name="[Table2].[NO. PON].&amp;[W-494]"/>
            <x15:cachedUniqueName index="14" name="[Table2].[NO. PON].&amp;[W-495A-02]"/>
            <x15:cachedUniqueName index="15" name="[Table2].[NO. PON].&amp;[W-496-A]"/>
            <x15:cachedUniqueName index="16" name="[Table2].[NO. PON].&amp;[W-496-B]"/>
            <x15:cachedUniqueName index="17" name="[Table2].[NO. PON].&amp;[W-498]"/>
            <x15:cachedUniqueName index="18" name="[Table2].[NO. PON].&amp;[W-499]"/>
            <x15:cachedUniqueName index="19" name="[Table2].[NO. PON].&amp;[W-500]"/>
            <x15:cachedUniqueName index="20" name="[Table2].[NO. PON].&amp;[W-501]"/>
            <x15:cachedUniqueName index="21" name="[Table2].[NO. PON].&amp;[W-502]"/>
            <x15:cachedUniqueName index="22" name="[Table2].[NO. PON].&amp;[W-503]"/>
            <x15:cachedUniqueName index="23" name="[Table2].[NO. PON].&amp;[W-504A]"/>
            <x15:cachedUniqueName index="24" name="[Table2].[NO. PON].&amp;[W-504B]"/>
            <x15:cachedUniqueName index="25" name="[Table2].[NO. PON].&amp;[W-504C]"/>
            <x15:cachedUniqueName index="26" name="[Table2].[NO. PON].&amp;[W-505]"/>
            <x15:cachedUniqueName index="27" name="[Table2].[NO. PON].&amp;[W-506A]"/>
            <x15:cachedUniqueName index="28" name="[Table2].[NO. PON].&amp;[W-506B]"/>
            <x15:cachedUniqueName index="29" name="[Table2].[NO. PON].&amp;[W-506C]"/>
            <x15:cachedUniqueName index="30" name="[Table2].[NO. PON].&amp;[W-506D]"/>
            <x15:cachedUniqueName index="31" name="[Table2].[NO. PON].&amp;[W-506E]"/>
            <x15:cachedUniqueName index="32" name="[Table2].[NO. PON].&amp;[W-507]"/>
            <x15:cachedUniqueName index="33" name="[Table2].[NO. PON].&amp;[W-511]"/>
            <x15:cachedUniqueName index="34" name="[Table2].[NO. PON].&amp;[W-512A]"/>
            <x15:cachedUniqueName index="35" name="[Table2].[NO. PON].&amp;[W-512B]"/>
            <x15:cachedUniqueName index="36" name="[Table2].[NO. PON].&amp;[W-512C]"/>
            <x15:cachedUniqueName index="37" name="[Table2].[NO. PON].&amp;[W-513]"/>
            <x15:cachedUniqueName index="38" name="[Table2].[NO. PON].&amp;[W-514]"/>
            <x15:cachedUniqueName index="39" name="[Table2].[NO. PON].&amp;[W-515]"/>
            <x15:cachedUniqueName index="40" name="[Table2].[NO. PON].&amp;[W-516A]"/>
            <x15:cachedUniqueName index="41" name="[Table2].[NO. PON].&amp;[W-516B]"/>
            <x15:cachedUniqueName index="42" name="[Table2].[NO. PON].&amp;[W-516C]"/>
            <x15:cachedUniqueName index="43" name="[Table2].[NO. PON].&amp;[W-516D]"/>
            <x15:cachedUniqueName index="44" name="[Table2].[NO. PON].&amp;[W-517]"/>
            <x15:cachedUniqueName index="45" name="[Table2].[NO. PON].&amp;[W-518A]"/>
            <x15:cachedUniqueName index="46" name="[Table2].[NO. PON].&amp;[W-518B]"/>
            <x15:cachedUniqueName index="47" name="[Table2].[NO. PON].&amp;[W-518C]"/>
            <x15:cachedUniqueName index="48" name="[Table2].[NO. PON].&amp;[W-519]"/>
            <x15:cachedUniqueName index="49" name="[Table2].[NO. PON].&amp;[W-520A]"/>
            <x15:cachedUniqueName index="50" name="[Table2].[NO. PON].&amp;[W-520B]"/>
            <x15:cachedUniqueName index="51" name="[Table2].[NO. PON].&amp;[W-520C]"/>
            <x15:cachedUniqueName index="52" name="[Table2].[NO. PON].&amp;[W-520D]"/>
            <x15:cachedUniqueName index="53" name="[Table2].[NO. PON].&amp;[W-521]"/>
            <x15:cachedUniqueName index="54" name="[Table2].[NO. PON].&amp;[W-522]"/>
            <x15:cachedUniqueName index="55" name="[Table2].[NO. PON].&amp;[W-523]"/>
            <x15:cachedUniqueName index="56" name="[Table2].[NO. PON].&amp;[W-524]"/>
            <x15:cachedUniqueName index="57" name="[Table2].[NO. PON].&amp;[W-525]"/>
            <x15:cachedUniqueName index="58" name="[Table2].[NO. PON].&amp;[W-526]"/>
            <x15:cachedUniqueName index="59" name="[Table2].[NO. PON].&amp;[W-527]"/>
            <x15:cachedUniqueName index="60" name="[Table2].[NO. PON].&amp;[W-528]"/>
            <x15:cachedUniqueName index="61" name="[Table2].[NO. PON].&amp;[W-529]"/>
            <x15:cachedUniqueName index="62" name="[Table2].[NO. PON].&amp;[W-530]"/>
            <x15:cachedUniqueName index="63" name="[Table2].[NO. PON].&amp;[W-531]"/>
            <x15:cachedUniqueName index="64" name="[Table2].[NO. PON].&amp;[W-532]"/>
            <x15:cachedUniqueName index="65" name="[Table2].[NO. PON].&amp;[W-532A]"/>
            <x15:cachedUniqueName index="66" name="[Table2].[NO. PON].&amp;[W-533]"/>
            <x15:cachedUniqueName index="67" name="[Table2].[NO. PON].&amp;[W-534]"/>
            <x15:cachedUniqueName index="68" name="[Table2].[NO. PON].&amp;[W-535]"/>
            <x15:cachedUniqueName index="69" name="[Table2].[NO. PON].&amp;[W-536]"/>
            <x15:cachedUniqueName index="70" name="[Table2].[NO. PON].&amp;[W-537]"/>
            <x15:cachedUniqueName index="71" name="[Table2].[NO. PON].&amp;[W-538]"/>
            <x15:cachedUniqueName index="72" name="[Table2].[NO. PON].&amp;[W-539]"/>
            <x15:cachedUniqueName index="73" name="[Table2].[NO. PON].&amp;[W-540]"/>
            <x15:cachedUniqueName index="74" name="[Table2].[NO. PON].&amp;[W-541]"/>
            <x15:cachedUniqueName index="75" name="[Table2].[NO. PON].&amp;[W-542]"/>
            <x15:cachedUniqueName index="76" name="[Table2].[NO. PON].&amp;[W-543]"/>
            <x15:cachedUniqueName index="77" name="[Table2].[NO. PON].&amp;[W-544]"/>
            <x15:cachedUniqueName index="78" name="[Table2].[NO. PON].&amp;[W-545]"/>
            <x15:cachedUniqueName index="79" name="[Table2].[NO. PON].&amp;[W-546]"/>
            <x15:cachedUniqueName index="80" name="[Table2].[NO. PON].&amp;[W-547]"/>
            <x15:cachedUniqueName index="81" name="[Table2].[NO. PON].&amp;[W-548]"/>
            <x15:cachedUniqueName index="82" name="[Table2].[NO. PON].&amp;[W-549]"/>
            <x15:cachedUniqueName index="83" name="[Table2].[NO. PON].&amp;[W-550]"/>
            <x15:cachedUniqueName index="84" name="[Table2].[NO. PON].&amp;[W-551]"/>
            <x15:cachedUniqueName index="85" name="[Table2].[NO. PON].&amp;[W-552]"/>
            <x15:cachedUniqueName index="86" name="[Table2].[NO. PON].&amp;[W-553]"/>
            <x15:cachedUniqueName index="87" name="[Table2].[NO. PON].&amp;[W-554]"/>
            <x15:cachedUniqueName index="88" name="[Table2].[NO. PON].&amp;[W-555]"/>
            <x15:cachedUniqueName index="89" name="[Table2].[NO. PON].&amp;[W-556]"/>
            <x15:cachedUniqueName index="90" name="[Table2].[NO. PON].&amp;[W-557]"/>
            <x15:cachedUniqueName index="91" name="[Table2].[NO. PON].&amp;[W-558]"/>
            <x15:cachedUniqueName index="92" name="[Table2].[NO. PON].&amp;[W-559]"/>
            <x15:cachedUniqueName index="93" name="[Table2].[NO. PON].&amp;[W-560A]"/>
            <x15:cachedUniqueName index="94" name="[Table2].[NO. PON].&amp;[W-560B]"/>
            <x15:cachedUniqueName index="95" name="[Table2].[NO. PON].&amp;[W-560C]"/>
            <x15:cachedUniqueName index="96" name="[Table2].[NO. PON].&amp;[W-561]"/>
            <x15:cachedUniqueName index="97" name="[Table2].[NO. PON].&amp;[W-562]"/>
            <x15:cachedUniqueName index="98" name="[Table2].[NO. PON].&amp;[W-563]"/>
            <x15:cachedUniqueName index="99" name="[Table2].[NO. PON].&amp;[W-564]"/>
            <x15:cachedUniqueName index="100" name="[Table2].[NO. PON].&amp;[W-565]"/>
            <x15:cachedUniqueName index="101" name="[Table2].[NO. PON].&amp;[W-565A]"/>
            <x15:cachedUniqueName index="102" name="[Table2].[NO. PON].&amp;[W-566]"/>
            <x15:cachedUniqueName index="103" name="[Table2].[NO. PON].&amp;[W-567]"/>
            <x15:cachedUniqueName index="104" name="[Table2].[NO. PON].&amp;[W-568A]"/>
            <x15:cachedUniqueName index="105" name="[Table2].[NO. PON].&amp;[W-568B]"/>
            <x15:cachedUniqueName index="106" name="[Table2].[NO. PON].&amp;[W-569]"/>
            <x15:cachedUniqueName index="107" name="[Table2].[NO. PON].&amp;[W-570]"/>
            <x15:cachedUniqueName index="108" name="[Table2].[NO. PON].&amp;[W-571]"/>
            <x15:cachedUniqueName index="109" name="[Table2].[NO. PON].&amp;[W-572]"/>
            <x15:cachedUniqueName index="110" name="[Table2].[NO. PON].&amp;[W-573]"/>
            <x15:cachedUniqueName index="111" name="[Table2].[NO. PON].&amp;[W-574]"/>
            <x15:cachedUniqueName index="112" name="[Table2].[NO. PON].&amp;[W-575]"/>
            <x15:cachedUniqueName index="113" name="[Table2].[NO. PON].&amp;[W-576A]"/>
            <x15:cachedUniqueName index="114" name="[Table2].[NO. PON].&amp;[W-576B]"/>
            <x15:cachedUniqueName index="115" name="[Table2].[NO. PON].&amp;[W-577]"/>
            <x15:cachedUniqueName index="116" name="[Table2].[NO. PON].&amp;[W-578]"/>
            <x15:cachedUniqueName index="117" name="[Table2].[NO. PON].&amp;[W-579]"/>
            <x15:cachedUniqueName index="118" name="[Table2].[NO. PON].&amp;[W-579A]"/>
            <x15:cachedUniqueName index="119" name="[Table2].[NO. PON].&amp;[W-580]"/>
            <x15:cachedUniqueName index="120" name="[Table2].[NO. PON].&amp;[W-581]"/>
            <x15:cachedUniqueName index="121" name="[Table2].[NO. PON].&amp;[W-582]"/>
            <x15:cachedUniqueName index="122" name="[Table2].[NO. PON].&amp;[W-585]"/>
          </x15:cachedUniqueNames>
        </ext>
      </extLst>
    </cacheField>
    <cacheField name="[Table2].[Type  Struktur].[Type  Struktur]" caption="Type  Struktur" numFmtId="0" hierarchy="14" level="1">
      <sharedItems count="22">
        <s v="Panel Bailey STOCK"/>
        <s v="Truss Modullar"/>
        <s v="PLATE LRB"/>
        <s v="PIPE RACK"/>
        <s v="FENCING SHELTER &amp; STAIRCASES"/>
        <s v="Jembatan Gantung"/>
        <s v="Girder"/>
        <s v="Panel Bailey"/>
        <s v="BEAM TRESTLE"/>
        <s v="RAMP Panel Bailey"/>
        <s v="Girder Spesial"/>
        <s v="WELDED BEAM"/>
        <s v="ORNAMEN PIPA"/>
        <s v="SPECER MRT"/>
        <s v="SUPPORT BEAM"/>
        <s v="JPO"/>
        <s v="STRUKTUR PERKUATAN"/>
        <s v="Jembatan Pendekat"/>
        <s v="TOWER"/>
        <s v="STRUKTUR ATAP"/>
        <s v="KING POST"/>
        <s v="Komponen Jembatan"/>
      </sharedItems>
      <extLst>
        <ext xmlns:x15="http://schemas.microsoft.com/office/spreadsheetml/2010/11/main" uri="{4F2E5C28-24EA-4eb8-9CBF-B6C8F9C3D259}">
          <x15:cachedUniqueNames>
            <x15:cachedUniqueName index="0" name="[Table2].[Type  Struktur].&amp;[Panel Bailey STOCK]"/>
            <x15:cachedUniqueName index="1" name="[Table2].[Type  Struktur].&amp;[Truss Modullar]"/>
            <x15:cachedUniqueName index="2" name="[Table2].[Type  Struktur].&amp;[PLATE LRB]"/>
            <x15:cachedUniqueName index="3" name="[Table2].[Type  Struktur].&amp;[PIPE RACK]"/>
            <x15:cachedUniqueName index="4" name="[Table2].[Type  Struktur].&amp;[FENCING SHELTER &amp; STAIRCASES]"/>
            <x15:cachedUniqueName index="5" name="[Table2].[Type  Struktur].&amp;[Jembatan Gantung]"/>
            <x15:cachedUniqueName index="6" name="[Table2].[Type  Struktur].&amp;[Girder]"/>
            <x15:cachedUniqueName index="7" name="[Table2].[Type  Struktur].&amp;[Panel Bailey]"/>
            <x15:cachedUniqueName index="8" name="[Table2].[Type  Struktur].&amp;[BEAM TRESTLE]"/>
            <x15:cachedUniqueName index="9" name="[Table2].[Type  Struktur].&amp;[RAMP Panel Bailey]"/>
            <x15:cachedUniqueName index="10" name="[Table2].[Type  Struktur].&amp;[Girder Spesial]"/>
            <x15:cachedUniqueName index="11" name="[Table2].[Type  Struktur].&amp;[WELDED BEAM]"/>
            <x15:cachedUniqueName index="12" name="[Table2].[Type  Struktur].&amp;[ORNAMEN PIPA]"/>
            <x15:cachedUniqueName index="13" name="[Table2].[Type  Struktur].&amp;[SPECER MRT]"/>
            <x15:cachedUniqueName index="14" name="[Table2].[Type  Struktur].&amp;[SUPPORT BEAM]"/>
            <x15:cachedUniqueName index="15" name="[Table2].[Type  Struktur].&amp;[JPO]"/>
            <x15:cachedUniqueName index="16" name="[Table2].[Type  Struktur].&amp;[STRUKTUR PERKUATAN]"/>
            <x15:cachedUniqueName index="17" name="[Table2].[Type  Struktur].&amp;[Jembatan Pendekat]"/>
            <x15:cachedUniqueName index="18" name="[Table2].[Type  Struktur].&amp;[TOWER]"/>
            <x15:cachedUniqueName index="19" name="[Table2].[Type  Struktur].&amp;[STRUKTUR ATAP]"/>
            <x15:cachedUniqueName index="20" name="[Table2].[Type  Struktur].&amp;[KING POST]"/>
            <x15:cachedUniqueName index="21" name="[Table2].[Type  Struktur].&amp;[Komponen Jembatan]"/>
          </x15:cachedUniqueNames>
        </ext>
      </extLst>
    </cacheField>
    <cacheField name="[Table2].[Qty (Unit)].[Qty (Unit)]" caption="Qty (Unit)" numFmtId="0" hierarchy="15" level="1">
      <sharedItems containsSemiMixedTypes="0" containsString="0" containsNumber="1" containsInteger="1" minValue="1" maxValue="6" count="5">
        <n v="1"/>
        <n v="2"/>
        <n v="3"/>
        <n v="6"/>
        <n v="5"/>
      </sharedItems>
      <extLst>
        <ext xmlns:x15="http://schemas.microsoft.com/office/spreadsheetml/2010/11/main" uri="{4F2E5C28-24EA-4eb8-9CBF-B6C8F9C3D259}">
          <x15:cachedUniqueNames>
            <x15:cachedUniqueName index="0" name="[Table2].[Qty (Unit)].&amp;[1]"/>
            <x15:cachedUniqueName index="1" name="[Table2].[Qty (Unit)].&amp;[2]"/>
            <x15:cachedUniqueName index="2" name="[Table2].[Qty (Unit)].&amp;[3]"/>
            <x15:cachedUniqueName index="3" name="[Table2].[Qty (Unit)].&amp;[6]"/>
            <x15:cachedUniqueName index="4" name="[Table2].[Qty (Unit)].&amp;[5]"/>
          </x15:cachedUniqueNames>
        </ext>
      </extLst>
    </cacheField>
    <cacheField name="[Table2].[Marking Struktur].[Marking Struktur]" caption="Marking Struktur" numFmtId="0" hierarchy="16" level="1">
      <sharedItems count="79">
        <s v="KOMPONEN BAILEY"/>
        <s v="RB60-BU+LINKSET"/>
        <s v="BASEPLATE FOR LRB"/>
        <s v="PIPE RACK"/>
        <s v="FENCING"/>
        <s v="JG105 - PIPA"/>
        <s v="AG30"/>
        <s v="33M DSR2 - SS400"/>
        <s v="AG20"/>
        <s v="AG8"/>
        <s v="42 DSR2-EW + TRESTLE"/>
        <s v="12 SSR-EW"/>
        <s v="15 SSR-EW"/>
        <s v="21 SSR-EW"/>
        <s v="24 DSR2-EW"/>
        <s v="21 DS-EW"/>
        <s v="18 DSR1-EW"/>
        <s v="18 DSR2-EW"/>
        <s v="33 DSR2H*-EW (U120)"/>
        <s v="30 DSR2-EW"/>
        <s v="BG22"/>
        <s v="42 DSR2-EW (U120)"/>
        <s v="45 DSR2H**-EW (U120)"/>
        <s v="TRESTLE BEAM"/>
        <s v="CG30"/>
        <s v="36 DSR2-EW"/>
        <s v="45 TSR2 - EW"/>
        <s v="RAMP PANEL BAILEY"/>
        <s v="24 SSR-EW"/>
        <s v="27 DSR2-EW"/>
        <s v="39 DSR2H**-EW"/>
        <s v="GD14"/>
        <s v="GD16"/>
        <s v="GD18"/>
        <s v="GD20"/>
        <s v="BG25"/>
        <s v="KOMPONEN STRINGGER"/>
        <s v="WB BEAM"/>
        <s v="BG30"/>
        <s v="BG35"/>
        <s v="BG20"/>
        <s v="RB50"/>
        <s v="JG154"/>
        <s v="CG15_6 Line"/>
        <s v="GB30-ARCH"/>
        <s v="JG120"/>
        <s v="JG80"/>
        <s v="30 SSR-EW"/>
        <s v="RB60"/>
        <s v="SPECER MRT"/>
        <s v="SB35"/>
        <s v="CG12"/>
        <s v="JG360_TAHAP I"/>
        <s v="GB30"/>
        <s v="9 SSR-EW"/>
        <s v="JG150"/>
        <s v="6 SSR-SW"/>
        <s v="LRB"/>
        <s v="RB40"/>
        <s v="AG40"/>
        <s v="JPO-48"/>
        <s v="PERKUATAN"/>
        <s v="JG40_ASIMETRIS"/>
        <s v="Ex. England"/>
        <s v="RB30"/>
        <s v="JG100P"/>
        <s v="SPAN 11.87 M"/>
        <s v="SPAN 14.20 M"/>
        <s v="SPAN 22.82 M"/>
        <s v="TWR-H36"/>
        <s v="AG18.8"/>
        <s v="ATAP ASRAMA HAJI"/>
        <s v="18 SSR - EW (LANTAI KAYU)"/>
        <s v="24 SSR - EW (LANTAI KAYU)"/>
        <s v="RC45+15"/>
        <s v="C43"/>
        <s v="18 SSR - EW"/>
        <s v="KP"/>
        <s v="Komponen JG152"/>
      </sharedItems>
      <extLst>
        <ext xmlns:x15="http://schemas.microsoft.com/office/spreadsheetml/2010/11/main" uri="{4F2E5C28-24EA-4eb8-9CBF-B6C8F9C3D259}">
          <x15:cachedUniqueNames>
            <x15:cachedUniqueName index="0" name="[Table2].[Marking Struktur].&amp;[KOMPONEN BAILEY]"/>
            <x15:cachedUniqueName index="1" name="[Table2].[Marking Struktur].&amp;[RB60-BU+LINKSET]"/>
            <x15:cachedUniqueName index="2" name="[Table2].[Marking Struktur].&amp;[BASEPLATE FOR LRB]"/>
            <x15:cachedUniqueName index="3" name="[Table2].[Marking Struktur].&amp;[PIPE RACK]"/>
            <x15:cachedUniqueName index="4" name="[Table2].[Marking Struktur].&amp;[FENCING]"/>
            <x15:cachedUniqueName index="5" name="[Table2].[Marking Struktur].&amp;[JG105 - PIPA]"/>
            <x15:cachedUniqueName index="6" name="[Table2].[Marking Struktur].&amp;[AG30]"/>
            <x15:cachedUniqueName index="7" name="[Table2].[Marking Struktur].&amp;[33M DSR2 - SS400]"/>
            <x15:cachedUniqueName index="8" name="[Table2].[Marking Struktur].&amp;[AG20]"/>
            <x15:cachedUniqueName index="9" name="[Table2].[Marking Struktur].&amp;[AG8]"/>
            <x15:cachedUniqueName index="10" name="[Table2].[Marking Struktur].&amp;[42 DSR2-EW + TRESTLE]"/>
            <x15:cachedUniqueName index="11" name="[Table2].[Marking Struktur].&amp;[12 SSR-EW]"/>
            <x15:cachedUniqueName index="12" name="[Table2].[Marking Struktur].&amp;[15 SSR-EW]"/>
            <x15:cachedUniqueName index="13" name="[Table2].[Marking Struktur].&amp;[21 SSR-EW]"/>
            <x15:cachedUniqueName index="14" name="[Table2].[Marking Struktur].&amp;[24 DSR2-EW]"/>
            <x15:cachedUniqueName index="15" name="[Table2].[Marking Struktur].&amp;[21 DS-EW]"/>
            <x15:cachedUniqueName index="16" name="[Table2].[Marking Struktur].&amp;[18 DSR1-EW]"/>
            <x15:cachedUniqueName index="17" name="[Table2].[Marking Struktur].&amp;[18 DSR2-EW]"/>
            <x15:cachedUniqueName index="18" name="[Table2].[Marking Struktur].&amp;[33 DSR2H*-EW (U120)]"/>
            <x15:cachedUniqueName index="19" name="[Table2].[Marking Struktur].&amp;[30 DSR2-EW]"/>
            <x15:cachedUniqueName index="20" name="[Table2].[Marking Struktur].&amp;[BG22]"/>
            <x15:cachedUniqueName index="21" name="[Table2].[Marking Struktur].&amp;[42 DSR2-EW (U120)]"/>
            <x15:cachedUniqueName index="22" name="[Table2].[Marking Struktur].&amp;[45 DSR2H**-EW (U120)]"/>
            <x15:cachedUniqueName index="23" name="[Table2].[Marking Struktur].&amp;[TRESTLE BEAM]"/>
            <x15:cachedUniqueName index="24" name="[Table2].[Marking Struktur].&amp;[CG30]"/>
            <x15:cachedUniqueName index="25" name="[Table2].[Marking Struktur].&amp;[36 DSR2-EW]"/>
            <x15:cachedUniqueName index="26" name="[Table2].[Marking Struktur].&amp;[45 TSR2 - EW]"/>
            <x15:cachedUniqueName index="27" name="[Table2].[Marking Struktur].&amp;[RAMP PANEL BAILEY]"/>
            <x15:cachedUniqueName index="28" name="[Table2].[Marking Struktur].&amp;[24 SSR-EW]"/>
            <x15:cachedUniqueName index="29" name="[Table2].[Marking Struktur].&amp;[27 DSR2-EW]"/>
            <x15:cachedUniqueName index="30" name="[Table2].[Marking Struktur].&amp;[39 DSR2H**-EW]"/>
            <x15:cachedUniqueName index="31" name="[Table2].[Marking Struktur].&amp;[GD14]"/>
            <x15:cachedUniqueName index="32" name="[Table2].[Marking Struktur].&amp;[GD16]"/>
            <x15:cachedUniqueName index="33" name="[Table2].[Marking Struktur].&amp;[GD18]"/>
            <x15:cachedUniqueName index="34" name="[Table2].[Marking Struktur].&amp;[GD20]"/>
            <x15:cachedUniqueName index="35" name="[Table2].[Marking Struktur].&amp;[BG25]"/>
            <x15:cachedUniqueName index="36" name="[Table2].[Marking Struktur].&amp;[KOMPONEN STRINGGER]"/>
            <x15:cachedUniqueName index="37" name="[Table2].[Marking Struktur].&amp;[WB BEAM]"/>
            <x15:cachedUniqueName index="38" name="[Table2].[Marking Struktur].&amp;[BG30]"/>
            <x15:cachedUniqueName index="39" name="[Table2].[Marking Struktur].&amp;[BG35]"/>
            <x15:cachedUniqueName index="40" name="[Table2].[Marking Struktur].&amp;[BG20]"/>
            <x15:cachedUniqueName index="41" name="[Table2].[Marking Struktur].&amp;[RB50]"/>
            <x15:cachedUniqueName index="42" name="[Table2].[Marking Struktur].&amp;[JG154]"/>
            <x15:cachedUniqueName index="43" name="[Table2].[Marking Struktur].&amp;[CG15_6 Line]"/>
            <x15:cachedUniqueName index="44" name="[Table2].[Marking Struktur].&amp;[GB30-ARCH]"/>
            <x15:cachedUniqueName index="45" name="[Table2].[Marking Struktur].&amp;[JG120]"/>
            <x15:cachedUniqueName index="46" name="[Table2].[Marking Struktur].&amp;[JG80]"/>
            <x15:cachedUniqueName index="47" name="[Table2].[Marking Struktur].&amp;[30 SSR-EW]"/>
            <x15:cachedUniqueName index="48" name="[Table2].[Marking Struktur].&amp;[RB60]"/>
            <x15:cachedUniqueName index="49" name="[Table2].[Marking Struktur].&amp;[SPECER MRT]"/>
            <x15:cachedUniqueName index="50" name="[Table2].[Marking Struktur].&amp;[SB35]"/>
            <x15:cachedUniqueName index="51" name="[Table2].[Marking Struktur].&amp;[CG12]"/>
            <x15:cachedUniqueName index="52" name="[Table2].[Marking Struktur].&amp;[JG360_TAHAP I]"/>
            <x15:cachedUniqueName index="53" name="[Table2].[Marking Struktur].&amp;[GB30]"/>
            <x15:cachedUniqueName index="54" name="[Table2].[Marking Struktur].&amp;[9 SSR-EW]"/>
            <x15:cachedUniqueName index="55" name="[Table2].[Marking Struktur].&amp;[JG150]"/>
            <x15:cachedUniqueName index="56" name="[Table2].[Marking Struktur].&amp;[6 SSR-SW]"/>
            <x15:cachedUniqueName index="57" name="[Table2].[Marking Struktur].&amp;[LRB]"/>
            <x15:cachedUniqueName index="58" name="[Table2].[Marking Struktur].&amp;[RB40]"/>
            <x15:cachedUniqueName index="59" name="[Table2].[Marking Struktur].&amp;[AG40]"/>
            <x15:cachedUniqueName index="60" name="[Table2].[Marking Struktur].&amp;[JPO-48]"/>
            <x15:cachedUniqueName index="61" name="[Table2].[Marking Struktur].&amp;[PERKUATAN]"/>
            <x15:cachedUniqueName index="62" name="[Table2].[Marking Struktur].&amp;[JG40_ASIMETRIS]"/>
            <x15:cachedUniqueName index="63" name="[Table2].[Marking Struktur].&amp;[Ex. England]"/>
            <x15:cachedUniqueName index="64" name="[Table2].[Marking Struktur].&amp;[RB30]"/>
            <x15:cachedUniqueName index="65" name="[Table2].[Marking Struktur].&amp;[JG100P]"/>
            <x15:cachedUniqueName index="66" name="[Table2].[Marking Struktur].&amp;[SPAN 11.87 M]"/>
            <x15:cachedUniqueName index="67" name="[Table2].[Marking Struktur].&amp;[SPAN 14.20 M]"/>
            <x15:cachedUniqueName index="68" name="[Table2].[Marking Struktur].&amp;[SPAN 22.82 M]"/>
            <x15:cachedUniqueName index="69" name="[Table2].[Marking Struktur].&amp;[TWR-H36]"/>
            <x15:cachedUniqueName index="70" name="[Table2].[Marking Struktur].&amp;[AG18.8]"/>
            <x15:cachedUniqueName index="71" name="[Table2].[Marking Struktur].&amp;[ATAP ASRAMA HAJI]"/>
            <x15:cachedUniqueName index="72" name="[Table2].[Marking Struktur].&amp;[18 SSR - EW (LANTAI KAYU)]"/>
            <x15:cachedUniqueName index="73" name="[Table2].[Marking Struktur].&amp;[24 SSR - EW (LANTAI KAYU)]"/>
            <x15:cachedUniqueName index="74" name="[Table2].[Marking Struktur].&amp;[RC45+15]"/>
            <x15:cachedUniqueName index="75" name="[Table2].[Marking Struktur].&amp;[C43]"/>
            <x15:cachedUniqueName index="76" name="[Table2].[Marking Struktur].&amp;[18 SSR - EW]"/>
            <x15:cachedUniqueName index="77" name="[Table2].[Marking Struktur].&amp;[KP]"/>
            <x15:cachedUniqueName index="78" name="[Table2].[Marking Struktur].&amp;[Komponen JG152]"/>
          </x15:cachedUniqueNames>
        </ext>
      </extLst>
    </cacheField>
    <cacheField name="[Measures].[Sum of Total Berat (Kg)]" caption="Sum of Total Berat (Kg)" numFmtId="0" hierarchy="92" level="32767"/>
    <cacheField name="[Measures].[ISSUE'S ]" caption="ISSUE'S " numFmtId="0" hierarchy="83" level="32767"/>
    <cacheField name="[Table2].[Status].[Status]" caption="Status" numFmtId="0" hierarchy="21" level="1">
      <sharedItems count="3">
        <s v="COMPLETED"/>
        <s v="RFD"/>
        <s v="ON GOING"/>
      </sharedItems>
      <extLst>
        <ext xmlns:x15="http://schemas.microsoft.com/office/spreadsheetml/2010/11/main" uri="{4F2E5C28-24EA-4eb8-9CBF-B6C8F9C3D259}">
          <x15:cachedUniqueNames>
            <x15:cachedUniqueName index="0" name="[Table2].[Status].&amp;[COMPLETED]"/>
            <x15:cachedUniqueName index="1" name="[Table2].[Status].&amp;[RFD]"/>
            <x15:cachedUniqueName index="2" name="[Table2].[Status].&amp;[ON GOING]"/>
          </x15:cachedUniqueNames>
        </ext>
      </extLst>
    </cacheField>
    <cacheField name="[Table2].[Progress].[Progress]" caption="Progress" numFmtId="0" hierarchy="23" level="1">
      <sharedItems containsSemiMixedTypes="0" containsString="0" containsNumber="1" minValue="0.1" maxValue="1" count="3">
        <n v="1"/>
        <n v="0.9"/>
        <n v="0.1"/>
      </sharedItems>
      <extLst>
        <ext xmlns:x15="http://schemas.microsoft.com/office/spreadsheetml/2010/11/main" uri="{4F2E5C28-24EA-4eb8-9CBF-B6C8F9C3D259}">
          <x15:cachedUniqueNames>
            <x15:cachedUniqueName index="0" name="[Table2].[Progress].&amp;[1.]"/>
            <x15:cachedUniqueName index="1" name="[Table2].[Progress].&amp;[9.E-1]"/>
            <x15:cachedUniqueName index="2" name="[Table2].[Progress].&amp;[1.E-1]"/>
          </x15:cachedUniqueNames>
        </ext>
      </extLst>
    </cacheField>
  </cacheFields>
  <cacheHierarchies count="104">
    <cacheHierarchy uniqueName="[BNW].[No.PON]" caption="No.PON" attribute="1" defaultMemberUniqueName="[BNW].[No.PON].[All]" allUniqueName="[BNW].[No.PON].[All]" dimensionUniqueName="[BNW]" displayFolder="" count="0" memberValueDatatype="130" unbalanced="0"/>
    <cacheHierarchy uniqueName="[BNW].[Type  Struktur]" caption="Type  Struktur" attribute="1" defaultMemberUniqueName="[BNW].[Type  Struktur].[All]" allUniqueName="[BNW].[Type  Struktur].[All]" dimensionUniqueName="[BNW]" displayFolder="" count="0" memberValueDatatype="130" unbalanced="0"/>
    <cacheHierarchy uniqueName="[BNW].[Marking Struktur]" caption="Marking Struktur" attribute="1" defaultMemberUniqueName="[BNW].[Marking Struktur].[All]" allUniqueName="[BNW].[Marking Struktur].[All]" dimensionUniqueName="[BNW]" displayFolder="" count="0" memberValueDatatype="130" unbalanced="0"/>
    <cacheHierarchy uniqueName="[BNW].[Dimensi]" caption="Dimensi" attribute="1" defaultMemberUniqueName="[BNW].[Dimensi].[All]" allUniqueName="[BNW].[Dimensi].[All]" dimensionUniqueName="[BNW]" displayFolder="" count="0" memberValueDatatype="130" unbalanced="0"/>
    <cacheHierarchy uniqueName="[BNW].[Spesifikasi]" caption="Spesifikasi" attribute="1" defaultMemberUniqueName="[BNW].[Spesifikasi].[All]" allUniqueName="[BNW].[Spesifikasi].[All]" dimensionUniqueName="[BNW]" displayFolder="" count="0" memberValueDatatype="130" unbalanced="0"/>
    <cacheHierarchy uniqueName="[BNW].[Grade]" caption="Grade" attribute="1" defaultMemberUniqueName="[BNW].[Grade].[All]" allUniqueName="[BNW].[Grade].[All]" dimensionUniqueName="[BNW]" displayFolder="" count="0" memberValueDatatype="130" unbalanced="0"/>
    <cacheHierarchy uniqueName="[BNW].[Qty (Set)]" caption="Qty (Set)" attribute="1" defaultMemberUniqueName="[BNW].[Qty (Set)].[All]" allUniqueName="[BNW].[Qty (Set)].[All]" dimensionUniqueName="[BNW]" displayFolder="" count="0" memberValueDatatype="20" unbalanced="0"/>
    <cacheHierarchy uniqueName="[BNW].[Berat Satuan (Kg)]" caption="Berat Satuan (Kg)" attribute="1" defaultMemberUniqueName="[BNW].[Berat Satuan (Kg)].[All]" allUniqueName="[BNW].[Berat Satuan (Kg)].[All]" dimensionUniqueName="[BNW]" displayFolder="" count="0" memberValueDatatype="5" unbalanced="0"/>
    <cacheHierarchy uniqueName="[BNW].[Total Berat Baut (Kg)]" caption="Total Berat Baut (Kg)" attribute="1" defaultMemberUniqueName="[BNW].[Total Berat Baut (Kg)].[All]" allUniqueName="[BNW].[Total Berat Baut (Kg)].[All]" dimensionUniqueName="[BNW]" displayFolder="" count="0" memberValueDatatype="5" unbalanced="0"/>
    <cacheHierarchy uniqueName="[BNW].[Vendor]" caption="Vendor" attribute="1" defaultMemberUniqueName="[BNW].[Vendor].[All]" allUniqueName="[BNW].[Vendor].[All]" dimensionUniqueName="[BNW]" displayFolder="" count="0" memberValueDatatype="130" unbalanced="0"/>
    <cacheHierarchy uniqueName="[BNW].[Date Release]" caption="Date Release" attribute="1" time="1" defaultMemberUniqueName="[BNW].[Date Release].[All]" allUniqueName="[BNW].[Date Release].[All]" dimensionUniqueName="[BNW]" displayFolder="" count="0" memberValueDatatype="7" unbalanced="0"/>
    <cacheHierarchy uniqueName="[BNW].[Keterangan]" caption="Keterangan" attribute="1" defaultMemberUniqueName="[BNW].[Keterangan].[All]" allUniqueName="[BNW].[Keterangan].[All]" dimensionUniqueName="[BNW]" displayFolder="" count="0" memberValueDatatype="130" unbalanced="0"/>
    <cacheHierarchy uniqueName="[BNW].[Status]" caption="Status" attribute="1" defaultMemberUniqueName="[BNW].[Status].[All]" allUniqueName="[BNW].[Status].[All]" dimensionUniqueName="[BNW]" displayFolder="" count="0" memberValueDatatype="20" unbalanced="0"/>
    <cacheHierarchy uniqueName="[Table2].[NO. PON]" caption="NO. PON" attribute="1" defaultMemberUniqueName="[Table2].[NO. PON].[All]" allUniqueName="[Table2].[NO. PON].[All]" dimensionUniqueName="[Table2]" displayFolder="" count="2" memberValueDatatype="130" unbalanced="0">
      <fieldsUsage count="2">
        <fieldUsage x="-1"/>
        <fieldUsage x="0"/>
      </fieldsUsage>
    </cacheHierarchy>
    <cacheHierarchy uniqueName="[Table2].[Type  Struktur]" caption="Type  Struktur" attribute="1" defaultMemberUniqueName="[Table2].[Type  Struktur].[All]" allUniqueName="[Table2].[Type  Struktur].[All]" dimensionUniqueName="[Table2]" displayFolder="" count="2" memberValueDatatype="130" unbalanced="0">
      <fieldsUsage count="2">
        <fieldUsage x="-1"/>
        <fieldUsage x="1"/>
      </fieldsUsage>
    </cacheHierarchy>
    <cacheHierarchy uniqueName="[Table2].[Qty (Unit)]" caption="Qty (Unit)" attribute="1" defaultMemberUniqueName="[Table2].[Qty (Unit)].[All]" allUniqueName="[Table2].[Qty (Unit)].[All]" dimensionUniqueName="[Table2]" displayFolder="" count="2" memberValueDatatype="20" unbalanced="0">
      <fieldsUsage count="2">
        <fieldUsage x="-1"/>
        <fieldUsage x="2"/>
      </fieldsUsage>
    </cacheHierarchy>
    <cacheHierarchy uniqueName="[Table2].[Marking Struktur]" caption="Marking Struktur" attribute="1" defaultMemberUniqueName="[Table2].[Marking Struktur].[All]" allUniqueName="[Table2].[Marking Struktur].[All]" dimensionUniqueName="[Table2]" displayFolder="" count="2" memberValueDatatype="130" unbalanced="0">
      <fieldsUsage count="2">
        <fieldUsage x="-1"/>
        <fieldUsage x="3"/>
      </fieldsUsage>
    </cacheHierarchy>
    <cacheHierarchy uniqueName="[Table2].[Deskripsi  Pekerjaan]" caption="Deskripsi  Pekerjaan" attribute="1" defaultMemberUniqueName="[Table2].[Deskripsi  Pekerjaan].[All]" allUniqueName="[Table2].[Deskripsi  Pekerjaan].[All]" dimensionUniqueName="[Table2]" displayFolder="" count="0" memberValueDatatype="130" unbalanced="0"/>
    <cacheHierarchy uniqueName="[Table2].[Client]" caption="Client" attribute="1" defaultMemberUniqueName="[Table2].[Client].[All]" allUniqueName="[Table2].[Client].[All]" dimensionUniqueName="[Table2]" displayFolder="" count="0" memberValueDatatype="130" unbalanced="0"/>
    <cacheHierarchy uniqueName="[Table2].[Daerah]" caption="Daerah" attribute="1" defaultMemberUniqueName="[Table2].[Daerah].[All]" allUniqueName="[Table2].[Daerah].[All]" dimensionUniqueName="[Table2]" displayFolder="" count="0" memberValueDatatype="130" unbalanced="0"/>
    <cacheHierarchy uniqueName="[Table2].[Total Berat (Kg)]" caption="Total Berat (Kg)" attribute="1" defaultMemberUniqueName="[Table2].[Total Berat (Kg)].[All]" allUniqueName="[Table2].[Total Berat (Kg)].[All]" dimensionUniqueName="[Table2]" displayFolder="" count="0" memberValueDatatype="5" unbalanced="0"/>
    <cacheHierarchy uniqueName="[Table2].[Status]" caption="Status" attribute="1" defaultMemberUniqueName="[Table2].[Status].[All]" allUniqueName="[Table2].[Status].[All]" dimensionUniqueName="[Table2]" displayFolder="" count="2" memberValueDatatype="130" unbalanced="0">
      <fieldsUsage count="2">
        <fieldUsage x="-1"/>
        <fieldUsage x="6"/>
      </fieldsUsage>
    </cacheHierarchy>
    <cacheHierarchy uniqueName="[Table2].[Marketing]" caption="Marketing" attribute="1" defaultMemberUniqueName="[Table2].[Marketing].[All]" allUniqueName="[Table2].[Marketing].[All]" dimensionUniqueName="[Table2]" displayFolder="" count="0" memberValueDatatype="130" unbalanced="0"/>
    <cacheHierarchy uniqueName="[Table2].[Progress]" caption="Progress" attribute="1" defaultMemberUniqueName="[Table2].[Progress].[All]" allUniqueName="[Table2].[Progress].[All]" dimensionUniqueName="[Table2]" displayFolder="" count="2" memberValueDatatype="5" unbalanced="0">
      <fieldsUsage count="2">
        <fieldUsage x="-1"/>
        <fieldUsage x="7"/>
      </fieldsUsage>
    </cacheHierarchy>
    <cacheHierarchy uniqueName="[Table2].[Issue]" caption="Issue" attribute="1" defaultMemberUniqueName="[Table2].[Issue].[All]" allUniqueName="[Table2].[Issue].[All]" dimensionUniqueName="[Table2]" displayFolder="" count="0" memberValueDatatype="130" unbalanced="0"/>
    <cacheHierarchy uniqueName="[Table2].[SUPPLY LIST]" caption="SUPPLY LIST" attribute="1" defaultMemberUniqueName="[Table2].[SUPPLY LIST].[All]" allUniqueName="[Table2].[SUPPLY LIST].[All]" dimensionUniqueName="[Table2]" displayFolder="" count="0" memberValueDatatype="5" unbalanced="0"/>
    <cacheHierarchy uniqueName="[Table2].[Date PON]" caption="Date PON" attribute="1" defaultMemberUniqueName="[Table2].[Date PON].[All]" allUniqueName="[Table2].[Date PON].[All]" dimensionUniqueName="[Table2]" displayFolder="" count="0" memberValueDatatype="130" unbalanced="0"/>
    <cacheHierarchy uniqueName="[Table2].[Date Finish]" caption="Date Finish" attribute="1" defaultMemberUniqueName="[Table2].[Date Finish].[All]" allUniqueName="[Table2].[Date Finish].[All]" dimensionUniqueName="[Table2]" displayFolder="" count="0" memberValueDatatype="130" unbalanced="0"/>
    <cacheHierarchy uniqueName="[Table2].[Column1]" caption="Column1" attribute="1" defaultMemberUniqueName="[Table2].[Column1].[All]" allUniqueName="[Table2].[Column1].[All]" dimensionUniqueName="[Table2]" displayFolder="" count="0" memberValueDatatype="130" unbalanced="0"/>
    <cacheHierarchy uniqueName="[Table2].[Date Aktual Finish]" caption="Date Aktual Finish" attribute="1" defaultMemberUniqueName="[Table2].[Date Aktual Finish].[All]" allUniqueName="[Table2].[Date Aktual Finish].[All]" dimensionUniqueName="[Table2]" displayFolder="" count="0" memberValueDatatype="130" unbalanced="0"/>
    <cacheHierarchy uniqueName="[Table2].[Finish Fabrikasi]" caption="Finish Fabrikasi" attribute="1" time="1" defaultMemberUniqueName="[Table2].[Finish Fabrikasi].[All]" allUniqueName="[Table2].[Finish Fabrikasi].[All]" dimensionUniqueName="[Table2]" displayFolder="" count="0" memberValueDatatype="7" unbalanced="0"/>
    <cacheHierarchy uniqueName="[Table2].[Date Aktual Delivery to Site]" caption="Date Aktual Delivery to Site" attribute="1" defaultMemberUniqueName="[Table2].[Date Aktual Delivery to Site].[All]" allUniqueName="[Table2].[Date Aktual Delivery to Site].[All]" dimensionUniqueName="[Table2]" displayFolder="" count="0" memberValueDatatype="130" unbalanced="0"/>
    <cacheHierarchy uniqueName="[Table2].[REMINDER]" caption="REMINDER" attribute="1" defaultMemberUniqueName="[Table2].[REMINDER].[All]" allUniqueName="[Table2].[REMINDER].[All]" dimensionUniqueName="[Table2]" displayFolder="" count="0" memberValueDatatype="130" unbalanced="0"/>
    <cacheHierarchy uniqueName="[Table2].[Keterangan]" caption="Keterangan" attribute="1" defaultMemberUniqueName="[Table2].[Keterangan].[All]" allUniqueName="[Table2].[Keterangan].[All]" dimensionUniqueName="[Table2]" displayFolder="" count="0" memberValueDatatype="130" unbalanced="0"/>
    <cacheHierarchy uniqueName="[Table2].[TAHUN]" caption="TAHUN" attribute="1" defaultMemberUniqueName="[Table2].[TAHUN].[All]" allUniqueName="[Table2].[TAHUN].[All]" dimensionUniqueName="[Table2]" displayFolder="" count="0" memberValueDatatype="20" unbalanced="0"/>
    <cacheHierarchy uniqueName="[Table3].[No.]" caption="No." attribute="1" defaultMemberUniqueName="[Table3].[No.].[All]" allUniqueName="[Table3].[No.].[All]" dimensionUniqueName="[Table3]" displayFolder="" count="0" memberValueDatatype="20" unbalanced="0"/>
    <cacheHierarchy uniqueName="[Table3].[No.PON]" caption="No.PON" attribute="1" defaultMemberUniqueName="[Table3].[No.PON].[All]" allUniqueName="[Table3].[No.PON].[All]" dimensionUniqueName="[Table3]" displayFolder="" count="0" memberValueDatatype="130" unbalanced="0"/>
    <cacheHierarchy uniqueName="[Table3].[Vendor]" caption="Vendor" attribute="1" defaultMemberUniqueName="[Table3].[Vendor].[All]" allUniqueName="[Table3].[Vendor].[All]" dimensionUniqueName="[Table3]" displayFolder="" count="0" memberValueDatatype="130" unbalanced="0"/>
    <cacheHierarchy uniqueName="[Table3].[Type  Struktur]" caption="Type  Struktur" attribute="1" defaultMemberUniqueName="[Table3].[Type  Struktur].[All]" allUniqueName="[Table3].[Type  Struktur].[All]" dimensionUniqueName="[Table3]" displayFolder="" count="0" memberValueDatatype="130" unbalanced="0"/>
    <cacheHierarchy uniqueName="[Table3].[Marking Struktur]" caption="Marking Struktur" attribute="1" defaultMemberUniqueName="[Table3].[Marking Struktur].[All]" allUniqueName="[Table3].[Marking Struktur].[All]" dimensionUniqueName="[Table3]" displayFolder="" count="0" memberValueDatatype="130" unbalanced="0"/>
    <cacheHierarchy uniqueName="[Table3].[Berat Fabrikasi]" caption="Berat Fabrikasi" attribute="1" defaultMemberUniqueName="[Table3].[Berat Fabrikasi].[All]" allUniqueName="[Table3].[Berat Fabrikasi].[All]" dimensionUniqueName="[Table3]" displayFolder="" count="0" memberValueDatatype="5" unbalanced="0"/>
    <cacheHierarchy uniqueName="[Table3].[Date Release SD]" caption="Date Release SD" attribute="1" defaultMemberUniqueName="[Table3].[Date Release SD].[All]" allUniqueName="[Table3].[Date Release SD].[All]" dimensionUniqueName="[Table3]" displayFolder="" count="0" memberValueDatatype="130" unbalanced="0"/>
    <cacheHierarchy uniqueName="[Table3].[Date Start  PON]" caption="Date Start  PON" attribute="1" defaultMemberUniqueName="[Table3].[Date Start  PON].[All]" allUniqueName="[Table3].[Date Start  PON].[All]" dimensionUniqueName="[Table3]" displayFolder="" count="0" memberValueDatatype="130" unbalanced="0"/>
    <cacheHierarchy uniqueName="[Table3].[Date Finish  PON]" caption="Date Finish  PON" attribute="1" defaultMemberUniqueName="[Table3].[Date Finish  PON].[All]" allUniqueName="[Table3].[Date Finish  PON].[All]" dimensionUniqueName="[Table3]" displayFolder="" count="0" memberValueDatatype="130" unbalanced="0"/>
    <cacheHierarchy uniqueName="[Table3].[Date Finish  Aktual]" caption="Date Finish  Aktual" attribute="1" time="1" defaultMemberUniqueName="[Table3].[Date Finish  Aktual].[All]" allUniqueName="[Table3].[Date Finish  Aktual].[All]" dimensionUniqueName="[Table3]" displayFolder="" count="0" memberValueDatatype="7" unbalanced="0"/>
    <cacheHierarchy uniqueName="[Table3].[Progress (%)]" caption="Progress (%)" attribute="1" defaultMemberUniqueName="[Table3].[Progress (%)].[All]" allUniqueName="[Table3].[Progress (%)].[All]" dimensionUniqueName="[Table3]" displayFolder="" count="0" memberValueDatatype="130" unbalanced="0"/>
    <cacheHierarchy uniqueName="[Table3].[ISSUE]" caption="ISSUE" attribute="1" defaultMemberUniqueName="[Table3].[ISSUE].[All]" allUniqueName="[Table3].[ISSUE].[All]" dimensionUniqueName="[Table3]" displayFolder="" count="0" memberValueDatatype="130" unbalanced="0"/>
    <cacheHierarchy uniqueName="[Table3].[STATUS]" caption="STATUS" attribute="1" defaultMemberUniqueName="[Table3].[STATUS].[All]" allUniqueName="[Table3].[STATUS].[All]" dimensionUniqueName="[Table3]" displayFolder="" count="0" memberValueDatatype="130" unbalanced="0"/>
    <cacheHierarchy uniqueName="[Table3].[Keterangan]" caption="Keterangan" attribute="1" defaultMemberUniqueName="[Table3].[Keterangan].[All]" allUniqueName="[Table3].[Keterangan].[All]" dimensionUniqueName="[Table3]" displayFolder="" count="0" memberValueDatatype="130" unbalanced="0"/>
    <cacheHierarchy uniqueName="[Table328].[No.PON]" caption="No.PON" attribute="1" defaultMemberUniqueName="[Table328].[No.PON].[All]" allUniqueName="[Table328].[No.PON].[All]" dimensionUniqueName="[Table328]" displayFolder="" count="0" memberValueDatatype="130" unbalanced="0"/>
    <cacheHierarchy uniqueName="[Table328].[Type  Struktur]" caption="Type  Struktur" attribute="1" defaultMemberUniqueName="[Table328].[Type  Struktur].[All]" allUniqueName="[Table328].[Type  Struktur].[All]" dimensionUniqueName="[Table328]" displayFolder="" count="0" memberValueDatatype="130" unbalanced="0"/>
    <cacheHierarchy uniqueName="[Table328].[Marking Struktur]" caption="Marking Struktur" attribute="1" defaultMemberUniqueName="[Table328].[Marking Struktur].[All]" allUniqueName="[Table328].[Marking Struktur].[All]" dimensionUniqueName="[Table328]" displayFolder="" count="0" memberValueDatatype="130" unbalanced="0"/>
    <cacheHierarchy uniqueName="[Table328].[Deskripsi Consumable]" caption="Deskripsi Consumable" attribute="1" defaultMemberUniqueName="[Table328].[Deskripsi Consumable].[All]" allUniqueName="[Table328].[Deskripsi Consumable].[All]" dimensionUniqueName="[Table328]" displayFolder="" count="0" memberValueDatatype="130" unbalanced="0"/>
    <cacheHierarchy uniqueName="[Table328].[Harga Satuan (Rp)]" caption="Harga Satuan (Rp)" attribute="1" defaultMemberUniqueName="[Table328].[Harga Satuan (Rp)].[All]" allUniqueName="[Table328].[Harga Satuan (Rp)].[All]" dimensionUniqueName="[Table328]" displayFolder="" count="0" memberValueDatatype="20" unbalanced="0"/>
    <cacheHierarchy uniqueName="[Table328].[Qty (pcs)]" caption="Qty (pcs)" attribute="1" defaultMemberUniqueName="[Table328].[Qty (pcs)].[All]" allUniqueName="[Table328].[Qty (pcs)].[All]" dimensionUniqueName="[Table328]" displayFolder="" count="0" memberValueDatatype="20" unbalanced="0"/>
    <cacheHierarchy uniqueName="[Table328].[Total Belanja]" caption="Total Belanja" attribute="1" defaultMemberUniqueName="[Table328].[Total Belanja].[All]" allUniqueName="[Table328].[Total Belanja].[All]" dimensionUniqueName="[Table328]" displayFolder="" count="0" memberValueDatatype="20" unbalanced="0"/>
    <cacheHierarchy uniqueName="[Table328].[Tanggal  Pengajuan]" caption="Tanggal  Pengajuan" attribute="1" time="1" defaultMemberUniqueName="[Table328].[Tanggal  Pengajuan].[All]" allUniqueName="[Table328].[Tanggal  Pengajuan].[All]" dimensionUniqueName="[Table328]" displayFolder="" count="0" memberValueDatatype="7" unbalanced="0"/>
    <cacheHierarchy uniqueName="[Table328].[KETERANGAN]" caption="KETERANGAN" attribute="1" defaultMemberUniqueName="[Table328].[KETERANGAN].[All]" allUniqueName="[Table328].[KETERANGAN].[All]" dimensionUniqueName="[Table328]" displayFolder="" count="0" memberValueDatatype="130" unbalanced="0"/>
    <cacheHierarchy uniqueName="[Table328].[Date Finish  Aktual]" caption="Date Finish  Aktual" attribute="1" defaultMemberUniqueName="[Table328].[Date Finish  Aktual].[All]" allUniqueName="[Table328].[Date Finish  Aktual].[All]" dimensionUniqueName="[Table328]" displayFolder="" count="0" memberValueDatatype="130" unbalanced="0"/>
    <cacheHierarchy uniqueName="[Table328].[Keterangan2]" caption="Keterangan2" attribute="1" defaultMemberUniqueName="[Table328].[Keterangan2].[All]" allUniqueName="[Table328].[Keterangan2].[All]" dimensionUniqueName="[Table328]" displayFolder="" count="0" memberValueDatatype="130" unbalanced="0"/>
    <cacheHierarchy uniqueName="[Table4].[No.]" caption="No." attribute="1" defaultMemberUniqueName="[Table4].[No.].[All]" allUniqueName="[Table4].[No.].[All]" dimensionUniqueName="[Table4]" displayFolder="" count="0" memberValueDatatype="20" unbalanced="0"/>
    <cacheHierarchy uniqueName="[Table4].[No.PON]" caption="No.PON" attribute="1" defaultMemberUniqueName="[Table4].[No.PON].[All]" allUniqueName="[Table4].[No.PON].[All]" dimensionUniqueName="[Table4]" displayFolder="" count="0" memberValueDatatype="130" unbalanced="0"/>
    <cacheHierarchy uniqueName="[Table4].[Type  Struktur]" caption="Type  Struktur" attribute="1" defaultMemberUniqueName="[Table4].[Type  Struktur].[All]" allUniqueName="[Table4].[Type  Struktur].[All]" dimensionUniqueName="[Table4]" displayFolder="" count="0" memberValueDatatype="130" unbalanced="0"/>
    <cacheHierarchy uniqueName="[Table4].[Marking Struktur]" caption="Marking Struktur" attribute="1" defaultMemberUniqueName="[Table4].[Marking Struktur].[All]" allUniqueName="[Table4].[Marking Struktur].[All]" dimensionUniqueName="[Table4]" displayFolder="" count="0" memberValueDatatype="130" unbalanced="0"/>
    <cacheHierarchy uniqueName="[Table4].[Date Issue]" caption="Date Issue" attribute="1" time="1" defaultMemberUniqueName="[Table4].[Date Issue].[All]" allUniqueName="[Table4].[Date Issue].[All]" dimensionUniqueName="[Table4]" displayFolder="" count="0" memberValueDatatype="7" unbalanced="0"/>
    <cacheHierarchy uniqueName="[Table4].[ISSUE]" caption="ISSUE" attribute="1" defaultMemberUniqueName="[Table4].[ISSUE].[All]" allUniqueName="[Table4].[ISSUE].[All]" dimensionUniqueName="[Table4]" displayFolder="" count="0" memberValueDatatype="130" unbalanced="0"/>
    <cacheHierarchy uniqueName="[Table5].[No.]" caption="No." attribute="1" defaultMemberUniqueName="[Table5].[No.].[All]" allUniqueName="[Table5].[No.].[All]" dimensionUniqueName="[Table5]" displayFolder="" count="0" memberValueDatatype="20" unbalanced="0"/>
    <cacheHierarchy uniqueName="[Table5].[No.PON]" caption="No.PON" attribute="1" defaultMemberUniqueName="[Table5].[No.PON].[All]" allUniqueName="[Table5].[No.PON].[All]" dimensionUniqueName="[Table5]" displayFolder="" count="0" memberValueDatatype="130" unbalanced="0"/>
    <cacheHierarchy uniqueName="[Table5].[Type  Struktur]" caption="Type  Struktur" attribute="1" defaultMemberUniqueName="[Table5].[Type  Struktur].[All]" allUniqueName="[Table5].[Type  Struktur].[All]" dimensionUniqueName="[Table5]" displayFolder="" count="0" memberValueDatatype="130" unbalanced="0"/>
    <cacheHierarchy uniqueName="[Table5].[Marking Struktur]" caption="Marking Struktur" attribute="1" defaultMemberUniqueName="[Table5].[Marking Struktur].[All]" allUniqueName="[Table5].[Marking Struktur].[All]" dimensionUniqueName="[Table5]" displayFolder="" count="0" memberValueDatatype="130" unbalanced="0"/>
    <cacheHierarchy uniqueName="[Table5].[Vendor]" caption="Vendor" attribute="1" defaultMemberUniqueName="[Table5].[Vendor].[All]" allUniqueName="[Table5].[Vendor].[All]" dimensionUniqueName="[Table5]" displayFolder="" count="0" memberValueDatatype="130" unbalanced="0"/>
    <cacheHierarchy uniqueName="[Table5].[No. PO]" caption="No. PO" attribute="1" defaultMemberUniqueName="[Table5].[No. PO].[All]" allUniqueName="[Table5].[No. PO].[All]" dimensionUniqueName="[Table5]" displayFolder="" count="0" memberValueDatatype="130" unbalanced="0"/>
    <cacheHierarchy uniqueName="[Table5].[Purchase]" caption="Purchase" attribute="1" defaultMemberUniqueName="[Table5].[Purchase].[All]" allUniqueName="[Table5].[Purchase].[All]" dimensionUniqueName="[Table5]" displayFolder="" count="0" memberValueDatatype="130" unbalanced="0"/>
    <cacheHierarchy uniqueName="[Table5].[Marking Aksesories]" caption="Marking Aksesories" attribute="1" defaultMemberUniqueName="[Table5].[Marking Aksesories].[All]" allUniqueName="[Table5].[Marking Aksesories].[All]" dimensionUniqueName="[Table5]" displayFolder="" count="0" memberValueDatatype="130" unbalanced="0"/>
    <cacheHierarchy uniqueName="[Table5].[Dimensi/Ukuran]" caption="Dimensi/Ukuran" attribute="1" defaultMemberUniqueName="[Table5].[Dimensi/Ukuran].[All]" allUniqueName="[Table5].[Dimensi/Ukuran].[All]" dimensionUniqueName="[Table5]" displayFolder="" count="0" memberValueDatatype="130" unbalanced="0"/>
    <cacheHierarchy uniqueName="[Table5].[Qty (pcs)]" caption="Qty (pcs)" attribute="1" defaultMemberUniqueName="[Table5].[Qty (pcs)].[All]" allUniqueName="[Table5].[Qty (pcs)].[All]" dimensionUniqueName="[Table5]" displayFolder="" count="0" memberValueDatatype="20" unbalanced="0"/>
    <cacheHierarchy uniqueName="[Table5].[Unit (Set)]" caption="Unit (Set)" attribute="1" defaultMemberUniqueName="[Table5].[Unit (Set)].[All]" allUniqueName="[Table5].[Unit (Set)].[All]" dimensionUniqueName="[Table5]" displayFolder="" count="0" memberValueDatatype="20" unbalanced="0"/>
    <cacheHierarchy uniqueName="[Table5].[Total  (pcs)]" caption="Total  (pcs)" attribute="1" defaultMemberUniqueName="[Table5].[Total  (pcs)].[All]" allUniqueName="[Table5].[Total  (pcs)].[All]" dimensionUniqueName="[Table5]" displayFolder="" count="0" memberValueDatatype="20" unbalanced="0"/>
    <cacheHierarchy uniqueName="[Table5].[Berat/pcs (Kg)]" caption="Berat/pcs (Kg)" attribute="1" defaultMemberUniqueName="[Table5].[Berat/pcs (Kg)].[All]" allUniqueName="[Table5].[Berat/pcs (Kg)].[All]" dimensionUniqueName="[Table5]" displayFolder="" count="0" memberValueDatatype="5" unbalanced="0"/>
    <cacheHierarchy uniqueName="[Table5].[Total Berat (Kg)]" caption="Total Berat (Kg)" attribute="1" defaultMemberUniqueName="[Table5].[Total Berat (Kg)].[All]" allUniqueName="[Table5].[Total Berat (Kg)].[All]" dimensionUniqueName="[Table5]" displayFolder="" count="0" memberValueDatatype="5" unbalanced="0"/>
    <cacheHierarchy uniqueName="[Table5].[Sent to Purchase]" caption="Sent to Purchase" attribute="1" defaultMemberUniqueName="[Table5].[Sent to Purchase].[All]" allUniqueName="[Table5].[Sent to Purchase].[All]" dimensionUniqueName="[Table5]" displayFolder="" count="0" memberValueDatatype="130" unbalanced="0"/>
    <cacheHierarchy uniqueName="[Table5].[Status data dikirim]" caption="Status data dikirim" attribute="1" defaultMemberUniqueName="[Table5].[Status data dikirim].[All]" allUniqueName="[Table5].[Status data dikirim].[All]" dimensionUniqueName="[Table5]" displayFolder="" count="0" memberValueDatatype="130" unbalanced="0"/>
    <cacheHierarchy uniqueName="[Table5].[Keterangan]" caption="Keterangan" attribute="1" defaultMemberUniqueName="[Table5].[Keterangan].[All]" allUniqueName="[Table5].[Keterangan].[All]" dimensionUniqueName="[Table5]" displayFolder="" count="0" memberValueDatatype="130" unbalanced="0"/>
    <cacheHierarchy uniqueName="[Measures].[ISSUE'S ]" caption="ISSUE'S " measure="1" displayFolder="" measureGroup="Table2" count="0" oneField="1">
      <fieldsUsage count="1">
        <fieldUsage x="5"/>
      </fieldsUsage>
    </cacheHierarchy>
    <cacheHierarchy uniqueName="[Measures].[__XL_Count Table4]" caption="__XL_Count Table4" measure="1" displayFolder="" measureGroup="Table4" count="0" hidden="1"/>
    <cacheHierarchy uniqueName="[Measures].[__XL_Count Table2]" caption="__XL_Count Table2" measure="1" displayFolder="" measureGroup="Table2" count="0" hidden="1"/>
    <cacheHierarchy uniqueName="[Measures].[__XL_Count Table3]" caption="__XL_Count Table3" measure="1" displayFolder="" measureGroup="Table3" count="0" hidden="1"/>
    <cacheHierarchy uniqueName="[Measures].[__XL_Count Table5]" caption="__XL_Count Table5" measure="1" displayFolder="" measureGroup="Table5" count="0" hidden="1"/>
    <cacheHierarchy uniqueName="[Measures].[__XL_Count BNW]" caption="__XL_Count BNW" measure="1" displayFolder="" measureGroup="BNW" count="0" hidden="1"/>
    <cacheHierarchy uniqueName="[Measures].[__XL_Count Table328]" caption="__XL_Count Table328" measure="1" displayFolder="" measureGroup="Table328" count="0" hidden="1"/>
    <cacheHierarchy uniqueName="[Measures].[__No measures defined]" caption="__No measures defined" measure="1" displayFolder="" count="0" hidden="1"/>
    <cacheHierarchy uniqueName="[Measures].[Sum of Qty (Unit)]" caption="Sum of Qty (Unit)" measure="1" displayFolder="" measureGroup="Table2" count="0" hidden="1">
      <extLst>
        <ext xmlns:x15="http://schemas.microsoft.com/office/spreadsheetml/2010/11/main" uri="{B97F6D7D-B522-45F9-BDA1-12C45D357490}">
          <x15:cacheHierarchy aggregatedColumn="15"/>
        </ext>
      </extLst>
    </cacheHierarchy>
    <cacheHierarchy uniqueName="[Measures].[Sum of Total Berat (Kg)]" caption="Sum of Total Berat (Kg)" measure="1" displayFolder="" measureGroup="Table2" count="0" oneField="1" hidden="1">
      <fieldsUsage count="1">
        <fieldUsage x="4"/>
      </fieldsUsage>
      <extLst>
        <ext xmlns:x15="http://schemas.microsoft.com/office/spreadsheetml/2010/11/main" uri="{B97F6D7D-B522-45F9-BDA1-12C45D357490}">
          <x15:cacheHierarchy aggregatedColumn="20"/>
        </ext>
      </extLst>
    </cacheHierarchy>
    <cacheHierarchy uniqueName="[Measures].[Count of Status]" caption="Count of Status" measure="1" displayFolder="" measureGroup="Table2" count="0" hidden="1">
      <extLst>
        <ext xmlns:x15="http://schemas.microsoft.com/office/spreadsheetml/2010/11/main" uri="{B97F6D7D-B522-45F9-BDA1-12C45D357490}">
          <x15:cacheHierarchy aggregatedColumn="21"/>
        </ext>
      </extLst>
    </cacheHierarchy>
    <cacheHierarchy uniqueName="[Measures].[Sum of Unit (Set)]" caption="Sum of Unit (Set)" measure="1" displayFolder="" measureGroup="Table5" count="0" hidden="1">
      <extLst>
        <ext xmlns:x15="http://schemas.microsoft.com/office/spreadsheetml/2010/11/main" uri="{B97F6D7D-B522-45F9-BDA1-12C45D357490}">
          <x15:cacheHierarchy aggregatedColumn="76"/>
        </ext>
      </extLst>
    </cacheHierarchy>
    <cacheHierarchy uniqueName="[Measures].[Sum of Berat/pcs (Kg)]" caption="Sum of Berat/pcs (Kg)" measure="1" displayFolder="" measureGroup="Table5" count="0" hidden="1">
      <extLst>
        <ext xmlns:x15="http://schemas.microsoft.com/office/spreadsheetml/2010/11/main" uri="{B97F6D7D-B522-45F9-BDA1-12C45D357490}">
          <x15:cacheHierarchy aggregatedColumn="78"/>
        </ext>
      </extLst>
    </cacheHierarchy>
    <cacheHierarchy uniqueName="[Measures].[Count of Marking Aksesories]" caption="Count of Marking Aksesories" measure="1" displayFolder="" measureGroup="Table5" count="0" hidden="1">
      <extLst>
        <ext xmlns:x15="http://schemas.microsoft.com/office/spreadsheetml/2010/11/main" uri="{B97F6D7D-B522-45F9-BDA1-12C45D357490}">
          <x15:cacheHierarchy aggregatedColumn="73"/>
        </ext>
      </extLst>
    </cacheHierarchy>
    <cacheHierarchy uniqueName="[Measures].[Count of NO. PON]" caption="Count of NO. PON" measure="1" displayFolder="" measureGroup="Table2" count="0" hidden="1">
      <extLst>
        <ext xmlns:x15="http://schemas.microsoft.com/office/spreadsheetml/2010/11/main" uri="{B97F6D7D-B522-45F9-BDA1-12C45D357490}">
          <x15:cacheHierarchy aggregatedColumn="13"/>
        </ext>
      </extLst>
    </cacheHierarchy>
    <cacheHierarchy uniqueName="[Measures].[Count of Type  Struktur]" caption="Count of Type  Struktur" measure="1" displayFolder="" measureGroup="Table2" count="0" hidden="1">
      <extLst>
        <ext xmlns:x15="http://schemas.microsoft.com/office/spreadsheetml/2010/11/main" uri="{B97F6D7D-B522-45F9-BDA1-12C45D357490}">
          <x15:cacheHierarchy aggregatedColumn="14"/>
        </ext>
      </extLst>
    </cacheHierarchy>
    <cacheHierarchy uniqueName="[Measures].[Count of Deskripsi  Pekerjaan]" caption="Count of Deskripsi  Pekerjaan" measure="1" displayFolder="" measureGroup="Table2" count="0" hidden="1">
      <extLst>
        <ext xmlns:x15="http://schemas.microsoft.com/office/spreadsheetml/2010/11/main" uri="{B97F6D7D-B522-45F9-BDA1-12C45D357490}">
          <x15:cacheHierarchy aggregatedColumn="17"/>
        </ext>
      </extLst>
    </cacheHierarchy>
    <cacheHierarchy uniqueName="[Measures].[Count of Client]" caption="Count of Client" measure="1" displayFolder="" measureGroup="Table2" count="0" hidden="1">
      <extLst>
        <ext xmlns:x15="http://schemas.microsoft.com/office/spreadsheetml/2010/11/main" uri="{B97F6D7D-B522-45F9-BDA1-12C45D357490}">
          <x15:cacheHierarchy aggregatedColumn="18"/>
        </ext>
      </extLst>
    </cacheHierarchy>
    <cacheHierarchy uniqueName="[Measures].[Count of Marking Struktur]" caption="Count of Marking Struktur" measure="1" displayFolder="" measureGroup="Table2" count="0" hidden="1">
      <extLst>
        <ext xmlns:x15="http://schemas.microsoft.com/office/spreadsheetml/2010/11/main" uri="{B97F6D7D-B522-45F9-BDA1-12C45D357490}">
          <x15:cacheHierarchy aggregatedColumn="16"/>
        </ext>
      </extLst>
    </cacheHierarchy>
    <cacheHierarchy uniqueName="[Measures].[Average of Total Berat (Kg)]" caption="Average of Total Berat (Kg)" measure="1" displayFolder="" measureGroup="Table2" count="0" hidden="1">
      <extLst>
        <ext xmlns:x15="http://schemas.microsoft.com/office/spreadsheetml/2010/11/main" uri="{B97F6D7D-B522-45F9-BDA1-12C45D357490}">
          <x15:cacheHierarchy aggregatedColumn="20"/>
        </ext>
      </extLst>
    </cacheHierarchy>
    <cacheHierarchy uniqueName="[Measures].[Count of Total Berat (Kg)]" caption="Count of Total Berat (Kg)" measure="1" displayFolder="" measureGroup="Table2" count="0" hidden="1">
      <extLst>
        <ext xmlns:x15="http://schemas.microsoft.com/office/spreadsheetml/2010/11/main" uri="{B97F6D7D-B522-45F9-BDA1-12C45D357490}">
          <x15:cacheHierarchy aggregatedColumn="20"/>
        </ext>
      </extLst>
    </cacheHierarchy>
  </cacheHierarchies>
  <kpis count="0"/>
  <dimensions count="7">
    <dimension name="BNW" uniqueName="[BNW]" caption="BNW"/>
    <dimension measure="1" name="Measures" uniqueName="[Measures]" caption="Measures"/>
    <dimension name="Table2" uniqueName="[Table2]" caption="Table2"/>
    <dimension name="Table3" uniqueName="[Table3]" caption="Table3"/>
    <dimension name="Table328" uniqueName="[Table328]" caption="Table328"/>
    <dimension name="Table4" uniqueName="[Table4]" caption="Table4"/>
    <dimension name="Table5" uniqueName="[Table5]" caption="Table5"/>
  </dimensions>
  <measureGroups count="6">
    <measureGroup name="BNW" caption="BNW"/>
    <measureGroup name="Table2" caption="Table2"/>
    <measureGroup name="Table3" caption="Table3"/>
    <measureGroup name="Table328" caption="Table328"/>
    <measureGroup name="Table4" caption="Table4"/>
    <measureGroup name="Table5" caption="Table5"/>
  </measureGroups>
  <maps count="6">
    <map measureGroup="0" dimension="0"/>
    <map measureGroup="1" dimension="2"/>
    <map measureGroup="2" dimension="3"/>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lee-ptwiratama.com" refreshedDate="45338.724756597221" backgroundQuery="1" createdVersion="8" refreshedVersion="8" minRefreshableVersion="3" recordCount="0" supportSubquery="1" supportAdvancedDrill="1" xr:uid="{6F3CE44B-36D2-4AC5-8A90-06E73E95F7EA}">
  <cacheSource type="external" connectionId="1"/>
  <cacheFields count="2">
    <cacheField name="[Table2].[Type  Struktur].[Type  Struktur]" caption="Type  Struktur" numFmtId="0" hierarchy="14" level="1">
      <sharedItems count="22">
        <s v="BEAM TRESTLE"/>
        <s v="FENCING SHELTER &amp; STAIRCASES"/>
        <s v="Girder"/>
        <s v="Girder Spesial"/>
        <s v="Jembatan Gantung"/>
        <s v="Jembatan Pendekat"/>
        <s v="JPO"/>
        <s v="KING POST"/>
        <s v="Komponen Jembatan"/>
        <s v="ORNAMEN PIPA"/>
        <s v="Panel Bailey"/>
        <s v="Panel Bailey STOCK"/>
        <s v="PIPE RACK"/>
        <s v="PLATE LRB"/>
        <s v="RAMP Panel Bailey"/>
        <s v="SPECER MRT"/>
        <s v="STRUKTUR ATAP"/>
        <s v="STRUKTUR PERKUATAN"/>
        <s v="SUPPORT BEAM"/>
        <s v="TOWER"/>
        <s v="Truss Modullar"/>
        <s v="WELDED BEAM"/>
      </sharedItems>
      <extLst>
        <ext xmlns:x15="http://schemas.microsoft.com/office/spreadsheetml/2010/11/main" uri="{4F2E5C28-24EA-4eb8-9CBF-B6C8F9C3D259}">
          <x15:cachedUniqueNames>
            <x15:cachedUniqueName index="0" name="[Table2].[Type  Struktur].&amp;[BEAM TRESTLE]"/>
            <x15:cachedUniqueName index="1" name="[Table2].[Type  Struktur].&amp;[FENCING SHELTER &amp; STAIRCASES]"/>
            <x15:cachedUniqueName index="2" name="[Table2].[Type  Struktur].&amp;[Girder]"/>
            <x15:cachedUniqueName index="3" name="[Table2].[Type  Struktur].&amp;[Girder Spesial]"/>
            <x15:cachedUniqueName index="4" name="[Table2].[Type  Struktur].&amp;[Jembatan Gantung]"/>
            <x15:cachedUniqueName index="5" name="[Table2].[Type  Struktur].&amp;[Jembatan Pendekat]"/>
            <x15:cachedUniqueName index="6" name="[Table2].[Type  Struktur].&amp;[JPO]"/>
            <x15:cachedUniqueName index="7" name="[Table2].[Type  Struktur].&amp;[KING POST]"/>
            <x15:cachedUniqueName index="8" name="[Table2].[Type  Struktur].&amp;[Komponen Jembatan]"/>
            <x15:cachedUniqueName index="9" name="[Table2].[Type  Struktur].&amp;[ORNAMEN PIPA]"/>
            <x15:cachedUniqueName index="10" name="[Table2].[Type  Struktur].&amp;[Panel Bailey]"/>
            <x15:cachedUniqueName index="11" name="[Table2].[Type  Struktur].&amp;[Panel Bailey STOCK]"/>
            <x15:cachedUniqueName index="12" name="[Table2].[Type  Struktur].&amp;[PIPE RACK]"/>
            <x15:cachedUniqueName index="13" name="[Table2].[Type  Struktur].&amp;[PLATE LRB]"/>
            <x15:cachedUniqueName index="14" name="[Table2].[Type  Struktur].&amp;[RAMP Panel Bailey]"/>
            <x15:cachedUniqueName index="15" name="[Table2].[Type  Struktur].&amp;[SPECER MRT]"/>
            <x15:cachedUniqueName index="16" name="[Table2].[Type  Struktur].&amp;[STRUKTUR ATAP]"/>
            <x15:cachedUniqueName index="17" name="[Table2].[Type  Struktur].&amp;[STRUKTUR PERKUATAN]"/>
            <x15:cachedUniqueName index="18" name="[Table2].[Type  Struktur].&amp;[SUPPORT BEAM]"/>
            <x15:cachedUniqueName index="19" name="[Table2].[Type  Struktur].&amp;[TOWER]"/>
            <x15:cachedUniqueName index="20" name="[Table2].[Type  Struktur].&amp;[Truss Modullar]"/>
            <x15:cachedUniqueName index="21" name="[Table2].[Type  Struktur].&amp;[WELDED BEAM]"/>
          </x15:cachedUniqueNames>
        </ext>
      </extLst>
    </cacheField>
    <cacheField name="[Measures].[Sum of Total Berat (Kg)]" caption="Sum of Total Berat (Kg)" numFmtId="0" hierarchy="92" level="32767"/>
  </cacheFields>
  <cacheHierarchies count="104">
    <cacheHierarchy uniqueName="[BNW].[No.PON]" caption="No.PON" attribute="1" defaultMemberUniqueName="[BNW].[No.PON].[All]" allUniqueName="[BNW].[No.PON].[All]" dimensionUniqueName="[BNW]" displayFolder="" count="0" memberValueDatatype="130" unbalanced="0"/>
    <cacheHierarchy uniqueName="[BNW].[Type  Struktur]" caption="Type  Struktur" attribute="1" defaultMemberUniqueName="[BNW].[Type  Struktur].[All]" allUniqueName="[BNW].[Type  Struktur].[All]" dimensionUniqueName="[BNW]" displayFolder="" count="0" memberValueDatatype="130" unbalanced="0"/>
    <cacheHierarchy uniqueName="[BNW].[Marking Struktur]" caption="Marking Struktur" attribute="1" defaultMemberUniqueName="[BNW].[Marking Struktur].[All]" allUniqueName="[BNW].[Marking Struktur].[All]" dimensionUniqueName="[BNW]" displayFolder="" count="0" memberValueDatatype="130" unbalanced="0"/>
    <cacheHierarchy uniqueName="[BNW].[Dimensi]" caption="Dimensi" attribute="1" defaultMemberUniqueName="[BNW].[Dimensi].[All]" allUniqueName="[BNW].[Dimensi].[All]" dimensionUniqueName="[BNW]" displayFolder="" count="0" memberValueDatatype="130" unbalanced="0"/>
    <cacheHierarchy uniqueName="[BNW].[Spesifikasi]" caption="Spesifikasi" attribute="1" defaultMemberUniqueName="[BNW].[Spesifikasi].[All]" allUniqueName="[BNW].[Spesifikasi].[All]" dimensionUniqueName="[BNW]" displayFolder="" count="0" memberValueDatatype="130" unbalanced="0"/>
    <cacheHierarchy uniqueName="[BNW].[Grade]" caption="Grade" attribute="1" defaultMemberUniqueName="[BNW].[Grade].[All]" allUniqueName="[BNW].[Grade].[All]" dimensionUniqueName="[BNW]" displayFolder="" count="0" memberValueDatatype="130" unbalanced="0"/>
    <cacheHierarchy uniqueName="[BNW].[Qty (Set)]" caption="Qty (Set)" attribute="1" defaultMemberUniqueName="[BNW].[Qty (Set)].[All]" allUniqueName="[BNW].[Qty (Set)].[All]" dimensionUniqueName="[BNW]" displayFolder="" count="0" memberValueDatatype="20" unbalanced="0"/>
    <cacheHierarchy uniqueName="[BNW].[Berat Satuan (Kg)]" caption="Berat Satuan (Kg)" attribute="1" defaultMemberUniqueName="[BNW].[Berat Satuan (Kg)].[All]" allUniqueName="[BNW].[Berat Satuan (Kg)].[All]" dimensionUniqueName="[BNW]" displayFolder="" count="0" memberValueDatatype="5" unbalanced="0"/>
    <cacheHierarchy uniqueName="[BNW].[Total Berat Baut (Kg)]" caption="Total Berat Baut (Kg)" attribute="1" defaultMemberUniqueName="[BNW].[Total Berat Baut (Kg)].[All]" allUniqueName="[BNW].[Total Berat Baut (Kg)].[All]" dimensionUniqueName="[BNW]" displayFolder="" count="0" memberValueDatatype="5" unbalanced="0"/>
    <cacheHierarchy uniqueName="[BNW].[Vendor]" caption="Vendor" attribute="1" defaultMemberUniqueName="[BNW].[Vendor].[All]" allUniqueName="[BNW].[Vendor].[All]" dimensionUniqueName="[BNW]" displayFolder="" count="0" memberValueDatatype="130" unbalanced="0"/>
    <cacheHierarchy uniqueName="[BNW].[Date Release]" caption="Date Release" attribute="1" time="1" defaultMemberUniqueName="[BNW].[Date Release].[All]" allUniqueName="[BNW].[Date Release].[All]" dimensionUniqueName="[BNW]" displayFolder="" count="0" memberValueDatatype="7" unbalanced="0"/>
    <cacheHierarchy uniqueName="[BNW].[Keterangan]" caption="Keterangan" attribute="1" defaultMemberUniqueName="[BNW].[Keterangan].[All]" allUniqueName="[BNW].[Keterangan].[All]" dimensionUniqueName="[BNW]" displayFolder="" count="0" memberValueDatatype="130" unbalanced="0"/>
    <cacheHierarchy uniqueName="[BNW].[Status]" caption="Status" attribute="1" defaultMemberUniqueName="[BNW].[Status].[All]" allUniqueName="[BNW].[Status].[All]" dimensionUniqueName="[BNW]" displayFolder="" count="0" memberValueDatatype="20" unbalanced="0"/>
    <cacheHierarchy uniqueName="[Table2].[NO. PON]" caption="NO. PON" attribute="1" defaultMemberUniqueName="[Table2].[NO. PON].[All]" allUniqueName="[Table2].[NO. PON].[All]" dimensionUniqueName="[Table2]" displayFolder="" count="0" memberValueDatatype="130" unbalanced="0"/>
    <cacheHierarchy uniqueName="[Table2].[Type  Struktur]" caption="Type  Struktur" attribute="1" defaultMemberUniqueName="[Table2].[Type  Struktur].[All]" allUniqueName="[Table2].[Type  Struktur].[All]" dimensionUniqueName="[Table2]" displayFolder="" count="2" memberValueDatatype="130" unbalanced="0">
      <fieldsUsage count="2">
        <fieldUsage x="-1"/>
        <fieldUsage x="0"/>
      </fieldsUsage>
    </cacheHierarchy>
    <cacheHierarchy uniqueName="[Table2].[Qty (Unit)]" caption="Qty (Unit)" attribute="1" defaultMemberUniqueName="[Table2].[Qty (Unit)].[All]" allUniqueName="[Table2].[Qty (Unit)].[All]" dimensionUniqueName="[Table2]" displayFolder="" count="0" memberValueDatatype="20" unbalanced="0"/>
    <cacheHierarchy uniqueName="[Table2].[Marking Struktur]" caption="Marking Struktur" attribute="1" defaultMemberUniqueName="[Table2].[Marking Struktur].[All]" allUniqueName="[Table2].[Marking Struktur].[All]" dimensionUniqueName="[Table2]" displayFolder="" count="0" memberValueDatatype="130" unbalanced="0"/>
    <cacheHierarchy uniqueName="[Table2].[Deskripsi  Pekerjaan]" caption="Deskripsi  Pekerjaan" attribute="1" defaultMemberUniqueName="[Table2].[Deskripsi  Pekerjaan].[All]" allUniqueName="[Table2].[Deskripsi  Pekerjaan].[All]" dimensionUniqueName="[Table2]" displayFolder="" count="0" memberValueDatatype="130" unbalanced="0"/>
    <cacheHierarchy uniqueName="[Table2].[Client]" caption="Client" attribute="1" defaultMemberUniqueName="[Table2].[Client].[All]" allUniqueName="[Table2].[Client].[All]" dimensionUniqueName="[Table2]" displayFolder="" count="0" memberValueDatatype="130" unbalanced="0"/>
    <cacheHierarchy uniqueName="[Table2].[Daerah]" caption="Daerah" attribute="1" defaultMemberUniqueName="[Table2].[Daerah].[All]" allUniqueName="[Table2].[Daerah].[All]" dimensionUniqueName="[Table2]" displayFolder="" count="0" memberValueDatatype="130" unbalanced="0"/>
    <cacheHierarchy uniqueName="[Table2].[Total Berat (Kg)]" caption="Total Berat (Kg)" attribute="1" defaultMemberUniqueName="[Table2].[Total Berat (Kg)].[All]" allUniqueName="[Table2].[Total Berat (Kg)].[All]" dimensionUniqueName="[Table2]" displayFolder="" count="0" memberValueDatatype="5" unbalanced="0"/>
    <cacheHierarchy uniqueName="[Table2].[Status]" caption="Status" attribute="1" defaultMemberUniqueName="[Table2].[Status].[All]" allUniqueName="[Table2].[Status].[All]" dimensionUniqueName="[Table2]" displayFolder="" count="0" memberValueDatatype="130" unbalanced="0"/>
    <cacheHierarchy uniqueName="[Table2].[Marketing]" caption="Marketing" attribute="1" defaultMemberUniqueName="[Table2].[Marketing].[All]" allUniqueName="[Table2].[Marketing].[All]" dimensionUniqueName="[Table2]" displayFolder="" count="0" memberValueDatatype="130" unbalanced="0"/>
    <cacheHierarchy uniqueName="[Table2].[Progress]" caption="Progress" attribute="1" defaultMemberUniqueName="[Table2].[Progress].[All]" allUniqueName="[Table2].[Progress].[All]" dimensionUniqueName="[Table2]" displayFolder="" count="0" memberValueDatatype="5" unbalanced="0"/>
    <cacheHierarchy uniqueName="[Table2].[Issue]" caption="Issue" attribute="1" defaultMemberUniqueName="[Table2].[Issue].[All]" allUniqueName="[Table2].[Issue].[All]" dimensionUniqueName="[Table2]" displayFolder="" count="0" memberValueDatatype="130" unbalanced="0"/>
    <cacheHierarchy uniqueName="[Table2].[SUPPLY LIST]" caption="SUPPLY LIST" attribute="1" defaultMemberUniqueName="[Table2].[SUPPLY LIST].[All]" allUniqueName="[Table2].[SUPPLY LIST].[All]" dimensionUniqueName="[Table2]" displayFolder="" count="0" memberValueDatatype="5" unbalanced="0"/>
    <cacheHierarchy uniqueName="[Table2].[Date PON]" caption="Date PON" attribute="1" defaultMemberUniqueName="[Table2].[Date PON].[All]" allUniqueName="[Table2].[Date PON].[All]" dimensionUniqueName="[Table2]" displayFolder="" count="0" memberValueDatatype="130" unbalanced="0"/>
    <cacheHierarchy uniqueName="[Table2].[Date Finish]" caption="Date Finish" attribute="1" defaultMemberUniqueName="[Table2].[Date Finish].[All]" allUniqueName="[Table2].[Date Finish].[All]" dimensionUniqueName="[Table2]" displayFolder="" count="0" memberValueDatatype="130" unbalanced="0"/>
    <cacheHierarchy uniqueName="[Table2].[Column1]" caption="Column1" attribute="1" defaultMemberUniqueName="[Table2].[Column1].[All]" allUniqueName="[Table2].[Column1].[All]" dimensionUniqueName="[Table2]" displayFolder="" count="0" memberValueDatatype="130" unbalanced="0"/>
    <cacheHierarchy uniqueName="[Table2].[Date Aktual Finish]" caption="Date Aktual Finish" attribute="1" defaultMemberUniqueName="[Table2].[Date Aktual Finish].[All]" allUniqueName="[Table2].[Date Aktual Finish].[All]" dimensionUniqueName="[Table2]" displayFolder="" count="0" memberValueDatatype="130" unbalanced="0"/>
    <cacheHierarchy uniqueName="[Table2].[Finish Fabrikasi]" caption="Finish Fabrikasi" attribute="1" time="1" defaultMemberUniqueName="[Table2].[Finish Fabrikasi].[All]" allUniqueName="[Table2].[Finish Fabrikasi].[All]" dimensionUniqueName="[Table2]" displayFolder="" count="0" memberValueDatatype="7" unbalanced="0"/>
    <cacheHierarchy uniqueName="[Table2].[Date Aktual Delivery to Site]" caption="Date Aktual Delivery to Site" attribute="1" defaultMemberUniqueName="[Table2].[Date Aktual Delivery to Site].[All]" allUniqueName="[Table2].[Date Aktual Delivery to Site].[All]" dimensionUniqueName="[Table2]" displayFolder="" count="0" memberValueDatatype="130" unbalanced="0"/>
    <cacheHierarchy uniqueName="[Table2].[REMINDER]" caption="REMINDER" attribute="1" defaultMemberUniqueName="[Table2].[REMINDER].[All]" allUniqueName="[Table2].[REMINDER].[All]" dimensionUniqueName="[Table2]" displayFolder="" count="0" memberValueDatatype="130" unbalanced="0"/>
    <cacheHierarchy uniqueName="[Table2].[Keterangan]" caption="Keterangan" attribute="1" defaultMemberUniqueName="[Table2].[Keterangan].[All]" allUniqueName="[Table2].[Keterangan].[All]" dimensionUniqueName="[Table2]" displayFolder="" count="0" memberValueDatatype="130" unbalanced="0"/>
    <cacheHierarchy uniqueName="[Table2].[TAHUN]" caption="TAHUN" attribute="1" defaultMemberUniqueName="[Table2].[TAHUN].[All]" allUniqueName="[Table2].[TAHUN].[All]" dimensionUniqueName="[Table2]" displayFolder="" count="0" memberValueDatatype="20" unbalanced="0"/>
    <cacheHierarchy uniqueName="[Table3].[No.]" caption="No." attribute="1" defaultMemberUniqueName="[Table3].[No.].[All]" allUniqueName="[Table3].[No.].[All]" dimensionUniqueName="[Table3]" displayFolder="" count="0" memberValueDatatype="20" unbalanced="0"/>
    <cacheHierarchy uniqueName="[Table3].[No.PON]" caption="No.PON" attribute="1" defaultMemberUniqueName="[Table3].[No.PON].[All]" allUniqueName="[Table3].[No.PON].[All]" dimensionUniqueName="[Table3]" displayFolder="" count="0" memberValueDatatype="130" unbalanced="0"/>
    <cacheHierarchy uniqueName="[Table3].[Vendor]" caption="Vendor" attribute="1" defaultMemberUniqueName="[Table3].[Vendor].[All]" allUniqueName="[Table3].[Vendor].[All]" dimensionUniqueName="[Table3]" displayFolder="" count="0" memberValueDatatype="130" unbalanced="0"/>
    <cacheHierarchy uniqueName="[Table3].[Type  Struktur]" caption="Type  Struktur" attribute="1" defaultMemberUniqueName="[Table3].[Type  Struktur].[All]" allUniqueName="[Table3].[Type  Struktur].[All]" dimensionUniqueName="[Table3]" displayFolder="" count="0" memberValueDatatype="130" unbalanced="0"/>
    <cacheHierarchy uniqueName="[Table3].[Marking Struktur]" caption="Marking Struktur" attribute="1" defaultMemberUniqueName="[Table3].[Marking Struktur].[All]" allUniqueName="[Table3].[Marking Struktur].[All]" dimensionUniqueName="[Table3]" displayFolder="" count="0" memberValueDatatype="130" unbalanced="0"/>
    <cacheHierarchy uniqueName="[Table3].[Berat Fabrikasi]" caption="Berat Fabrikasi" attribute="1" defaultMemberUniqueName="[Table3].[Berat Fabrikasi].[All]" allUniqueName="[Table3].[Berat Fabrikasi].[All]" dimensionUniqueName="[Table3]" displayFolder="" count="0" memberValueDatatype="5" unbalanced="0"/>
    <cacheHierarchy uniqueName="[Table3].[Date Release SD]" caption="Date Release SD" attribute="1" defaultMemberUniqueName="[Table3].[Date Release SD].[All]" allUniqueName="[Table3].[Date Release SD].[All]" dimensionUniqueName="[Table3]" displayFolder="" count="0" memberValueDatatype="130" unbalanced="0"/>
    <cacheHierarchy uniqueName="[Table3].[Date Start  PON]" caption="Date Start  PON" attribute="1" defaultMemberUniqueName="[Table3].[Date Start  PON].[All]" allUniqueName="[Table3].[Date Start  PON].[All]" dimensionUniqueName="[Table3]" displayFolder="" count="0" memberValueDatatype="130" unbalanced="0"/>
    <cacheHierarchy uniqueName="[Table3].[Date Finish  PON]" caption="Date Finish  PON" attribute="1" defaultMemberUniqueName="[Table3].[Date Finish  PON].[All]" allUniqueName="[Table3].[Date Finish  PON].[All]" dimensionUniqueName="[Table3]" displayFolder="" count="0" memberValueDatatype="130" unbalanced="0"/>
    <cacheHierarchy uniqueName="[Table3].[Date Finish  Aktual]" caption="Date Finish  Aktual" attribute="1" time="1" defaultMemberUniqueName="[Table3].[Date Finish  Aktual].[All]" allUniqueName="[Table3].[Date Finish  Aktual].[All]" dimensionUniqueName="[Table3]" displayFolder="" count="0" memberValueDatatype="7" unbalanced="0"/>
    <cacheHierarchy uniqueName="[Table3].[Progress (%)]" caption="Progress (%)" attribute="1" defaultMemberUniqueName="[Table3].[Progress (%)].[All]" allUniqueName="[Table3].[Progress (%)].[All]" dimensionUniqueName="[Table3]" displayFolder="" count="0" memberValueDatatype="130" unbalanced="0"/>
    <cacheHierarchy uniqueName="[Table3].[ISSUE]" caption="ISSUE" attribute="1" defaultMemberUniqueName="[Table3].[ISSUE].[All]" allUniqueName="[Table3].[ISSUE].[All]" dimensionUniqueName="[Table3]" displayFolder="" count="0" memberValueDatatype="130" unbalanced="0"/>
    <cacheHierarchy uniqueName="[Table3].[STATUS]" caption="STATUS" attribute="1" defaultMemberUniqueName="[Table3].[STATUS].[All]" allUniqueName="[Table3].[STATUS].[All]" dimensionUniqueName="[Table3]" displayFolder="" count="0" memberValueDatatype="130" unbalanced="0"/>
    <cacheHierarchy uniqueName="[Table3].[Keterangan]" caption="Keterangan" attribute="1" defaultMemberUniqueName="[Table3].[Keterangan].[All]" allUniqueName="[Table3].[Keterangan].[All]" dimensionUniqueName="[Table3]" displayFolder="" count="0" memberValueDatatype="130" unbalanced="0"/>
    <cacheHierarchy uniqueName="[Table328].[No.PON]" caption="No.PON" attribute="1" defaultMemberUniqueName="[Table328].[No.PON].[All]" allUniqueName="[Table328].[No.PON].[All]" dimensionUniqueName="[Table328]" displayFolder="" count="0" memberValueDatatype="130" unbalanced="0"/>
    <cacheHierarchy uniqueName="[Table328].[Type  Struktur]" caption="Type  Struktur" attribute="1" defaultMemberUniqueName="[Table328].[Type  Struktur].[All]" allUniqueName="[Table328].[Type  Struktur].[All]" dimensionUniqueName="[Table328]" displayFolder="" count="0" memberValueDatatype="130" unbalanced="0"/>
    <cacheHierarchy uniqueName="[Table328].[Marking Struktur]" caption="Marking Struktur" attribute="1" defaultMemberUniqueName="[Table328].[Marking Struktur].[All]" allUniqueName="[Table328].[Marking Struktur].[All]" dimensionUniqueName="[Table328]" displayFolder="" count="0" memberValueDatatype="130" unbalanced="0"/>
    <cacheHierarchy uniqueName="[Table328].[Deskripsi Consumable]" caption="Deskripsi Consumable" attribute="1" defaultMemberUniqueName="[Table328].[Deskripsi Consumable].[All]" allUniqueName="[Table328].[Deskripsi Consumable].[All]" dimensionUniqueName="[Table328]" displayFolder="" count="0" memberValueDatatype="130" unbalanced="0"/>
    <cacheHierarchy uniqueName="[Table328].[Harga Satuan (Rp)]" caption="Harga Satuan (Rp)" attribute="1" defaultMemberUniqueName="[Table328].[Harga Satuan (Rp)].[All]" allUniqueName="[Table328].[Harga Satuan (Rp)].[All]" dimensionUniqueName="[Table328]" displayFolder="" count="0" memberValueDatatype="20" unbalanced="0"/>
    <cacheHierarchy uniqueName="[Table328].[Qty (pcs)]" caption="Qty (pcs)" attribute="1" defaultMemberUniqueName="[Table328].[Qty (pcs)].[All]" allUniqueName="[Table328].[Qty (pcs)].[All]" dimensionUniqueName="[Table328]" displayFolder="" count="0" memberValueDatatype="20" unbalanced="0"/>
    <cacheHierarchy uniqueName="[Table328].[Total Belanja]" caption="Total Belanja" attribute="1" defaultMemberUniqueName="[Table328].[Total Belanja].[All]" allUniqueName="[Table328].[Total Belanja].[All]" dimensionUniqueName="[Table328]" displayFolder="" count="0" memberValueDatatype="20" unbalanced="0"/>
    <cacheHierarchy uniqueName="[Table328].[Tanggal  Pengajuan]" caption="Tanggal  Pengajuan" attribute="1" time="1" defaultMemberUniqueName="[Table328].[Tanggal  Pengajuan].[All]" allUniqueName="[Table328].[Tanggal  Pengajuan].[All]" dimensionUniqueName="[Table328]" displayFolder="" count="0" memberValueDatatype="7" unbalanced="0"/>
    <cacheHierarchy uniqueName="[Table328].[KETERANGAN]" caption="KETERANGAN" attribute="1" defaultMemberUniqueName="[Table328].[KETERANGAN].[All]" allUniqueName="[Table328].[KETERANGAN].[All]" dimensionUniqueName="[Table328]" displayFolder="" count="0" memberValueDatatype="130" unbalanced="0"/>
    <cacheHierarchy uniqueName="[Table328].[Date Finish  Aktual]" caption="Date Finish  Aktual" attribute="1" defaultMemberUniqueName="[Table328].[Date Finish  Aktual].[All]" allUniqueName="[Table328].[Date Finish  Aktual].[All]" dimensionUniqueName="[Table328]" displayFolder="" count="0" memberValueDatatype="130" unbalanced="0"/>
    <cacheHierarchy uniqueName="[Table328].[Keterangan2]" caption="Keterangan2" attribute="1" defaultMemberUniqueName="[Table328].[Keterangan2].[All]" allUniqueName="[Table328].[Keterangan2].[All]" dimensionUniqueName="[Table328]" displayFolder="" count="0" memberValueDatatype="130" unbalanced="0"/>
    <cacheHierarchy uniqueName="[Table4].[No.]" caption="No." attribute="1" defaultMemberUniqueName="[Table4].[No.].[All]" allUniqueName="[Table4].[No.].[All]" dimensionUniqueName="[Table4]" displayFolder="" count="0" memberValueDatatype="20" unbalanced="0"/>
    <cacheHierarchy uniqueName="[Table4].[No.PON]" caption="No.PON" attribute="1" defaultMemberUniqueName="[Table4].[No.PON].[All]" allUniqueName="[Table4].[No.PON].[All]" dimensionUniqueName="[Table4]" displayFolder="" count="0" memberValueDatatype="130" unbalanced="0"/>
    <cacheHierarchy uniqueName="[Table4].[Type  Struktur]" caption="Type  Struktur" attribute="1" defaultMemberUniqueName="[Table4].[Type  Struktur].[All]" allUniqueName="[Table4].[Type  Struktur].[All]" dimensionUniqueName="[Table4]" displayFolder="" count="0" memberValueDatatype="130" unbalanced="0"/>
    <cacheHierarchy uniqueName="[Table4].[Marking Struktur]" caption="Marking Struktur" attribute="1" defaultMemberUniqueName="[Table4].[Marking Struktur].[All]" allUniqueName="[Table4].[Marking Struktur].[All]" dimensionUniqueName="[Table4]" displayFolder="" count="0" memberValueDatatype="130" unbalanced="0"/>
    <cacheHierarchy uniqueName="[Table4].[Date Issue]" caption="Date Issue" attribute="1" time="1" defaultMemberUniqueName="[Table4].[Date Issue].[All]" allUniqueName="[Table4].[Date Issue].[All]" dimensionUniqueName="[Table4]" displayFolder="" count="0" memberValueDatatype="7" unbalanced="0"/>
    <cacheHierarchy uniqueName="[Table4].[ISSUE]" caption="ISSUE" attribute="1" defaultMemberUniqueName="[Table4].[ISSUE].[All]" allUniqueName="[Table4].[ISSUE].[All]" dimensionUniqueName="[Table4]" displayFolder="" count="0" memberValueDatatype="130" unbalanced="0"/>
    <cacheHierarchy uniqueName="[Table5].[No.]" caption="No." attribute="1" defaultMemberUniqueName="[Table5].[No.].[All]" allUniqueName="[Table5].[No.].[All]" dimensionUniqueName="[Table5]" displayFolder="" count="0" memberValueDatatype="20" unbalanced="0"/>
    <cacheHierarchy uniqueName="[Table5].[No.PON]" caption="No.PON" attribute="1" defaultMemberUniqueName="[Table5].[No.PON].[All]" allUniqueName="[Table5].[No.PON].[All]" dimensionUniqueName="[Table5]" displayFolder="" count="0" memberValueDatatype="130" unbalanced="0"/>
    <cacheHierarchy uniqueName="[Table5].[Type  Struktur]" caption="Type  Struktur" attribute="1" defaultMemberUniqueName="[Table5].[Type  Struktur].[All]" allUniqueName="[Table5].[Type  Struktur].[All]" dimensionUniqueName="[Table5]" displayFolder="" count="0" memberValueDatatype="130" unbalanced="0"/>
    <cacheHierarchy uniqueName="[Table5].[Marking Struktur]" caption="Marking Struktur" attribute="1" defaultMemberUniqueName="[Table5].[Marking Struktur].[All]" allUniqueName="[Table5].[Marking Struktur].[All]" dimensionUniqueName="[Table5]" displayFolder="" count="0" memberValueDatatype="130" unbalanced="0"/>
    <cacheHierarchy uniqueName="[Table5].[Vendor]" caption="Vendor" attribute="1" defaultMemberUniqueName="[Table5].[Vendor].[All]" allUniqueName="[Table5].[Vendor].[All]" dimensionUniqueName="[Table5]" displayFolder="" count="0" memberValueDatatype="130" unbalanced="0"/>
    <cacheHierarchy uniqueName="[Table5].[No. PO]" caption="No. PO" attribute="1" defaultMemberUniqueName="[Table5].[No. PO].[All]" allUniqueName="[Table5].[No. PO].[All]" dimensionUniqueName="[Table5]" displayFolder="" count="0" memberValueDatatype="130" unbalanced="0"/>
    <cacheHierarchy uniqueName="[Table5].[Purchase]" caption="Purchase" attribute="1" defaultMemberUniqueName="[Table5].[Purchase].[All]" allUniqueName="[Table5].[Purchase].[All]" dimensionUniqueName="[Table5]" displayFolder="" count="0" memberValueDatatype="130" unbalanced="0"/>
    <cacheHierarchy uniqueName="[Table5].[Marking Aksesories]" caption="Marking Aksesories" attribute="1" defaultMemberUniqueName="[Table5].[Marking Aksesories].[All]" allUniqueName="[Table5].[Marking Aksesories].[All]" dimensionUniqueName="[Table5]" displayFolder="" count="0" memberValueDatatype="130" unbalanced="0"/>
    <cacheHierarchy uniqueName="[Table5].[Dimensi/Ukuran]" caption="Dimensi/Ukuran" attribute="1" defaultMemberUniqueName="[Table5].[Dimensi/Ukuran].[All]" allUniqueName="[Table5].[Dimensi/Ukuran].[All]" dimensionUniqueName="[Table5]" displayFolder="" count="0" memberValueDatatype="130" unbalanced="0"/>
    <cacheHierarchy uniqueName="[Table5].[Qty (pcs)]" caption="Qty (pcs)" attribute="1" defaultMemberUniqueName="[Table5].[Qty (pcs)].[All]" allUniqueName="[Table5].[Qty (pcs)].[All]" dimensionUniqueName="[Table5]" displayFolder="" count="0" memberValueDatatype="20" unbalanced="0"/>
    <cacheHierarchy uniqueName="[Table5].[Unit (Set)]" caption="Unit (Set)" attribute="1" defaultMemberUniqueName="[Table5].[Unit (Set)].[All]" allUniqueName="[Table5].[Unit (Set)].[All]" dimensionUniqueName="[Table5]" displayFolder="" count="0" memberValueDatatype="20" unbalanced="0"/>
    <cacheHierarchy uniqueName="[Table5].[Total  (pcs)]" caption="Total  (pcs)" attribute="1" defaultMemberUniqueName="[Table5].[Total  (pcs)].[All]" allUniqueName="[Table5].[Total  (pcs)].[All]" dimensionUniqueName="[Table5]" displayFolder="" count="0" memberValueDatatype="20" unbalanced="0"/>
    <cacheHierarchy uniqueName="[Table5].[Berat/pcs (Kg)]" caption="Berat/pcs (Kg)" attribute="1" defaultMemberUniqueName="[Table5].[Berat/pcs (Kg)].[All]" allUniqueName="[Table5].[Berat/pcs (Kg)].[All]" dimensionUniqueName="[Table5]" displayFolder="" count="0" memberValueDatatype="5" unbalanced="0"/>
    <cacheHierarchy uniqueName="[Table5].[Total Berat (Kg)]" caption="Total Berat (Kg)" attribute="1" defaultMemberUniqueName="[Table5].[Total Berat (Kg)].[All]" allUniqueName="[Table5].[Total Berat (Kg)].[All]" dimensionUniqueName="[Table5]" displayFolder="" count="0" memberValueDatatype="5" unbalanced="0"/>
    <cacheHierarchy uniqueName="[Table5].[Sent to Purchase]" caption="Sent to Purchase" attribute="1" defaultMemberUniqueName="[Table5].[Sent to Purchase].[All]" allUniqueName="[Table5].[Sent to Purchase].[All]" dimensionUniqueName="[Table5]" displayFolder="" count="0" memberValueDatatype="130" unbalanced="0"/>
    <cacheHierarchy uniqueName="[Table5].[Status data dikirim]" caption="Status data dikirim" attribute="1" defaultMemberUniqueName="[Table5].[Status data dikirim].[All]" allUniqueName="[Table5].[Status data dikirim].[All]" dimensionUniqueName="[Table5]" displayFolder="" count="0" memberValueDatatype="130" unbalanced="0"/>
    <cacheHierarchy uniqueName="[Table5].[Keterangan]" caption="Keterangan" attribute="1" defaultMemberUniqueName="[Table5].[Keterangan].[All]" allUniqueName="[Table5].[Keterangan].[All]" dimensionUniqueName="[Table5]" displayFolder="" count="0" memberValueDatatype="130" unbalanced="0"/>
    <cacheHierarchy uniqueName="[Measures].[ISSUE'S ]" caption="ISSUE'S " measure="1" displayFolder="" measureGroup="Table2" count="0"/>
    <cacheHierarchy uniqueName="[Measures].[__XL_Count Table4]" caption="__XL_Count Table4" measure="1" displayFolder="" measureGroup="Table4" count="0" hidden="1"/>
    <cacheHierarchy uniqueName="[Measures].[__XL_Count Table2]" caption="__XL_Count Table2" measure="1" displayFolder="" measureGroup="Table2" count="0" hidden="1"/>
    <cacheHierarchy uniqueName="[Measures].[__XL_Count Table3]" caption="__XL_Count Table3" measure="1" displayFolder="" measureGroup="Table3" count="0" hidden="1"/>
    <cacheHierarchy uniqueName="[Measures].[__XL_Count Table5]" caption="__XL_Count Table5" measure="1" displayFolder="" measureGroup="Table5" count="0" hidden="1"/>
    <cacheHierarchy uniqueName="[Measures].[__XL_Count BNW]" caption="__XL_Count BNW" measure="1" displayFolder="" measureGroup="BNW" count="0" hidden="1"/>
    <cacheHierarchy uniqueName="[Measures].[__XL_Count Table328]" caption="__XL_Count Table328" measure="1" displayFolder="" measureGroup="Table328" count="0" hidden="1"/>
    <cacheHierarchy uniqueName="[Measures].[__No measures defined]" caption="__No measures defined" measure="1" displayFolder="" count="0" hidden="1"/>
    <cacheHierarchy uniqueName="[Measures].[Sum of Qty (Unit)]" caption="Sum of Qty (Unit)" measure="1" displayFolder="" measureGroup="Table2" count="0" hidden="1">
      <extLst>
        <ext xmlns:x15="http://schemas.microsoft.com/office/spreadsheetml/2010/11/main" uri="{B97F6D7D-B522-45F9-BDA1-12C45D357490}">
          <x15:cacheHierarchy aggregatedColumn="15"/>
        </ext>
      </extLst>
    </cacheHierarchy>
    <cacheHierarchy uniqueName="[Measures].[Sum of Total Berat (Kg)]" caption="Sum of Total Berat (Kg)" measure="1" displayFolder="" measureGroup="Table2" count="0" oneField="1" hidden="1">
      <fieldsUsage count="1">
        <fieldUsage x="1"/>
      </fieldsUsage>
      <extLst>
        <ext xmlns:x15="http://schemas.microsoft.com/office/spreadsheetml/2010/11/main" uri="{B97F6D7D-B522-45F9-BDA1-12C45D357490}">
          <x15:cacheHierarchy aggregatedColumn="20"/>
        </ext>
      </extLst>
    </cacheHierarchy>
    <cacheHierarchy uniqueName="[Measures].[Count of Status]" caption="Count of Status" measure="1" displayFolder="" measureGroup="Table2" count="0" hidden="1">
      <extLst>
        <ext xmlns:x15="http://schemas.microsoft.com/office/spreadsheetml/2010/11/main" uri="{B97F6D7D-B522-45F9-BDA1-12C45D357490}">
          <x15:cacheHierarchy aggregatedColumn="21"/>
        </ext>
      </extLst>
    </cacheHierarchy>
    <cacheHierarchy uniqueName="[Measures].[Sum of Unit (Set)]" caption="Sum of Unit (Set)" measure="1" displayFolder="" measureGroup="Table5" count="0" hidden="1">
      <extLst>
        <ext xmlns:x15="http://schemas.microsoft.com/office/spreadsheetml/2010/11/main" uri="{B97F6D7D-B522-45F9-BDA1-12C45D357490}">
          <x15:cacheHierarchy aggregatedColumn="76"/>
        </ext>
      </extLst>
    </cacheHierarchy>
    <cacheHierarchy uniqueName="[Measures].[Sum of Berat/pcs (Kg)]" caption="Sum of Berat/pcs (Kg)" measure="1" displayFolder="" measureGroup="Table5" count="0" hidden="1">
      <extLst>
        <ext xmlns:x15="http://schemas.microsoft.com/office/spreadsheetml/2010/11/main" uri="{B97F6D7D-B522-45F9-BDA1-12C45D357490}">
          <x15:cacheHierarchy aggregatedColumn="78"/>
        </ext>
      </extLst>
    </cacheHierarchy>
    <cacheHierarchy uniqueName="[Measures].[Count of Marking Aksesories]" caption="Count of Marking Aksesories" measure="1" displayFolder="" measureGroup="Table5" count="0" hidden="1">
      <extLst>
        <ext xmlns:x15="http://schemas.microsoft.com/office/spreadsheetml/2010/11/main" uri="{B97F6D7D-B522-45F9-BDA1-12C45D357490}">
          <x15:cacheHierarchy aggregatedColumn="73"/>
        </ext>
      </extLst>
    </cacheHierarchy>
    <cacheHierarchy uniqueName="[Measures].[Count of NO. PON]" caption="Count of NO. PON" measure="1" displayFolder="" measureGroup="Table2" count="0" hidden="1">
      <extLst>
        <ext xmlns:x15="http://schemas.microsoft.com/office/spreadsheetml/2010/11/main" uri="{B97F6D7D-B522-45F9-BDA1-12C45D357490}">
          <x15:cacheHierarchy aggregatedColumn="13"/>
        </ext>
      </extLst>
    </cacheHierarchy>
    <cacheHierarchy uniqueName="[Measures].[Count of Type  Struktur]" caption="Count of Type  Struktur" measure="1" displayFolder="" measureGroup="Table2" count="0" hidden="1">
      <extLst>
        <ext xmlns:x15="http://schemas.microsoft.com/office/spreadsheetml/2010/11/main" uri="{B97F6D7D-B522-45F9-BDA1-12C45D357490}">
          <x15:cacheHierarchy aggregatedColumn="14"/>
        </ext>
      </extLst>
    </cacheHierarchy>
    <cacheHierarchy uniqueName="[Measures].[Count of Deskripsi  Pekerjaan]" caption="Count of Deskripsi  Pekerjaan" measure="1" displayFolder="" measureGroup="Table2" count="0" hidden="1">
      <extLst>
        <ext xmlns:x15="http://schemas.microsoft.com/office/spreadsheetml/2010/11/main" uri="{B97F6D7D-B522-45F9-BDA1-12C45D357490}">
          <x15:cacheHierarchy aggregatedColumn="17"/>
        </ext>
      </extLst>
    </cacheHierarchy>
    <cacheHierarchy uniqueName="[Measures].[Count of Client]" caption="Count of Client" measure="1" displayFolder="" measureGroup="Table2" count="0" hidden="1">
      <extLst>
        <ext xmlns:x15="http://schemas.microsoft.com/office/spreadsheetml/2010/11/main" uri="{B97F6D7D-B522-45F9-BDA1-12C45D357490}">
          <x15:cacheHierarchy aggregatedColumn="18"/>
        </ext>
      </extLst>
    </cacheHierarchy>
    <cacheHierarchy uniqueName="[Measures].[Count of Marking Struktur]" caption="Count of Marking Struktur" measure="1" displayFolder="" measureGroup="Table2" count="0" hidden="1">
      <extLst>
        <ext xmlns:x15="http://schemas.microsoft.com/office/spreadsheetml/2010/11/main" uri="{B97F6D7D-B522-45F9-BDA1-12C45D357490}">
          <x15:cacheHierarchy aggregatedColumn="16"/>
        </ext>
      </extLst>
    </cacheHierarchy>
    <cacheHierarchy uniqueName="[Measures].[Average of Total Berat (Kg)]" caption="Average of Total Berat (Kg)" measure="1" displayFolder="" measureGroup="Table2" count="0" hidden="1">
      <extLst>
        <ext xmlns:x15="http://schemas.microsoft.com/office/spreadsheetml/2010/11/main" uri="{B97F6D7D-B522-45F9-BDA1-12C45D357490}">
          <x15:cacheHierarchy aggregatedColumn="20"/>
        </ext>
      </extLst>
    </cacheHierarchy>
    <cacheHierarchy uniqueName="[Measures].[Count of Total Berat (Kg)]" caption="Count of Total Berat (Kg)" measure="1" displayFolder="" measureGroup="Table2" count="0" hidden="1">
      <extLst>
        <ext xmlns:x15="http://schemas.microsoft.com/office/spreadsheetml/2010/11/main" uri="{B97F6D7D-B522-45F9-BDA1-12C45D357490}">
          <x15:cacheHierarchy aggregatedColumn="20"/>
        </ext>
      </extLst>
    </cacheHierarchy>
  </cacheHierarchies>
  <kpis count="0"/>
  <dimensions count="7">
    <dimension name="BNW" uniqueName="[BNW]" caption="BNW"/>
    <dimension measure="1" name="Measures" uniqueName="[Measures]" caption="Measures"/>
    <dimension name="Table2" uniqueName="[Table2]" caption="Table2"/>
    <dimension name="Table3" uniqueName="[Table3]" caption="Table3"/>
    <dimension name="Table328" uniqueName="[Table328]" caption="Table328"/>
    <dimension name="Table4" uniqueName="[Table4]" caption="Table4"/>
    <dimension name="Table5" uniqueName="[Table5]" caption="Table5"/>
  </dimensions>
  <measureGroups count="6">
    <measureGroup name="BNW" caption="BNW"/>
    <measureGroup name="Table2" caption="Table2"/>
    <measureGroup name="Table3" caption="Table3"/>
    <measureGroup name="Table328" caption="Table328"/>
    <measureGroup name="Table4" caption="Table4"/>
    <measureGroup name="Table5" caption="Table5"/>
  </measureGroups>
  <maps count="6">
    <map measureGroup="0" dimension="0"/>
    <map measureGroup="1" dimension="2"/>
    <map measureGroup="2" dimension="3"/>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lee-ptwiratama.com" refreshedDate="45338.724757870368" backgroundQuery="1" createdVersion="8" refreshedVersion="8" minRefreshableVersion="3" recordCount="0" supportSubquery="1" supportAdvancedDrill="1" xr:uid="{75F9EDBE-A12B-496B-9EDF-4C0F18E342B0}">
  <cacheSource type="external" connectionId="1"/>
  <cacheFields count="2">
    <cacheField name="[Table2].[Status].[Status]" caption="Status" numFmtId="0" hierarchy="21" level="1">
      <sharedItems count="3">
        <s v="COMPLETED"/>
        <s v="ON GOING"/>
        <s v="RFD"/>
      </sharedItems>
      <extLst>
        <ext xmlns:x15="http://schemas.microsoft.com/office/spreadsheetml/2010/11/main" uri="{4F2E5C28-24EA-4eb8-9CBF-B6C8F9C3D259}">
          <x15:cachedUniqueNames>
            <x15:cachedUniqueName index="0" name="[Table2].[Status].&amp;[COMPLETED]"/>
            <x15:cachedUniqueName index="1" name="[Table2].[Status].&amp;[ON GOING]"/>
            <x15:cachedUniqueName index="2" name="[Table2].[Status].&amp;[RFD]"/>
          </x15:cachedUniqueNames>
        </ext>
      </extLst>
    </cacheField>
    <cacheField name="[Measures].[Count of Total Berat (Kg)]" caption="Count of Total Berat (Kg)" numFmtId="0" hierarchy="103" level="32767"/>
  </cacheFields>
  <cacheHierarchies count="104">
    <cacheHierarchy uniqueName="[BNW].[No.PON]" caption="No.PON" attribute="1" defaultMemberUniqueName="[BNW].[No.PON].[All]" allUniqueName="[BNW].[No.PON].[All]" dimensionUniqueName="[BNW]" displayFolder="" count="0" memberValueDatatype="130" unbalanced="0"/>
    <cacheHierarchy uniqueName="[BNW].[Type  Struktur]" caption="Type  Struktur" attribute="1" defaultMemberUniqueName="[BNW].[Type  Struktur].[All]" allUniqueName="[BNW].[Type  Struktur].[All]" dimensionUniqueName="[BNW]" displayFolder="" count="0" memberValueDatatype="130" unbalanced="0"/>
    <cacheHierarchy uniqueName="[BNW].[Marking Struktur]" caption="Marking Struktur" attribute="1" defaultMemberUniqueName="[BNW].[Marking Struktur].[All]" allUniqueName="[BNW].[Marking Struktur].[All]" dimensionUniqueName="[BNW]" displayFolder="" count="0" memberValueDatatype="130" unbalanced="0"/>
    <cacheHierarchy uniqueName="[BNW].[Dimensi]" caption="Dimensi" attribute="1" defaultMemberUniqueName="[BNW].[Dimensi].[All]" allUniqueName="[BNW].[Dimensi].[All]" dimensionUniqueName="[BNW]" displayFolder="" count="0" memberValueDatatype="130" unbalanced="0"/>
    <cacheHierarchy uniqueName="[BNW].[Spesifikasi]" caption="Spesifikasi" attribute="1" defaultMemberUniqueName="[BNW].[Spesifikasi].[All]" allUniqueName="[BNW].[Spesifikasi].[All]" dimensionUniqueName="[BNW]" displayFolder="" count="0" memberValueDatatype="130" unbalanced="0"/>
    <cacheHierarchy uniqueName="[BNW].[Grade]" caption="Grade" attribute="1" defaultMemberUniqueName="[BNW].[Grade].[All]" allUniqueName="[BNW].[Grade].[All]" dimensionUniqueName="[BNW]" displayFolder="" count="0" memberValueDatatype="130" unbalanced="0"/>
    <cacheHierarchy uniqueName="[BNW].[Qty (Set)]" caption="Qty (Set)" attribute="1" defaultMemberUniqueName="[BNW].[Qty (Set)].[All]" allUniqueName="[BNW].[Qty (Set)].[All]" dimensionUniqueName="[BNW]" displayFolder="" count="0" memberValueDatatype="20" unbalanced="0"/>
    <cacheHierarchy uniqueName="[BNW].[Berat Satuan (Kg)]" caption="Berat Satuan (Kg)" attribute="1" defaultMemberUniqueName="[BNW].[Berat Satuan (Kg)].[All]" allUniqueName="[BNW].[Berat Satuan (Kg)].[All]" dimensionUniqueName="[BNW]" displayFolder="" count="0" memberValueDatatype="5" unbalanced="0"/>
    <cacheHierarchy uniqueName="[BNW].[Total Berat Baut (Kg)]" caption="Total Berat Baut (Kg)" attribute="1" defaultMemberUniqueName="[BNW].[Total Berat Baut (Kg)].[All]" allUniqueName="[BNW].[Total Berat Baut (Kg)].[All]" dimensionUniqueName="[BNW]" displayFolder="" count="0" memberValueDatatype="5" unbalanced="0"/>
    <cacheHierarchy uniqueName="[BNW].[Vendor]" caption="Vendor" attribute="1" defaultMemberUniqueName="[BNW].[Vendor].[All]" allUniqueName="[BNW].[Vendor].[All]" dimensionUniqueName="[BNW]" displayFolder="" count="0" memberValueDatatype="130" unbalanced="0"/>
    <cacheHierarchy uniqueName="[BNW].[Date Release]" caption="Date Release" attribute="1" time="1" defaultMemberUniqueName="[BNW].[Date Release].[All]" allUniqueName="[BNW].[Date Release].[All]" dimensionUniqueName="[BNW]" displayFolder="" count="0" memberValueDatatype="7" unbalanced="0"/>
    <cacheHierarchy uniqueName="[BNW].[Keterangan]" caption="Keterangan" attribute="1" defaultMemberUniqueName="[BNW].[Keterangan].[All]" allUniqueName="[BNW].[Keterangan].[All]" dimensionUniqueName="[BNW]" displayFolder="" count="0" memberValueDatatype="130" unbalanced="0"/>
    <cacheHierarchy uniqueName="[BNW].[Status]" caption="Status" attribute="1" defaultMemberUniqueName="[BNW].[Status].[All]" allUniqueName="[BNW].[Status].[All]" dimensionUniqueName="[BNW]" displayFolder="" count="0" memberValueDatatype="20" unbalanced="0"/>
    <cacheHierarchy uniqueName="[Table2].[NO. PON]" caption="NO. PON" attribute="1" defaultMemberUniqueName="[Table2].[NO. PON].[All]" allUniqueName="[Table2].[NO. PON].[All]" dimensionUniqueName="[Table2]" displayFolder="" count="0" memberValueDatatype="130" unbalanced="0"/>
    <cacheHierarchy uniqueName="[Table2].[Type  Struktur]" caption="Type  Struktur" attribute="1" defaultMemberUniqueName="[Table2].[Type  Struktur].[All]" allUniqueName="[Table2].[Type  Struktur].[All]" dimensionUniqueName="[Table2]" displayFolder="" count="0" memberValueDatatype="130" unbalanced="0"/>
    <cacheHierarchy uniqueName="[Table2].[Qty (Unit)]" caption="Qty (Unit)" attribute="1" defaultMemberUniqueName="[Table2].[Qty (Unit)].[All]" allUniqueName="[Table2].[Qty (Unit)].[All]" dimensionUniqueName="[Table2]" displayFolder="" count="0" memberValueDatatype="20" unbalanced="0"/>
    <cacheHierarchy uniqueName="[Table2].[Marking Struktur]" caption="Marking Struktur" attribute="1" defaultMemberUniqueName="[Table2].[Marking Struktur].[All]" allUniqueName="[Table2].[Marking Struktur].[All]" dimensionUniqueName="[Table2]" displayFolder="" count="0" memberValueDatatype="130" unbalanced="0"/>
    <cacheHierarchy uniqueName="[Table2].[Deskripsi  Pekerjaan]" caption="Deskripsi  Pekerjaan" attribute="1" defaultMemberUniqueName="[Table2].[Deskripsi  Pekerjaan].[All]" allUniqueName="[Table2].[Deskripsi  Pekerjaan].[All]" dimensionUniqueName="[Table2]" displayFolder="" count="0" memberValueDatatype="130" unbalanced="0"/>
    <cacheHierarchy uniqueName="[Table2].[Client]" caption="Client" attribute="1" defaultMemberUniqueName="[Table2].[Client].[All]" allUniqueName="[Table2].[Client].[All]" dimensionUniqueName="[Table2]" displayFolder="" count="0" memberValueDatatype="130" unbalanced="0"/>
    <cacheHierarchy uniqueName="[Table2].[Daerah]" caption="Daerah" attribute="1" defaultMemberUniqueName="[Table2].[Daerah].[All]" allUniqueName="[Table2].[Daerah].[All]" dimensionUniqueName="[Table2]" displayFolder="" count="0" memberValueDatatype="130" unbalanced="0"/>
    <cacheHierarchy uniqueName="[Table2].[Total Berat (Kg)]" caption="Total Berat (Kg)" attribute="1" defaultMemberUniqueName="[Table2].[Total Berat (Kg)].[All]" allUniqueName="[Table2].[Total Berat (Kg)].[All]" dimensionUniqueName="[Table2]" displayFolder="" count="0" memberValueDatatype="5" unbalanced="0"/>
    <cacheHierarchy uniqueName="[Table2].[Status]" caption="Status" attribute="1" defaultMemberUniqueName="[Table2].[Status].[All]" allUniqueName="[Table2].[Status].[All]" dimensionUniqueName="[Table2]" displayFolder="" count="2" memberValueDatatype="130" unbalanced="0">
      <fieldsUsage count="2">
        <fieldUsage x="-1"/>
        <fieldUsage x="0"/>
      </fieldsUsage>
    </cacheHierarchy>
    <cacheHierarchy uniqueName="[Table2].[Marketing]" caption="Marketing" attribute="1" defaultMemberUniqueName="[Table2].[Marketing].[All]" allUniqueName="[Table2].[Marketing].[All]" dimensionUniqueName="[Table2]" displayFolder="" count="0" memberValueDatatype="130" unbalanced="0"/>
    <cacheHierarchy uniqueName="[Table2].[Progress]" caption="Progress" attribute="1" defaultMemberUniqueName="[Table2].[Progress].[All]" allUniqueName="[Table2].[Progress].[All]" dimensionUniqueName="[Table2]" displayFolder="" count="0" memberValueDatatype="5" unbalanced="0"/>
    <cacheHierarchy uniqueName="[Table2].[Issue]" caption="Issue" attribute="1" defaultMemberUniqueName="[Table2].[Issue].[All]" allUniqueName="[Table2].[Issue].[All]" dimensionUniqueName="[Table2]" displayFolder="" count="0" memberValueDatatype="130" unbalanced="0"/>
    <cacheHierarchy uniqueName="[Table2].[SUPPLY LIST]" caption="SUPPLY LIST" attribute="1" defaultMemberUniqueName="[Table2].[SUPPLY LIST].[All]" allUniqueName="[Table2].[SUPPLY LIST].[All]" dimensionUniqueName="[Table2]" displayFolder="" count="0" memberValueDatatype="5" unbalanced="0"/>
    <cacheHierarchy uniqueName="[Table2].[Date PON]" caption="Date PON" attribute="1" defaultMemberUniqueName="[Table2].[Date PON].[All]" allUniqueName="[Table2].[Date PON].[All]" dimensionUniqueName="[Table2]" displayFolder="" count="0" memberValueDatatype="130" unbalanced="0"/>
    <cacheHierarchy uniqueName="[Table2].[Date Finish]" caption="Date Finish" attribute="1" defaultMemberUniqueName="[Table2].[Date Finish].[All]" allUniqueName="[Table2].[Date Finish].[All]" dimensionUniqueName="[Table2]" displayFolder="" count="0" memberValueDatatype="130" unbalanced="0"/>
    <cacheHierarchy uniqueName="[Table2].[Column1]" caption="Column1" attribute="1" defaultMemberUniqueName="[Table2].[Column1].[All]" allUniqueName="[Table2].[Column1].[All]" dimensionUniqueName="[Table2]" displayFolder="" count="0" memberValueDatatype="130" unbalanced="0"/>
    <cacheHierarchy uniqueName="[Table2].[Date Aktual Finish]" caption="Date Aktual Finish" attribute="1" defaultMemberUniqueName="[Table2].[Date Aktual Finish].[All]" allUniqueName="[Table2].[Date Aktual Finish].[All]" dimensionUniqueName="[Table2]" displayFolder="" count="0" memberValueDatatype="130" unbalanced="0"/>
    <cacheHierarchy uniqueName="[Table2].[Finish Fabrikasi]" caption="Finish Fabrikasi" attribute="1" time="1" defaultMemberUniqueName="[Table2].[Finish Fabrikasi].[All]" allUniqueName="[Table2].[Finish Fabrikasi].[All]" dimensionUniqueName="[Table2]" displayFolder="" count="0" memberValueDatatype="7" unbalanced="0"/>
    <cacheHierarchy uniqueName="[Table2].[Date Aktual Delivery to Site]" caption="Date Aktual Delivery to Site" attribute="1" defaultMemberUniqueName="[Table2].[Date Aktual Delivery to Site].[All]" allUniqueName="[Table2].[Date Aktual Delivery to Site].[All]" dimensionUniqueName="[Table2]" displayFolder="" count="0" memberValueDatatype="130" unbalanced="0"/>
    <cacheHierarchy uniqueName="[Table2].[REMINDER]" caption="REMINDER" attribute="1" defaultMemberUniqueName="[Table2].[REMINDER].[All]" allUniqueName="[Table2].[REMINDER].[All]" dimensionUniqueName="[Table2]" displayFolder="" count="0" memberValueDatatype="130" unbalanced="0"/>
    <cacheHierarchy uniqueName="[Table2].[Keterangan]" caption="Keterangan" attribute="1" defaultMemberUniqueName="[Table2].[Keterangan].[All]" allUniqueName="[Table2].[Keterangan].[All]" dimensionUniqueName="[Table2]" displayFolder="" count="0" memberValueDatatype="130" unbalanced="0"/>
    <cacheHierarchy uniqueName="[Table2].[TAHUN]" caption="TAHUN" attribute="1" defaultMemberUniqueName="[Table2].[TAHUN].[All]" allUniqueName="[Table2].[TAHUN].[All]" dimensionUniqueName="[Table2]" displayFolder="" count="0" memberValueDatatype="20" unbalanced="0"/>
    <cacheHierarchy uniqueName="[Table3].[No.]" caption="No." attribute="1" defaultMemberUniqueName="[Table3].[No.].[All]" allUniqueName="[Table3].[No.].[All]" dimensionUniqueName="[Table3]" displayFolder="" count="0" memberValueDatatype="20" unbalanced="0"/>
    <cacheHierarchy uniqueName="[Table3].[No.PON]" caption="No.PON" attribute="1" defaultMemberUniqueName="[Table3].[No.PON].[All]" allUniqueName="[Table3].[No.PON].[All]" dimensionUniqueName="[Table3]" displayFolder="" count="0" memberValueDatatype="130" unbalanced="0"/>
    <cacheHierarchy uniqueName="[Table3].[Vendor]" caption="Vendor" attribute="1" defaultMemberUniqueName="[Table3].[Vendor].[All]" allUniqueName="[Table3].[Vendor].[All]" dimensionUniqueName="[Table3]" displayFolder="" count="0" memberValueDatatype="130" unbalanced="0"/>
    <cacheHierarchy uniqueName="[Table3].[Type  Struktur]" caption="Type  Struktur" attribute="1" defaultMemberUniqueName="[Table3].[Type  Struktur].[All]" allUniqueName="[Table3].[Type  Struktur].[All]" dimensionUniqueName="[Table3]" displayFolder="" count="0" memberValueDatatype="130" unbalanced="0"/>
    <cacheHierarchy uniqueName="[Table3].[Marking Struktur]" caption="Marking Struktur" attribute="1" defaultMemberUniqueName="[Table3].[Marking Struktur].[All]" allUniqueName="[Table3].[Marking Struktur].[All]" dimensionUniqueName="[Table3]" displayFolder="" count="0" memberValueDatatype="130" unbalanced="0"/>
    <cacheHierarchy uniqueName="[Table3].[Berat Fabrikasi]" caption="Berat Fabrikasi" attribute="1" defaultMemberUniqueName="[Table3].[Berat Fabrikasi].[All]" allUniqueName="[Table3].[Berat Fabrikasi].[All]" dimensionUniqueName="[Table3]" displayFolder="" count="0" memberValueDatatype="5" unbalanced="0"/>
    <cacheHierarchy uniqueName="[Table3].[Date Release SD]" caption="Date Release SD" attribute="1" defaultMemberUniqueName="[Table3].[Date Release SD].[All]" allUniqueName="[Table3].[Date Release SD].[All]" dimensionUniqueName="[Table3]" displayFolder="" count="0" memberValueDatatype="130" unbalanced="0"/>
    <cacheHierarchy uniqueName="[Table3].[Date Start  PON]" caption="Date Start  PON" attribute="1" defaultMemberUniqueName="[Table3].[Date Start  PON].[All]" allUniqueName="[Table3].[Date Start  PON].[All]" dimensionUniqueName="[Table3]" displayFolder="" count="0" memberValueDatatype="130" unbalanced="0"/>
    <cacheHierarchy uniqueName="[Table3].[Date Finish  PON]" caption="Date Finish  PON" attribute="1" defaultMemberUniqueName="[Table3].[Date Finish  PON].[All]" allUniqueName="[Table3].[Date Finish  PON].[All]" dimensionUniqueName="[Table3]" displayFolder="" count="0" memberValueDatatype="130" unbalanced="0"/>
    <cacheHierarchy uniqueName="[Table3].[Date Finish  Aktual]" caption="Date Finish  Aktual" attribute="1" time="1" defaultMemberUniqueName="[Table3].[Date Finish  Aktual].[All]" allUniqueName="[Table3].[Date Finish  Aktual].[All]" dimensionUniqueName="[Table3]" displayFolder="" count="0" memberValueDatatype="7" unbalanced="0"/>
    <cacheHierarchy uniqueName="[Table3].[Progress (%)]" caption="Progress (%)" attribute="1" defaultMemberUniqueName="[Table3].[Progress (%)].[All]" allUniqueName="[Table3].[Progress (%)].[All]" dimensionUniqueName="[Table3]" displayFolder="" count="0" memberValueDatatype="130" unbalanced="0"/>
    <cacheHierarchy uniqueName="[Table3].[ISSUE]" caption="ISSUE" attribute="1" defaultMemberUniqueName="[Table3].[ISSUE].[All]" allUniqueName="[Table3].[ISSUE].[All]" dimensionUniqueName="[Table3]" displayFolder="" count="0" memberValueDatatype="130" unbalanced="0"/>
    <cacheHierarchy uniqueName="[Table3].[STATUS]" caption="STATUS" attribute="1" defaultMemberUniqueName="[Table3].[STATUS].[All]" allUniqueName="[Table3].[STATUS].[All]" dimensionUniqueName="[Table3]" displayFolder="" count="0" memberValueDatatype="130" unbalanced="0"/>
    <cacheHierarchy uniqueName="[Table3].[Keterangan]" caption="Keterangan" attribute="1" defaultMemberUniqueName="[Table3].[Keterangan].[All]" allUniqueName="[Table3].[Keterangan].[All]" dimensionUniqueName="[Table3]" displayFolder="" count="0" memberValueDatatype="130" unbalanced="0"/>
    <cacheHierarchy uniqueName="[Table328].[No.PON]" caption="No.PON" attribute="1" defaultMemberUniqueName="[Table328].[No.PON].[All]" allUniqueName="[Table328].[No.PON].[All]" dimensionUniqueName="[Table328]" displayFolder="" count="0" memberValueDatatype="130" unbalanced="0"/>
    <cacheHierarchy uniqueName="[Table328].[Type  Struktur]" caption="Type  Struktur" attribute="1" defaultMemberUniqueName="[Table328].[Type  Struktur].[All]" allUniqueName="[Table328].[Type  Struktur].[All]" dimensionUniqueName="[Table328]" displayFolder="" count="0" memberValueDatatype="130" unbalanced="0"/>
    <cacheHierarchy uniqueName="[Table328].[Marking Struktur]" caption="Marking Struktur" attribute="1" defaultMemberUniqueName="[Table328].[Marking Struktur].[All]" allUniqueName="[Table328].[Marking Struktur].[All]" dimensionUniqueName="[Table328]" displayFolder="" count="0" memberValueDatatype="130" unbalanced="0"/>
    <cacheHierarchy uniqueName="[Table328].[Deskripsi Consumable]" caption="Deskripsi Consumable" attribute="1" defaultMemberUniqueName="[Table328].[Deskripsi Consumable].[All]" allUniqueName="[Table328].[Deskripsi Consumable].[All]" dimensionUniqueName="[Table328]" displayFolder="" count="0" memberValueDatatype="130" unbalanced="0"/>
    <cacheHierarchy uniqueName="[Table328].[Harga Satuan (Rp)]" caption="Harga Satuan (Rp)" attribute="1" defaultMemberUniqueName="[Table328].[Harga Satuan (Rp)].[All]" allUniqueName="[Table328].[Harga Satuan (Rp)].[All]" dimensionUniqueName="[Table328]" displayFolder="" count="0" memberValueDatatype="20" unbalanced="0"/>
    <cacheHierarchy uniqueName="[Table328].[Qty (pcs)]" caption="Qty (pcs)" attribute="1" defaultMemberUniqueName="[Table328].[Qty (pcs)].[All]" allUniqueName="[Table328].[Qty (pcs)].[All]" dimensionUniqueName="[Table328]" displayFolder="" count="0" memberValueDatatype="20" unbalanced="0"/>
    <cacheHierarchy uniqueName="[Table328].[Total Belanja]" caption="Total Belanja" attribute="1" defaultMemberUniqueName="[Table328].[Total Belanja].[All]" allUniqueName="[Table328].[Total Belanja].[All]" dimensionUniqueName="[Table328]" displayFolder="" count="0" memberValueDatatype="20" unbalanced="0"/>
    <cacheHierarchy uniqueName="[Table328].[Tanggal  Pengajuan]" caption="Tanggal  Pengajuan" attribute="1" time="1" defaultMemberUniqueName="[Table328].[Tanggal  Pengajuan].[All]" allUniqueName="[Table328].[Tanggal  Pengajuan].[All]" dimensionUniqueName="[Table328]" displayFolder="" count="0" memberValueDatatype="7" unbalanced="0"/>
    <cacheHierarchy uniqueName="[Table328].[KETERANGAN]" caption="KETERANGAN" attribute="1" defaultMemberUniqueName="[Table328].[KETERANGAN].[All]" allUniqueName="[Table328].[KETERANGAN].[All]" dimensionUniqueName="[Table328]" displayFolder="" count="0" memberValueDatatype="130" unbalanced="0"/>
    <cacheHierarchy uniqueName="[Table328].[Date Finish  Aktual]" caption="Date Finish  Aktual" attribute="1" defaultMemberUniqueName="[Table328].[Date Finish  Aktual].[All]" allUniqueName="[Table328].[Date Finish  Aktual].[All]" dimensionUniqueName="[Table328]" displayFolder="" count="0" memberValueDatatype="130" unbalanced="0"/>
    <cacheHierarchy uniqueName="[Table328].[Keterangan2]" caption="Keterangan2" attribute="1" defaultMemberUniqueName="[Table328].[Keterangan2].[All]" allUniqueName="[Table328].[Keterangan2].[All]" dimensionUniqueName="[Table328]" displayFolder="" count="0" memberValueDatatype="130" unbalanced="0"/>
    <cacheHierarchy uniqueName="[Table4].[No.]" caption="No." attribute="1" defaultMemberUniqueName="[Table4].[No.].[All]" allUniqueName="[Table4].[No.].[All]" dimensionUniqueName="[Table4]" displayFolder="" count="0" memberValueDatatype="20" unbalanced="0"/>
    <cacheHierarchy uniqueName="[Table4].[No.PON]" caption="No.PON" attribute="1" defaultMemberUniqueName="[Table4].[No.PON].[All]" allUniqueName="[Table4].[No.PON].[All]" dimensionUniqueName="[Table4]" displayFolder="" count="0" memberValueDatatype="130" unbalanced="0"/>
    <cacheHierarchy uniqueName="[Table4].[Type  Struktur]" caption="Type  Struktur" attribute="1" defaultMemberUniqueName="[Table4].[Type  Struktur].[All]" allUniqueName="[Table4].[Type  Struktur].[All]" dimensionUniqueName="[Table4]" displayFolder="" count="0" memberValueDatatype="130" unbalanced="0"/>
    <cacheHierarchy uniqueName="[Table4].[Marking Struktur]" caption="Marking Struktur" attribute="1" defaultMemberUniqueName="[Table4].[Marking Struktur].[All]" allUniqueName="[Table4].[Marking Struktur].[All]" dimensionUniqueName="[Table4]" displayFolder="" count="0" memberValueDatatype="130" unbalanced="0"/>
    <cacheHierarchy uniqueName="[Table4].[Date Issue]" caption="Date Issue" attribute="1" time="1" defaultMemberUniqueName="[Table4].[Date Issue].[All]" allUniqueName="[Table4].[Date Issue].[All]" dimensionUniqueName="[Table4]" displayFolder="" count="0" memberValueDatatype="7" unbalanced="0"/>
    <cacheHierarchy uniqueName="[Table4].[ISSUE]" caption="ISSUE" attribute="1" defaultMemberUniqueName="[Table4].[ISSUE].[All]" allUniqueName="[Table4].[ISSUE].[All]" dimensionUniqueName="[Table4]" displayFolder="" count="0" memberValueDatatype="130" unbalanced="0"/>
    <cacheHierarchy uniqueName="[Table5].[No.]" caption="No." attribute="1" defaultMemberUniqueName="[Table5].[No.].[All]" allUniqueName="[Table5].[No.].[All]" dimensionUniqueName="[Table5]" displayFolder="" count="0" memberValueDatatype="20" unbalanced="0"/>
    <cacheHierarchy uniqueName="[Table5].[No.PON]" caption="No.PON" attribute="1" defaultMemberUniqueName="[Table5].[No.PON].[All]" allUniqueName="[Table5].[No.PON].[All]" dimensionUniqueName="[Table5]" displayFolder="" count="0" memberValueDatatype="130" unbalanced="0"/>
    <cacheHierarchy uniqueName="[Table5].[Type  Struktur]" caption="Type  Struktur" attribute="1" defaultMemberUniqueName="[Table5].[Type  Struktur].[All]" allUniqueName="[Table5].[Type  Struktur].[All]" dimensionUniqueName="[Table5]" displayFolder="" count="0" memberValueDatatype="130" unbalanced="0"/>
    <cacheHierarchy uniqueName="[Table5].[Marking Struktur]" caption="Marking Struktur" attribute="1" defaultMemberUniqueName="[Table5].[Marking Struktur].[All]" allUniqueName="[Table5].[Marking Struktur].[All]" dimensionUniqueName="[Table5]" displayFolder="" count="0" memberValueDatatype="130" unbalanced="0"/>
    <cacheHierarchy uniqueName="[Table5].[Vendor]" caption="Vendor" attribute="1" defaultMemberUniqueName="[Table5].[Vendor].[All]" allUniqueName="[Table5].[Vendor].[All]" dimensionUniqueName="[Table5]" displayFolder="" count="0" memberValueDatatype="130" unbalanced="0"/>
    <cacheHierarchy uniqueName="[Table5].[No. PO]" caption="No. PO" attribute="1" defaultMemberUniqueName="[Table5].[No. PO].[All]" allUniqueName="[Table5].[No. PO].[All]" dimensionUniqueName="[Table5]" displayFolder="" count="0" memberValueDatatype="130" unbalanced="0"/>
    <cacheHierarchy uniqueName="[Table5].[Purchase]" caption="Purchase" attribute="1" defaultMemberUniqueName="[Table5].[Purchase].[All]" allUniqueName="[Table5].[Purchase].[All]" dimensionUniqueName="[Table5]" displayFolder="" count="0" memberValueDatatype="130" unbalanced="0"/>
    <cacheHierarchy uniqueName="[Table5].[Marking Aksesories]" caption="Marking Aksesories" attribute="1" defaultMemberUniqueName="[Table5].[Marking Aksesories].[All]" allUniqueName="[Table5].[Marking Aksesories].[All]" dimensionUniqueName="[Table5]" displayFolder="" count="0" memberValueDatatype="130" unbalanced="0"/>
    <cacheHierarchy uniqueName="[Table5].[Dimensi/Ukuran]" caption="Dimensi/Ukuran" attribute="1" defaultMemberUniqueName="[Table5].[Dimensi/Ukuran].[All]" allUniqueName="[Table5].[Dimensi/Ukuran].[All]" dimensionUniqueName="[Table5]" displayFolder="" count="0" memberValueDatatype="130" unbalanced="0"/>
    <cacheHierarchy uniqueName="[Table5].[Qty (pcs)]" caption="Qty (pcs)" attribute="1" defaultMemberUniqueName="[Table5].[Qty (pcs)].[All]" allUniqueName="[Table5].[Qty (pcs)].[All]" dimensionUniqueName="[Table5]" displayFolder="" count="0" memberValueDatatype="20" unbalanced="0"/>
    <cacheHierarchy uniqueName="[Table5].[Unit (Set)]" caption="Unit (Set)" attribute="1" defaultMemberUniqueName="[Table5].[Unit (Set)].[All]" allUniqueName="[Table5].[Unit (Set)].[All]" dimensionUniqueName="[Table5]" displayFolder="" count="0" memberValueDatatype="20" unbalanced="0"/>
    <cacheHierarchy uniqueName="[Table5].[Total  (pcs)]" caption="Total  (pcs)" attribute="1" defaultMemberUniqueName="[Table5].[Total  (pcs)].[All]" allUniqueName="[Table5].[Total  (pcs)].[All]" dimensionUniqueName="[Table5]" displayFolder="" count="0" memberValueDatatype="20" unbalanced="0"/>
    <cacheHierarchy uniqueName="[Table5].[Berat/pcs (Kg)]" caption="Berat/pcs (Kg)" attribute="1" defaultMemberUniqueName="[Table5].[Berat/pcs (Kg)].[All]" allUniqueName="[Table5].[Berat/pcs (Kg)].[All]" dimensionUniqueName="[Table5]" displayFolder="" count="0" memberValueDatatype="5" unbalanced="0"/>
    <cacheHierarchy uniqueName="[Table5].[Total Berat (Kg)]" caption="Total Berat (Kg)" attribute="1" defaultMemberUniqueName="[Table5].[Total Berat (Kg)].[All]" allUniqueName="[Table5].[Total Berat (Kg)].[All]" dimensionUniqueName="[Table5]" displayFolder="" count="0" memberValueDatatype="5" unbalanced="0"/>
    <cacheHierarchy uniqueName="[Table5].[Sent to Purchase]" caption="Sent to Purchase" attribute="1" defaultMemberUniqueName="[Table5].[Sent to Purchase].[All]" allUniqueName="[Table5].[Sent to Purchase].[All]" dimensionUniqueName="[Table5]" displayFolder="" count="0" memberValueDatatype="130" unbalanced="0"/>
    <cacheHierarchy uniqueName="[Table5].[Status data dikirim]" caption="Status data dikirim" attribute="1" defaultMemberUniqueName="[Table5].[Status data dikirim].[All]" allUniqueName="[Table5].[Status data dikirim].[All]" dimensionUniqueName="[Table5]" displayFolder="" count="0" memberValueDatatype="130" unbalanced="0"/>
    <cacheHierarchy uniqueName="[Table5].[Keterangan]" caption="Keterangan" attribute="1" defaultMemberUniqueName="[Table5].[Keterangan].[All]" allUniqueName="[Table5].[Keterangan].[All]" dimensionUniqueName="[Table5]" displayFolder="" count="0" memberValueDatatype="130" unbalanced="0"/>
    <cacheHierarchy uniqueName="[Measures].[ISSUE'S ]" caption="ISSUE'S " measure="1" displayFolder="" measureGroup="Table2" count="0"/>
    <cacheHierarchy uniqueName="[Measures].[__XL_Count Table4]" caption="__XL_Count Table4" measure="1" displayFolder="" measureGroup="Table4" count="0" hidden="1"/>
    <cacheHierarchy uniqueName="[Measures].[__XL_Count Table2]" caption="__XL_Count Table2" measure="1" displayFolder="" measureGroup="Table2" count="0" hidden="1"/>
    <cacheHierarchy uniqueName="[Measures].[__XL_Count Table3]" caption="__XL_Count Table3" measure="1" displayFolder="" measureGroup="Table3" count="0" hidden="1"/>
    <cacheHierarchy uniqueName="[Measures].[__XL_Count Table5]" caption="__XL_Count Table5" measure="1" displayFolder="" measureGroup="Table5" count="0" hidden="1"/>
    <cacheHierarchy uniqueName="[Measures].[__XL_Count BNW]" caption="__XL_Count BNW" measure="1" displayFolder="" measureGroup="BNW" count="0" hidden="1"/>
    <cacheHierarchy uniqueName="[Measures].[__XL_Count Table328]" caption="__XL_Count Table328" measure="1" displayFolder="" measureGroup="Table328" count="0" hidden="1"/>
    <cacheHierarchy uniqueName="[Measures].[__No measures defined]" caption="__No measures defined" measure="1" displayFolder="" count="0" hidden="1"/>
    <cacheHierarchy uniqueName="[Measures].[Sum of Qty (Unit)]" caption="Sum of Qty (Unit)" measure="1" displayFolder="" measureGroup="Table2" count="0" hidden="1">
      <extLst>
        <ext xmlns:x15="http://schemas.microsoft.com/office/spreadsheetml/2010/11/main" uri="{B97F6D7D-B522-45F9-BDA1-12C45D357490}">
          <x15:cacheHierarchy aggregatedColumn="15"/>
        </ext>
      </extLst>
    </cacheHierarchy>
    <cacheHierarchy uniqueName="[Measures].[Sum of Total Berat (Kg)]" caption="Sum of Total Berat (Kg)" measure="1" displayFolder="" measureGroup="Table2" count="0" hidden="1">
      <extLst>
        <ext xmlns:x15="http://schemas.microsoft.com/office/spreadsheetml/2010/11/main" uri="{B97F6D7D-B522-45F9-BDA1-12C45D357490}">
          <x15:cacheHierarchy aggregatedColumn="20"/>
        </ext>
      </extLst>
    </cacheHierarchy>
    <cacheHierarchy uniqueName="[Measures].[Count of Status]" caption="Count of Status" measure="1" displayFolder="" measureGroup="Table2" count="0" hidden="1">
      <extLst>
        <ext xmlns:x15="http://schemas.microsoft.com/office/spreadsheetml/2010/11/main" uri="{B97F6D7D-B522-45F9-BDA1-12C45D357490}">
          <x15:cacheHierarchy aggregatedColumn="21"/>
        </ext>
      </extLst>
    </cacheHierarchy>
    <cacheHierarchy uniqueName="[Measures].[Sum of Unit (Set)]" caption="Sum of Unit (Set)" measure="1" displayFolder="" measureGroup="Table5" count="0" hidden="1">
      <extLst>
        <ext xmlns:x15="http://schemas.microsoft.com/office/spreadsheetml/2010/11/main" uri="{B97F6D7D-B522-45F9-BDA1-12C45D357490}">
          <x15:cacheHierarchy aggregatedColumn="76"/>
        </ext>
      </extLst>
    </cacheHierarchy>
    <cacheHierarchy uniqueName="[Measures].[Sum of Berat/pcs (Kg)]" caption="Sum of Berat/pcs (Kg)" measure="1" displayFolder="" measureGroup="Table5" count="0" hidden="1">
      <extLst>
        <ext xmlns:x15="http://schemas.microsoft.com/office/spreadsheetml/2010/11/main" uri="{B97F6D7D-B522-45F9-BDA1-12C45D357490}">
          <x15:cacheHierarchy aggregatedColumn="78"/>
        </ext>
      </extLst>
    </cacheHierarchy>
    <cacheHierarchy uniqueName="[Measures].[Count of Marking Aksesories]" caption="Count of Marking Aksesories" measure="1" displayFolder="" measureGroup="Table5" count="0" hidden="1">
      <extLst>
        <ext xmlns:x15="http://schemas.microsoft.com/office/spreadsheetml/2010/11/main" uri="{B97F6D7D-B522-45F9-BDA1-12C45D357490}">
          <x15:cacheHierarchy aggregatedColumn="73"/>
        </ext>
      </extLst>
    </cacheHierarchy>
    <cacheHierarchy uniqueName="[Measures].[Count of NO. PON]" caption="Count of NO. PON" measure="1" displayFolder="" measureGroup="Table2" count="0" hidden="1">
      <extLst>
        <ext xmlns:x15="http://schemas.microsoft.com/office/spreadsheetml/2010/11/main" uri="{B97F6D7D-B522-45F9-BDA1-12C45D357490}">
          <x15:cacheHierarchy aggregatedColumn="13"/>
        </ext>
      </extLst>
    </cacheHierarchy>
    <cacheHierarchy uniqueName="[Measures].[Count of Type  Struktur]" caption="Count of Type  Struktur" measure="1" displayFolder="" measureGroup="Table2" count="0" hidden="1">
      <extLst>
        <ext xmlns:x15="http://schemas.microsoft.com/office/spreadsheetml/2010/11/main" uri="{B97F6D7D-B522-45F9-BDA1-12C45D357490}">
          <x15:cacheHierarchy aggregatedColumn="14"/>
        </ext>
      </extLst>
    </cacheHierarchy>
    <cacheHierarchy uniqueName="[Measures].[Count of Deskripsi  Pekerjaan]" caption="Count of Deskripsi  Pekerjaan" measure="1" displayFolder="" measureGroup="Table2" count="0" hidden="1">
      <extLst>
        <ext xmlns:x15="http://schemas.microsoft.com/office/spreadsheetml/2010/11/main" uri="{B97F6D7D-B522-45F9-BDA1-12C45D357490}">
          <x15:cacheHierarchy aggregatedColumn="17"/>
        </ext>
      </extLst>
    </cacheHierarchy>
    <cacheHierarchy uniqueName="[Measures].[Count of Client]" caption="Count of Client" measure="1" displayFolder="" measureGroup="Table2" count="0" hidden="1">
      <extLst>
        <ext xmlns:x15="http://schemas.microsoft.com/office/spreadsheetml/2010/11/main" uri="{B97F6D7D-B522-45F9-BDA1-12C45D357490}">
          <x15:cacheHierarchy aggregatedColumn="18"/>
        </ext>
      </extLst>
    </cacheHierarchy>
    <cacheHierarchy uniqueName="[Measures].[Count of Marking Struktur]" caption="Count of Marking Struktur" measure="1" displayFolder="" measureGroup="Table2" count="0" hidden="1">
      <extLst>
        <ext xmlns:x15="http://schemas.microsoft.com/office/spreadsheetml/2010/11/main" uri="{B97F6D7D-B522-45F9-BDA1-12C45D357490}">
          <x15:cacheHierarchy aggregatedColumn="16"/>
        </ext>
      </extLst>
    </cacheHierarchy>
    <cacheHierarchy uniqueName="[Measures].[Average of Total Berat (Kg)]" caption="Average of Total Berat (Kg)" measure="1" displayFolder="" measureGroup="Table2" count="0" hidden="1">
      <extLst>
        <ext xmlns:x15="http://schemas.microsoft.com/office/spreadsheetml/2010/11/main" uri="{B97F6D7D-B522-45F9-BDA1-12C45D357490}">
          <x15:cacheHierarchy aggregatedColumn="20"/>
        </ext>
      </extLst>
    </cacheHierarchy>
    <cacheHierarchy uniqueName="[Measures].[Count of Total Berat (Kg)]" caption="Count of Total Berat (Kg)" measure="1" displayFolder="" measureGroup="Table2" count="0" oneField="1" hidden="1">
      <fieldsUsage count="1">
        <fieldUsage x="1"/>
      </fieldsUsage>
      <extLst>
        <ext xmlns:x15="http://schemas.microsoft.com/office/spreadsheetml/2010/11/main" uri="{B97F6D7D-B522-45F9-BDA1-12C45D357490}">
          <x15:cacheHierarchy aggregatedColumn="20"/>
        </ext>
      </extLst>
    </cacheHierarchy>
  </cacheHierarchies>
  <kpis count="0"/>
  <dimensions count="7">
    <dimension name="BNW" uniqueName="[BNW]" caption="BNW"/>
    <dimension measure="1" name="Measures" uniqueName="[Measures]" caption="Measures"/>
    <dimension name="Table2" uniqueName="[Table2]" caption="Table2"/>
    <dimension name="Table3" uniqueName="[Table3]" caption="Table3"/>
    <dimension name="Table328" uniqueName="[Table328]" caption="Table328"/>
    <dimension name="Table4" uniqueName="[Table4]" caption="Table4"/>
    <dimension name="Table5" uniqueName="[Table5]" caption="Table5"/>
  </dimensions>
  <measureGroups count="6">
    <measureGroup name="BNW" caption="BNW"/>
    <measureGroup name="Table2" caption="Table2"/>
    <measureGroup name="Table3" caption="Table3"/>
    <measureGroup name="Table328" caption="Table328"/>
    <measureGroup name="Table4" caption="Table4"/>
    <measureGroup name="Table5" caption="Table5"/>
  </measureGroups>
  <maps count="6">
    <map measureGroup="0" dimension="0"/>
    <map measureGroup="1" dimension="2"/>
    <map measureGroup="2" dimension="3"/>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lee-ptwiratama.com" refreshedDate="45338.724759375" backgroundQuery="1" createdVersion="8" refreshedVersion="8" minRefreshableVersion="3" recordCount="0" supportSubquery="1" supportAdvancedDrill="1" xr:uid="{3D316A45-0234-42EB-AFD0-17F7623B141C}">
  <cacheSource type="external" connectionId="1"/>
  <cacheFields count="2">
    <cacheField name="[Table2].[Marketing].[Marketing]" caption="Marketing" numFmtId="0" hierarchy="22" level="1">
      <sharedItems count="6">
        <s v="ATADIWIRA KANAN"/>
        <s v="CHAKIM"/>
        <s v="FIKRI ARAFAH"/>
        <s v="JON PUTRA"/>
        <s v="N/A"/>
        <s v="YUSUF"/>
      </sharedItems>
      <extLst>
        <ext xmlns:x15="http://schemas.microsoft.com/office/spreadsheetml/2010/11/main" uri="{4F2E5C28-24EA-4eb8-9CBF-B6C8F9C3D259}">
          <x15:cachedUniqueNames>
            <x15:cachedUniqueName index="0" name="[Table2].[Marketing].&amp;[ATADIWIRA KANAN]"/>
            <x15:cachedUniqueName index="1" name="[Table2].[Marketing].&amp;[CHAKIM]"/>
            <x15:cachedUniqueName index="2" name="[Table2].[Marketing].&amp;[FIKRI ARAFAH]"/>
            <x15:cachedUniqueName index="3" name="[Table2].[Marketing].&amp;[JON PUTRA]"/>
            <x15:cachedUniqueName index="4" name="[Table2].[Marketing].&amp;[N/A]"/>
            <x15:cachedUniqueName index="5" name="[Table2].[Marketing].&amp;[YUSUF]"/>
          </x15:cachedUniqueNames>
        </ext>
      </extLst>
    </cacheField>
    <cacheField name="[Measures].[Sum of Total Berat (Kg)]" caption="Sum of Total Berat (Kg)" numFmtId="0" hierarchy="92" level="32767"/>
  </cacheFields>
  <cacheHierarchies count="104">
    <cacheHierarchy uniqueName="[BNW].[No.PON]" caption="No.PON" attribute="1" defaultMemberUniqueName="[BNW].[No.PON].[All]" allUniqueName="[BNW].[No.PON].[All]" dimensionUniqueName="[BNW]" displayFolder="" count="0" memberValueDatatype="130" unbalanced="0"/>
    <cacheHierarchy uniqueName="[BNW].[Type  Struktur]" caption="Type  Struktur" attribute="1" defaultMemberUniqueName="[BNW].[Type  Struktur].[All]" allUniqueName="[BNW].[Type  Struktur].[All]" dimensionUniqueName="[BNW]" displayFolder="" count="0" memberValueDatatype="130" unbalanced="0"/>
    <cacheHierarchy uniqueName="[BNW].[Marking Struktur]" caption="Marking Struktur" attribute="1" defaultMemberUniqueName="[BNW].[Marking Struktur].[All]" allUniqueName="[BNW].[Marking Struktur].[All]" dimensionUniqueName="[BNW]" displayFolder="" count="0" memberValueDatatype="130" unbalanced="0"/>
    <cacheHierarchy uniqueName="[BNW].[Dimensi]" caption="Dimensi" attribute="1" defaultMemberUniqueName="[BNW].[Dimensi].[All]" allUniqueName="[BNW].[Dimensi].[All]" dimensionUniqueName="[BNW]" displayFolder="" count="0" memberValueDatatype="130" unbalanced="0"/>
    <cacheHierarchy uniqueName="[BNW].[Spesifikasi]" caption="Spesifikasi" attribute="1" defaultMemberUniqueName="[BNW].[Spesifikasi].[All]" allUniqueName="[BNW].[Spesifikasi].[All]" dimensionUniqueName="[BNW]" displayFolder="" count="0" memberValueDatatype="130" unbalanced="0"/>
    <cacheHierarchy uniqueName="[BNW].[Grade]" caption="Grade" attribute="1" defaultMemberUniqueName="[BNW].[Grade].[All]" allUniqueName="[BNW].[Grade].[All]" dimensionUniqueName="[BNW]" displayFolder="" count="0" memberValueDatatype="130" unbalanced="0"/>
    <cacheHierarchy uniqueName="[BNW].[Qty (Set)]" caption="Qty (Set)" attribute="1" defaultMemberUniqueName="[BNW].[Qty (Set)].[All]" allUniqueName="[BNW].[Qty (Set)].[All]" dimensionUniqueName="[BNW]" displayFolder="" count="0" memberValueDatatype="20" unbalanced="0"/>
    <cacheHierarchy uniqueName="[BNW].[Berat Satuan (Kg)]" caption="Berat Satuan (Kg)" attribute="1" defaultMemberUniqueName="[BNW].[Berat Satuan (Kg)].[All]" allUniqueName="[BNW].[Berat Satuan (Kg)].[All]" dimensionUniqueName="[BNW]" displayFolder="" count="0" memberValueDatatype="5" unbalanced="0"/>
    <cacheHierarchy uniqueName="[BNW].[Total Berat Baut (Kg)]" caption="Total Berat Baut (Kg)" attribute="1" defaultMemberUniqueName="[BNW].[Total Berat Baut (Kg)].[All]" allUniqueName="[BNW].[Total Berat Baut (Kg)].[All]" dimensionUniqueName="[BNW]" displayFolder="" count="0" memberValueDatatype="5" unbalanced="0"/>
    <cacheHierarchy uniqueName="[BNW].[Vendor]" caption="Vendor" attribute="1" defaultMemberUniqueName="[BNW].[Vendor].[All]" allUniqueName="[BNW].[Vendor].[All]" dimensionUniqueName="[BNW]" displayFolder="" count="0" memberValueDatatype="130" unbalanced="0"/>
    <cacheHierarchy uniqueName="[BNW].[Date Release]" caption="Date Release" attribute="1" time="1" defaultMemberUniqueName="[BNW].[Date Release].[All]" allUniqueName="[BNW].[Date Release].[All]" dimensionUniqueName="[BNW]" displayFolder="" count="0" memberValueDatatype="7" unbalanced="0"/>
    <cacheHierarchy uniqueName="[BNW].[Keterangan]" caption="Keterangan" attribute="1" defaultMemberUniqueName="[BNW].[Keterangan].[All]" allUniqueName="[BNW].[Keterangan].[All]" dimensionUniqueName="[BNW]" displayFolder="" count="0" memberValueDatatype="130" unbalanced="0"/>
    <cacheHierarchy uniqueName="[BNW].[Status]" caption="Status" attribute="1" defaultMemberUniqueName="[BNW].[Status].[All]" allUniqueName="[BNW].[Status].[All]" dimensionUniqueName="[BNW]" displayFolder="" count="0" memberValueDatatype="20" unbalanced="0"/>
    <cacheHierarchy uniqueName="[Table2].[NO. PON]" caption="NO. PON" attribute="1" defaultMemberUniqueName="[Table2].[NO. PON].[All]" allUniqueName="[Table2].[NO. PON].[All]" dimensionUniqueName="[Table2]" displayFolder="" count="0" memberValueDatatype="130" unbalanced="0"/>
    <cacheHierarchy uniqueName="[Table2].[Type  Struktur]" caption="Type  Struktur" attribute="1" defaultMemberUniqueName="[Table2].[Type  Struktur].[All]" allUniqueName="[Table2].[Type  Struktur].[All]" dimensionUniqueName="[Table2]" displayFolder="" count="0" memberValueDatatype="130" unbalanced="0"/>
    <cacheHierarchy uniqueName="[Table2].[Qty (Unit)]" caption="Qty (Unit)" attribute="1" defaultMemberUniqueName="[Table2].[Qty (Unit)].[All]" allUniqueName="[Table2].[Qty (Unit)].[All]" dimensionUniqueName="[Table2]" displayFolder="" count="0" memberValueDatatype="20" unbalanced="0"/>
    <cacheHierarchy uniqueName="[Table2].[Marking Struktur]" caption="Marking Struktur" attribute="1" defaultMemberUniqueName="[Table2].[Marking Struktur].[All]" allUniqueName="[Table2].[Marking Struktur].[All]" dimensionUniqueName="[Table2]" displayFolder="" count="0" memberValueDatatype="130" unbalanced="0"/>
    <cacheHierarchy uniqueName="[Table2].[Deskripsi  Pekerjaan]" caption="Deskripsi  Pekerjaan" attribute="1" defaultMemberUniqueName="[Table2].[Deskripsi  Pekerjaan].[All]" allUniqueName="[Table2].[Deskripsi  Pekerjaan].[All]" dimensionUniqueName="[Table2]" displayFolder="" count="0" memberValueDatatype="130" unbalanced="0"/>
    <cacheHierarchy uniqueName="[Table2].[Client]" caption="Client" attribute="1" defaultMemberUniqueName="[Table2].[Client].[All]" allUniqueName="[Table2].[Client].[All]" dimensionUniqueName="[Table2]" displayFolder="" count="0" memberValueDatatype="130" unbalanced="0"/>
    <cacheHierarchy uniqueName="[Table2].[Daerah]" caption="Daerah" attribute="1" defaultMemberUniqueName="[Table2].[Daerah].[All]" allUniqueName="[Table2].[Daerah].[All]" dimensionUniqueName="[Table2]" displayFolder="" count="0" memberValueDatatype="130" unbalanced="0"/>
    <cacheHierarchy uniqueName="[Table2].[Total Berat (Kg)]" caption="Total Berat (Kg)" attribute="1" defaultMemberUniqueName="[Table2].[Total Berat (Kg)].[All]" allUniqueName="[Table2].[Total Berat (Kg)].[All]" dimensionUniqueName="[Table2]" displayFolder="" count="0" memberValueDatatype="5" unbalanced="0"/>
    <cacheHierarchy uniqueName="[Table2].[Status]" caption="Status" attribute="1" defaultMemberUniqueName="[Table2].[Status].[All]" allUniqueName="[Table2].[Status].[All]" dimensionUniqueName="[Table2]" displayFolder="" count="0" memberValueDatatype="130" unbalanced="0"/>
    <cacheHierarchy uniqueName="[Table2].[Marketing]" caption="Marketing" attribute="1" defaultMemberUniqueName="[Table2].[Marketing].[All]" allUniqueName="[Table2].[Marketing].[All]" dimensionUniqueName="[Table2]" displayFolder="" count="2" memberValueDatatype="130" unbalanced="0">
      <fieldsUsage count="2">
        <fieldUsage x="-1"/>
        <fieldUsage x="0"/>
      </fieldsUsage>
    </cacheHierarchy>
    <cacheHierarchy uniqueName="[Table2].[Progress]" caption="Progress" attribute="1" defaultMemberUniqueName="[Table2].[Progress].[All]" allUniqueName="[Table2].[Progress].[All]" dimensionUniqueName="[Table2]" displayFolder="" count="0" memberValueDatatype="5" unbalanced="0"/>
    <cacheHierarchy uniqueName="[Table2].[Issue]" caption="Issue" attribute="1" defaultMemberUniqueName="[Table2].[Issue].[All]" allUniqueName="[Table2].[Issue].[All]" dimensionUniqueName="[Table2]" displayFolder="" count="0" memberValueDatatype="130" unbalanced="0"/>
    <cacheHierarchy uniqueName="[Table2].[SUPPLY LIST]" caption="SUPPLY LIST" attribute="1" defaultMemberUniqueName="[Table2].[SUPPLY LIST].[All]" allUniqueName="[Table2].[SUPPLY LIST].[All]" dimensionUniqueName="[Table2]" displayFolder="" count="0" memberValueDatatype="5" unbalanced="0"/>
    <cacheHierarchy uniqueName="[Table2].[Date PON]" caption="Date PON" attribute="1" defaultMemberUniqueName="[Table2].[Date PON].[All]" allUniqueName="[Table2].[Date PON].[All]" dimensionUniqueName="[Table2]" displayFolder="" count="0" memberValueDatatype="130" unbalanced="0"/>
    <cacheHierarchy uniqueName="[Table2].[Date Finish]" caption="Date Finish" attribute="1" defaultMemberUniqueName="[Table2].[Date Finish].[All]" allUniqueName="[Table2].[Date Finish].[All]" dimensionUniqueName="[Table2]" displayFolder="" count="0" memberValueDatatype="130" unbalanced="0"/>
    <cacheHierarchy uniqueName="[Table2].[Column1]" caption="Column1" attribute="1" defaultMemberUniqueName="[Table2].[Column1].[All]" allUniqueName="[Table2].[Column1].[All]" dimensionUniqueName="[Table2]" displayFolder="" count="0" memberValueDatatype="130" unbalanced="0"/>
    <cacheHierarchy uniqueName="[Table2].[Date Aktual Finish]" caption="Date Aktual Finish" attribute="1" defaultMemberUniqueName="[Table2].[Date Aktual Finish].[All]" allUniqueName="[Table2].[Date Aktual Finish].[All]" dimensionUniqueName="[Table2]" displayFolder="" count="0" memberValueDatatype="130" unbalanced="0"/>
    <cacheHierarchy uniqueName="[Table2].[Finish Fabrikasi]" caption="Finish Fabrikasi" attribute="1" time="1" defaultMemberUniqueName="[Table2].[Finish Fabrikasi].[All]" allUniqueName="[Table2].[Finish Fabrikasi].[All]" dimensionUniqueName="[Table2]" displayFolder="" count="0" memberValueDatatype="7" unbalanced="0"/>
    <cacheHierarchy uniqueName="[Table2].[Date Aktual Delivery to Site]" caption="Date Aktual Delivery to Site" attribute="1" defaultMemberUniqueName="[Table2].[Date Aktual Delivery to Site].[All]" allUniqueName="[Table2].[Date Aktual Delivery to Site].[All]" dimensionUniqueName="[Table2]" displayFolder="" count="0" memberValueDatatype="130" unbalanced="0"/>
    <cacheHierarchy uniqueName="[Table2].[REMINDER]" caption="REMINDER" attribute="1" defaultMemberUniqueName="[Table2].[REMINDER].[All]" allUniqueName="[Table2].[REMINDER].[All]" dimensionUniqueName="[Table2]" displayFolder="" count="0" memberValueDatatype="130" unbalanced="0"/>
    <cacheHierarchy uniqueName="[Table2].[Keterangan]" caption="Keterangan" attribute="1" defaultMemberUniqueName="[Table2].[Keterangan].[All]" allUniqueName="[Table2].[Keterangan].[All]" dimensionUniqueName="[Table2]" displayFolder="" count="0" memberValueDatatype="130" unbalanced="0"/>
    <cacheHierarchy uniqueName="[Table2].[TAHUN]" caption="TAHUN" attribute="1" defaultMemberUniqueName="[Table2].[TAHUN].[All]" allUniqueName="[Table2].[TAHUN].[All]" dimensionUniqueName="[Table2]" displayFolder="" count="0" memberValueDatatype="20" unbalanced="0"/>
    <cacheHierarchy uniqueName="[Table3].[No.]" caption="No." attribute="1" defaultMemberUniqueName="[Table3].[No.].[All]" allUniqueName="[Table3].[No.].[All]" dimensionUniqueName="[Table3]" displayFolder="" count="0" memberValueDatatype="20" unbalanced="0"/>
    <cacheHierarchy uniqueName="[Table3].[No.PON]" caption="No.PON" attribute="1" defaultMemberUniqueName="[Table3].[No.PON].[All]" allUniqueName="[Table3].[No.PON].[All]" dimensionUniqueName="[Table3]" displayFolder="" count="0" memberValueDatatype="130" unbalanced="0"/>
    <cacheHierarchy uniqueName="[Table3].[Vendor]" caption="Vendor" attribute="1" defaultMemberUniqueName="[Table3].[Vendor].[All]" allUniqueName="[Table3].[Vendor].[All]" dimensionUniqueName="[Table3]" displayFolder="" count="0" memberValueDatatype="130" unbalanced="0"/>
    <cacheHierarchy uniqueName="[Table3].[Type  Struktur]" caption="Type  Struktur" attribute="1" defaultMemberUniqueName="[Table3].[Type  Struktur].[All]" allUniqueName="[Table3].[Type  Struktur].[All]" dimensionUniqueName="[Table3]" displayFolder="" count="0" memberValueDatatype="130" unbalanced="0"/>
    <cacheHierarchy uniqueName="[Table3].[Marking Struktur]" caption="Marking Struktur" attribute="1" defaultMemberUniqueName="[Table3].[Marking Struktur].[All]" allUniqueName="[Table3].[Marking Struktur].[All]" dimensionUniqueName="[Table3]" displayFolder="" count="0" memberValueDatatype="130" unbalanced="0"/>
    <cacheHierarchy uniqueName="[Table3].[Berat Fabrikasi]" caption="Berat Fabrikasi" attribute="1" defaultMemberUniqueName="[Table3].[Berat Fabrikasi].[All]" allUniqueName="[Table3].[Berat Fabrikasi].[All]" dimensionUniqueName="[Table3]" displayFolder="" count="0" memberValueDatatype="5" unbalanced="0"/>
    <cacheHierarchy uniqueName="[Table3].[Date Release SD]" caption="Date Release SD" attribute="1" defaultMemberUniqueName="[Table3].[Date Release SD].[All]" allUniqueName="[Table3].[Date Release SD].[All]" dimensionUniqueName="[Table3]" displayFolder="" count="0" memberValueDatatype="130" unbalanced="0"/>
    <cacheHierarchy uniqueName="[Table3].[Date Start  PON]" caption="Date Start  PON" attribute="1" defaultMemberUniqueName="[Table3].[Date Start  PON].[All]" allUniqueName="[Table3].[Date Start  PON].[All]" dimensionUniqueName="[Table3]" displayFolder="" count="0" memberValueDatatype="130" unbalanced="0"/>
    <cacheHierarchy uniqueName="[Table3].[Date Finish  PON]" caption="Date Finish  PON" attribute="1" defaultMemberUniqueName="[Table3].[Date Finish  PON].[All]" allUniqueName="[Table3].[Date Finish  PON].[All]" dimensionUniqueName="[Table3]" displayFolder="" count="0" memberValueDatatype="130" unbalanced="0"/>
    <cacheHierarchy uniqueName="[Table3].[Date Finish  Aktual]" caption="Date Finish  Aktual" attribute="1" time="1" defaultMemberUniqueName="[Table3].[Date Finish  Aktual].[All]" allUniqueName="[Table3].[Date Finish  Aktual].[All]" dimensionUniqueName="[Table3]" displayFolder="" count="0" memberValueDatatype="7" unbalanced="0"/>
    <cacheHierarchy uniqueName="[Table3].[Progress (%)]" caption="Progress (%)" attribute="1" defaultMemberUniqueName="[Table3].[Progress (%)].[All]" allUniqueName="[Table3].[Progress (%)].[All]" dimensionUniqueName="[Table3]" displayFolder="" count="0" memberValueDatatype="130" unbalanced="0"/>
    <cacheHierarchy uniqueName="[Table3].[ISSUE]" caption="ISSUE" attribute="1" defaultMemberUniqueName="[Table3].[ISSUE].[All]" allUniqueName="[Table3].[ISSUE].[All]" dimensionUniqueName="[Table3]" displayFolder="" count="0" memberValueDatatype="130" unbalanced="0"/>
    <cacheHierarchy uniqueName="[Table3].[STATUS]" caption="STATUS" attribute="1" defaultMemberUniqueName="[Table3].[STATUS].[All]" allUniqueName="[Table3].[STATUS].[All]" dimensionUniqueName="[Table3]" displayFolder="" count="0" memberValueDatatype="130" unbalanced="0"/>
    <cacheHierarchy uniqueName="[Table3].[Keterangan]" caption="Keterangan" attribute="1" defaultMemberUniqueName="[Table3].[Keterangan].[All]" allUniqueName="[Table3].[Keterangan].[All]" dimensionUniqueName="[Table3]" displayFolder="" count="0" memberValueDatatype="130" unbalanced="0"/>
    <cacheHierarchy uniqueName="[Table328].[No.PON]" caption="No.PON" attribute="1" defaultMemberUniqueName="[Table328].[No.PON].[All]" allUniqueName="[Table328].[No.PON].[All]" dimensionUniqueName="[Table328]" displayFolder="" count="0" memberValueDatatype="130" unbalanced="0"/>
    <cacheHierarchy uniqueName="[Table328].[Type  Struktur]" caption="Type  Struktur" attribute="1" defaultMemberUniqueName="[Table328].[Type  Struktur].[All]" allUniqueName="[Table328].[Type  Struktur].[All]" dimensionUniqueName="[Table328]" displayFolder="" count="0" memberValueDatatype="130" unbalanced="0"/>
    <cacheHierarchy uniqueName="[Table328].[Marking Struktur]" caption="Marking Struktur" attribute="1" defaultMemberUniqueName="[Table328].[Marking Struktur].[All]" allUniqueName="[Table328].[Marking Struktur].[All]" dimensionUniqueName="[Table328]" displayFolder="" count="0" memberValueDatatype="130" unbalanced="0"/>
    <cacheHierarchy uniqueName="[Table328].[Deskripsi Consumable]" caption="Deskripsi Consumable" attribute="1" defaultMemberUniqueName="[Table328].[Deskripsi Consumable].[All]" allUniqueName="[Table328].[Deskripsi Consumable].[All]" dimensionUniqueName="[Table328]" displayFolder="" count="0" memberValueDatatype="130" unbalanced="0"/>
    <cacheHierarchy uniqueName="[Table328].[Harga Satuan (Rp)]" caption="Harga Satuan (Rp)" attribute="1" defaultMemberUniqueName="[Table328].[Harga Satuan (Rp)].[All]" allUniqueName="[Table328].[Harga Satuan (Rp)].[All]" dimensionUniqueName="[Table328]" displayFolder="" count="0" memberValueDatatype="20" unbalanced="0"/>
    <cacheHierarchy uniqueName="[Table328].[Qty (pcs)]" caption="Qty (pcs)" attribute="1" defaultMemberUniqueName="[Table328].[Qty (pcs)].[All]" allUniqueName="[Table328].[Qty (pcs)].[All]" dimensionUniqueName="[Table328]" displayFolder="" count="0" memberValueDatatype="20" unbalanced="0"/>
    <cacheHierarchy uniqueName="[Table328].[Total Belanja]" caption="Total Belanja" attribute="1" defaultMemberUniqueName="[Table328].[Total Belanja].[All]" allUniqueName="[Table328].[Total Belanja].[All]" dimensionUniqueName="[Table328]" displayFolder="" count="0" memberValueDatatype="20" unbalanced="0"/>
    <cacheHierarchy uniqueName="[Table328].[Tanggal  Pengajuan]" caption="Tanggal  Pengajuan" attribute="1" time="1" defaultMemberUniqueName="[Table328].[Tanggal  Pengajuan].[All]" allUniqueName="[Table328].[Tanggal  Pengajuan].[All]" dimensionUniqueName="[Table328]" displayFolder="" count="0" memberValueDatatype="7" unbalanced="0"/>
    <cacheHierarchy uniqueName="[Table328].[KETERANGAN]" caption="KETERANGAN" attribute="1" defaultMemberUniqueName="[Table328].[KETERANGAN].[All]" allUniqueName="[Table328].[KETERANGAN].[All]" dimensionUniqueName="[Table328]" displayFolder="" count="0" memberValueDatatype="130" unbalanced="0"/>
    <cacheHierarchy uniqueName="[Table328].[Date Finish  Aktual]" caption="Date Finish  Aktual" attribute="1" defaultMemberUniqueName="[Table328].[Date Finish  Aktual].[All]" allUniqueName="[Table328].[Date Finish  Aktual].[All]" dimensionUniqueName="[Table328]" displayFolder="" count="0" memberValueDatatype="130" unbalanced="0"/>
    <cacheHierarchy uniqueName="[Table328].[Keterangan2]" caption="Keterangan2" attribute="1" defaultMemberUniqueName="[Table328].[Keterangan2].[All]" allUniqueName="[Table328].[Keterangan2].[All]" dimensionUniqueName="[Table328]" displayFolder="" count="0" memberValueDatatype="130" unbalanced="0"/>
    <cacheHierarchy uniqueName="[Table4].[No.]" caption="No." attribute="1" defaultMemberUniqueName="[Table4].[No.].[All]" allUniqueName="[Table4].[No.].[All]" dimensionUniqueName="[Table4]" displayFolder="" count="0" memberValueDatatype="20" unbalanced="0"/>
    <cacheHierarchy uniqueName="[Table4].[No.PON]" caption="No.PON" attribute="1" defaultMemberUniqueName="[Table4].[No.PON].[All]" allUniqueName="[Table4].[No.PON].[All]" dimensionUniqueName="[Table4]" displayFolder="" count="0" memberValueDatatype="130" unbalanced="0"/>
    <cacheHierarchy uniqueName="[Table4].[Type  Struktur]" caption="Type  Struktur" attribute="1" defaultMemberUniqueName="[Table4].[Type  Struktur].[All]" allUniqueName="[Table4].[Type  Struktur].[All]" dimensionUniqueName="[Table4]" displayFolder="" count="0" memberValueDatatype="130" unbalanced="0"/>
    <cacheHierarchy uniqueName="[Table4].[Marking Struktur]" caption="Marking Struktur" attribute="1" defaultMemberUniqueName="[Table4].[Marking Struktur].[All]" allUniqueName="[Table4].[Marking Struktur].[All]" dimensionUniqueName="[Table4]" displayFolder="" count="0" memberValueDatatype="130" unbalanced="0"/>
    <cacheHierarchy uniqueName="[Table4].[Date Issue]" caption="Date Issue" attribute="1" time="1" defaultMemberUniqueName="[Table4].[Date Issue].[All]" allUniqueName="[Table4].[Date Issue].[All]" dimensionUniqueName="[Table4]" displayFolder="" count="0" memberValueDatatype="7" unbalanced="0"/>
    <cacheHierarchy uniqueName="[Table4].[ISSUE]" caption="ISSUE" attribute="1" defaultMemberUniqueName="[Table4].[ISSUE].[All]" allUniqueName="[Table4].[ISSUE].[All]" dimensionUniqueName="[Table4]" displayFolder="" count="0" memberValueDatatype="130" unbalanced="0"/>
    <cacheHierarchy uniqueName="[Table5].[No.]" caption="No." attribute="1" defaultMemberUniqueName="[Table5].[No.].[All]" allUniqueName="[Table5].[No.].[All]" dimensionUniqueName="[Table5]" displayFolder="" count="0" memberValueDatatype="20" unbalanced="0"/>
    <cacheHierarchy uniqueName="[Table5].[No.PON]" caption="No.PON" attribute="1" defaultMemberUniqueName="[Table5].[No.PON].[All]" allUniqueName="[Table5].[No.PON].[All]" dimensionUniqueName="[Table5]" displayFolder="" count="0" memberValueDatatype="130" unbalanced="0"/>
    <cacheHierarchy uniqueName="[Table5].[Type  Struktur]" caption="Type  Struktur" attribute="1" defaultMemberUniqueName="[Table5].[Type  Struktur].[All]" allUniqueName="[Table5].[Type  Struktur].[All]" dimensionUniqueName="[Table5]" displayFolder="" count="0" memberValueDatatype="130" unbalanced="0"/>
    <cacheHierarchy uniqueName="[Table5].[Marking Struktur]" caption="Marking Struktur" attribute="1" defaultMemberUniqueName="[Table5].[Marking Struktur].[All]" allUniqueName="[Table5].[Marking Struktur].[All]" dimensionUniqueName="[Table5]" displayFolder="" count="0" memberValueDatatype="130" unbalanced="0"/>
    <cacheHierarchy uniqueName="[Table5].[Vendor]" caption="Vendor" attribute="1" defaultMemberUniqueName="[Table5].[Vendor].[All]" allUniqueName="[Table5].[Vendor].[All]" dimensionUniqueName="[Table5]" displayFolder="" count="0" memberValueDatatype="130" unbalanced="0"/>
    <cacheHierarchy uniqueName="[Table5].[No. PO]" caption="No. PO" attribute="1" defaultMemberUniqueName="[Table5].[No. PO].[All]" allUniqueName="[Table5].[No. PO].[All]" dimensionUniqueName="[Table5]" displayFolder="" count="0" memberValueDatatype="130" unbalanced="0"/>
    <cacheHierarchy uniqueName="[Table5].[Purchase]" caption="Purchase" attribute="1" defaultMemberUniqueName="[Table5].[Purchase].[All]" allUniqueName="[Table5].[Purchase].[All]" dimensionUniqueName="[Table5]" displayFolder="" count="0" memberValueDatatype="130" unbalanced="0"/>
    <cacheHierarchy uniqueName="[Table5].[Marking Aksesories]" caption="Marking Aksesories" attribute="1" defaultMemberUniqueName="[Table5].[Marking Aksesories].[All]" allUniqueName="[Table5].[Marking Aksesories].[All]" dimensionUniqueName="[Table5]" displayFolder="" count="0" memberValueDatatype="130" unbalanced="0"/>
    <cacheHierarchy uniqueName="[Table5].[Dimensi/Ukuran]" caption="Dimensi/Ukuran" attribute="1" defaultMemberUniqueName="[Table5].[Dimensi/Ukuran].[All]" allUniqueName="[Table5].[Dimensi/Ukuran].[All]" dimensionUniqueName="[Table5]" displayFolder="" count="0" memberValueDatatype="130" unbalanced="0"/>
    <cacheHierarchy uniqueName="[Table5].[Qty (pcs)]" caption="Qty (pcs)" attribute="1" defaultMemberUniqueName="[Table5].[Qty (pcs)].[All]" allUniqueName="[Table5].[Qty (pcs)].[All]" dimensionUniqueName="[Table5]" displayFolder="" count="0" memberValueDatatype="20" unbalanced="0"/>
    <cacheHierarchy uniqueName="[Table5].[Unit (Set)]" caption="Unit (Set)" attribute="1" defaultMemberUniqueName="[Table5].[Unit (Set)].[All]" allUniqueName="[Table5].[Unit (Set)].[All]" dimensionUniqueName="[Table5]" displayFolder="" count="0" memberValueDatatype="20" unbalanced="0"/>
    <cacheHierarchy uniqueName="[Table5].[Total  (pcs)]" caption="Total  (pcs)" attribute="1" defaultMemberUniqueName="[Table5].[Total  (pcs)].[All]" allUniqueName="[Table5].[Total  (pcs)].[All]" dimensionUniqueName="[Table5]" displayFolder="" count="0" memberValueDatatype="20" unbalanced="0"/>
    <cacheHierarchy uniqueName="[Table5].[Berat/pcs (Kg)]" caption="Berat/pcs (Kg)" attribute="1" defaultMemberUniqueName="[Table5].[Berat/pcs (Kg)].[All]" allUniqueName="[Table5].[Berat/pcs (Kg)].[All]" dimensionUniqueName="[Table5]" displayFolder="" count="0" memberValueDatatype="5" unbalanced="0"/>
    <cacheHierarchy uniqueName="[Table5].[Total Berat (Kg)]" caption="Total Berat (Kg)" attribute="1" defaultMemberUniqueName="[Table5].[Total Berat (Kg)].[All]" allUniqueName="[Table5].[Total Berat (Kg)].[All]" dimensionUniqueName="[Table5]" displayFolder="" count="0" memberValueDatatype="5" unbalanced="0"/>
    <cacheHierarchy uniqueName="[Table5].[Sent to Purchase]" caption="Sent to Purchase" attribute="1" defaultMemberUniqueName="[Table5].[Sent to Purchase].[All]" allUniqueName="[Table5].[Sent to Purchase].[All]" dimensionUniqueName="[Table5]" displayFolder="" count="0" memberValueDatatype="130" unbalanced="0"/>
    <cacheHierarchy uniqueName="[Table5].[Status data dikirim]" caption="Status data dikirim" attribute="1" defaultMemberUniqueName="[Table5].[Status data dikirim].[All]" allUniqueName="[Table5].[Status data dikirim].[All]" dimensionUniqueName="[Table5]" displayFolder="" count="0" memberValueDatatype="130" unbalanced="0"/>
    <cacheHierarchy uniqueName="[Table5].[Keterangan]" caption="Keterangan" attribute="1" defaultMemberUniqueName="[Table5].[Keterangan].[All]" allUniqueName="[Table5].[Keterangan].[All]" dimensionUniqueName="[Table5]" displayFolder="" count="0" memberValueDatatype="130" unbalanced="0"/>
    <cacheHierarchy uniqueName="[Measures].[ISSUE'S ]" caption="ISSUE'S " measure="1" displayFolder="" measureGroup="Table2" count="0"/>
    <cacheHierarchy uniqueName="[Measures].[__XL_Count Table4]" caption="__XL_Count Table4" measure="1" displayFolder="" measureGroup="Table4" count="0" hidden="1"/>
    <cacheHierarchy uniqueName="[Measures].[__XL_Count Table2]" caption="__XL_Count Table2" measure="1" displayFolder="" measureGroup="Table2" count="0" hidden="1"/>
    <cacheHierarchy uniqueName="[Measures].[__XL_Count Table3]" caption="__XL_Count Table3" measure="1" displayFolder="" measureGroup="Table3" count="0" hidden="1"/>
    <cacheHierarchy uniqueName="[Measures].[__XL_Count Table5]" caption="__XL_Count Table5" measure="1" displayFolder="" measureGroup="Table5" count="0" hidden="1"/>
    <cacheHierarchy uniqueName="[Measures].[__XL_Count BNW]" caption="__XL_Count BNW" measure="1" displayFolder="" measureGroup="BNW" count="0" hidden="1"/>
    <cacheHierarchy uniqueName="[Measures].[__XL_Count Table328]" caption="__XL_Count Table328" measure="1" displayFolder="" measureGroup="Table328" count="0" hidden="1"/>
    <cacheHierarchy uniqueName="[Measures].[__No measures defined]" caption="__No measures defined" measure="1" displayFolder="" count="0" hidden="1"/>
    <cacheHierarchy uniqueName="[Measures].[Sum of Qty (Unit)]" caption="Sum of Qty (Unit)" measure="1" displayFolder="" measureGroup="Table2" count="0" hidden="1">
      <extLst>
        <ext xmlns:x15="http://schemas.microsoft.com/office/spreadsheetml/2010/11/main" uri="{B97F6D7D-B522-45F9-BDA1-12C45D357490}">
          <x15:cacheHierarchy aggregatedColumn="15"/>
        </ext>
      </extLst>
    </cacheHierarchy>
    <cacheHierarchy uniqueName="[Measures].[Sum of Total Berat (Kg)]" caption="Sum of Total Berat (Kg)" measure="1" displayFolder="" measureGroup="Table2" count="0" oneField="1" hidden="1">
      <fieldsUsage count="1">
        <fieldUsage x="1"/>
      </fieldsUsage>
      <extLst>
        <ext xmlns:x15="http://schemas.microsoft.com/office/spreadsheetml/2010/11/main" uri="{B97F6D7D-B522-45F9-BDA1-12C45D357490}">
          <x15:cacheHierarchy aggregatedColumn="20"/>
        </ext>
      </extLst>
    </cacheHierarchy>
    <cacheHierarchy uniqueName="[Measures].[Count of Status]" caption="Count of Status" measure="1" displayFolder="" measureGroup="Table2" count="0" hidden="1">
      <extLst>
        <ext xmlns:x15="http://schemas.microsoft.com/office/spreadsheetml/2010/11/main" uri="{B97F6D7D-B522-45F9-BDA1-12C45D357490}">
          <x15:cacheHierarchy aggregatedColumn="21"/>
        </ext>
      </extLst>
    </cacheHierarchy>
    <cacheHierarchy uniqueName="[Measures].[Sum of Unit (Set)]" caption="Sum of Unit (Set)" measure="1" displayFolder="" measureGroup="Table5" count="0" hidden="1">
      <extLst>
        <ext xmlns:x15="http://schemas.microsoft.com/office/spreadsheetml/2010/11/main" uri="{B97F6D7D-B522-45F9-BDA1-12C45D357490}">
          <x15:cacheHierarchy aggregatedColumn="76"/>
        </ext>
      </extLst>
    </cacheHierarchy>
    <cacheHierarchy uniqueName="[Measures].[Sum of Berat/pcs (Kg)]" caption="Sum of Berat/pcs (Kg)" measure="1" displayFolder="" measureGroup="Table5" count="0" hidden="1">
      <extLst>
        <ext xmlns:x15="http://schemas.microsoft.com/office/spreadsheetml/2010/11/main" uri="{B97F6D7D-B522-45F9-BDA1-12C45D357490}">
          <x15:cacheHierarchy aggregatedColumn="78"/>
        </ext>
      </extLst>
    </cacheHierarchy>
    <cacheHierarchy uniqueName="[Measures].[Count of Marking Aksesories]" caption="Count of Marking Aksesories" measure="1" displayFolder="" measureGroup="Table5" count="0" hidden="1">
      <extLst>
        <ext xmlns:x15="http://schemas.microsoft.com/office/spreadsheetml/2010/11/main" uri="{B97F6D7D-B522-45F9-BDA1-12C45D357490}">
          <x15:cacheHierarchy aggregatedColumn="73"/>
        </ext>
      </extLst>
    </cacheHierarchy>
    <cacheHierarchy uniqueName="[Measures].[Count of NO. PON]" caption="Count of NO. PON" measure="1" displayFolder="" measureGroup="Table2" count="0" hidden="1">
      <extLst>
        <ext xmlns:x15="http://schemas.microsoft.com/office/spreadsheetml/2010/11/main" uri="{B97F6D7D-B522-45F9-BDA1-12C45D357490}">
          <x15:cacheHierarchy aggregatedColumn="13"/>
        </ext>
      </extLst>
    </cacheHierarchy>
    <cacheHierarchy uniqueName="[Measures].[Count of Type  Struktur]" caption="Count of Type  Struktur" measure="1" displayFolder="" measureGroup="Table2" count="0" hidden="1">
      <extLst>
        <ext xmlns:x15="http://schemas.microsoft.com/office/spreadsheetml/2010/11/main" uri="{B97F6D7D-B522-45F9-BDA1-12C45D357490}">
          <x15:cacheHierarchy aggregatedColumn="14"/>
        </ext>
      </extLst>
    </cacheHierarchy>
    <cacheHierarchy uniqueName="[Measures].[Count of Deskripsi  Pekerjaan]" caption="Count of Deskripsi  Pekerjaan" measure="1" displayFolder="" measureGroup="Table2" count="0" hidden="1">
      <extLst>
        <ext xmlns:x15="http://schemas.microsoft.com/office/spreadsheetml/2010/11/main" uri="{B97F6D7D-B522-45F9-BDA1-12C45D357490}">
          <x15:cacheHierarchy aggregatedColumn="17"/>
        </ext>
      </extLst>
    </cacheHierarchy>
    <cacheHierarchy uniqueName="[Measures].[Count of Client]" caption="Count of Client" measure="1" displayFolder="" measureGroup="Table2" count="0" hidden="1">
      <extLst>
        <ext xmlns:x15="http://schemas.microsoft.com/office/spreadsheetml/2010/11/main" uri="{B97F6D7D-B522-45F9-BDA1-12C45D357490}">
          <x15:cacheHierarchy aggregatedColumn="18"/>
        </ext>
      </extLst>
    </cacheHierarchy>
    <cacheHierarchy uniqueName="[Measures].[Count of Marking Struktur]" caption="Count of Marking Struktur" measure="1" displayFolder="" measureGroup="Table2" count="0" hidden="1">
      <extLst>
        <ext xmlns:x15="http://schemas.microsoft.com/office/spreadsheetml/2010/11/main" uri="{B97F6D7D-B522-45F9-BDA1-12C45D357490}">
          <x15:cacheHierarchy aggregatedColumn="16"/>
        </ext>
      </extLst>
    </cacheHierarchy>
    <cacheHierarchy uniqueName="[Measures].[Average of Total Berat (Kg)]" caption="Average of Total Berat (Kg)" measure="1" displayFolder="" measureGroup="Table2" count="0" hidden="1">
      <extLst>
        <ext xmlns:x15="http://schemas.microsoft.com/office/spreadsheetml/2010/11/main" uri="{B97F6D7D-B522-45F9-BDA1-12C45D357490}">
          <x15:cacheHierarchy aggregatedColumn="20"/>
        </ext>
      </extLst>
    </cacheHierarchy>
    <cacheHierarchy uniqueName="[Measures].[Count of Total Berat (Kg)]" caption="Count of Total Berat (Kg)" measure="1" displayFolder="" measureGroup="Table2" count="0" hidden="1">
      <extLst>
        <ext xmlns:x15="http://schemas.microsoft.com/office/spreadsheetml/2010/11/main" uri="{B97F6D7D-B522-45F9-BDA1-12C45D357490}">
          <x15:cacheHierarchy aggregatedColumn="20"/>
        </ext>
      </extLst>
    </cacheHierarchy>
  </cacheHierarchies>
  <kpis count="0"/>
  <dimensions count="7">
    <dimension name="BNW" uniqueName="[BNW]" caption="BNW"/>
    <dimension measure="1" name="Measures" uniqueName="[Measures]" caption="Measures"/>
    <dimension name="Table2" uniqueName="[Table2]" caption="Table2"/>
    <dimension name="Table3" uniqueName="[Table3]" caption="Table3"/>
    <dimension name="Table328" uniqueName="[Table328]" caption="Table328"/>
    <dimension name="Table4" uniqueName="[Table4]" caption="Table4"/>
    <dimension name="Table5" uniqueName="[Table5]" caption="Table5"/>
  </dimensions>
  <measureGroups count="6">
    <measureGroup name="BNW" caption="BNW"/>
    <measureGroup name="Table2" caption="Table2"/>
    <measureGroup name="Table3" caption="Table3"/>
    <measureGroup name="Table328" caption="Table328"/>
    <measureGroup name="Table4" caption="Table4"/>
    <measureGroup name="Table5" caption="Table5"/>
  </measureGroups>
  <maps count="6">
    <map measureGroup="0" dimension="0"/>
    <map measureGroup="1" dimension="2"/>
    <map measureGroup="2" dimension="3"/>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lee-ptwiratama.com" refreshedDate="45338.724760532408" backgroundQuery="1" createdVersion="8" refreshedVersion="8" minRefreshableVersion="3" recordCount="0" supportSubquery="1" supportAdvancedDrill="1" xr:uid="{7A30F2DC-C456-40EF-B8C5-D1DE474EAA79}">
  <cacheSource type="external" connectionId="1"/>
  <cacheFields count="2">
    <cacheField name="[Table2].[Status].[Status]" caption="Status" numFmtId="0" hierarchy="21" level="1">
      <sharedItems count="3">
        <s v="COMPLETED"/>
        <s v="ON GOING"/>
        <s v="RFD"/>
      </sharedItems>
      <extLst>
        <ext xmlns:x15="http://schemas.microsoft.com/office/spreadsheetml/2010/11/main" uri="{4F2E5C28-24EA-4eb8-9CBF-B6C8F9C3D259}">
          <x15:cachedUniqueNames>
            <x15:cachedUniqueName index="0" name="[Table2].[Status].&amp;[COMPLETED]"/>
            <x15:cachedUniqueName index="1" name="[Table2].[Status].&amp;[ON GOING]"/>
            <x15:cachedUniqueName index="2" name="[Table2].[Status].&amp;[RFD]"/>
          </x15:cachedUniqueNames>
        </ext>
      </extLst>
    </cacheField>
    <cacheField name="[Measures].[Sum of Total Berat (Kg)]" caption="Sum of Total Berat (Kg)" numFmtId="0" hierarchy="92" level="32767"/>
  </cacheFields>
  <cacheHierarchies count="104">
    <cacheHierarchy uniqueName="[BNW].[No.PON]" caption="No.PON" attribute="1" defaultMemberUniqueName="[BNW].[No.PON].[All]" allUniqueName="[BNW].[No.PON].[All]" dimensionUniqueName="[BNW]" displayFolder="" count="0" memberValueDatatype="130" unbalanced="0"/>
    <cacheHierarchy uniqueName="[BNW].[Type  Struktur]" caption="Type  Struktur" attribute="1" defaultMemberUniqueName="[BNW].[Type  Struktur].[All]" allUniqueName="[BNW].[Type  Struktur].[All]" dimensionUniqueName="[BNW]" displayFolder="" count="0" memberValueDatatype="130" unbalanced="0"/>
    <cacheHierarchy uniqueName="[BNW].[Marking Struktur]" caption="Marking Struktur" attribute="1" defaultMemberUniqueName="[BNW].[Marking Struktur].[All]" allUniqueName="[BNW].[Marking Struktur].[All]" dimensionUniqueName="[BNW]" displayFolder="" count="0" memberValueDatatype="130" unbalanced="0"/>
    <cacheHierarchy uniqueName="[BNW].[Dimensi]" caption="Dimensi" attribute="1" defaultMemberUniqueName="[BNW].[Dimensi].[All]" allUniqueName="[BNW].[Dimensi].[All]" dimensionUniqueName="[BNW]" displayFolder="" count="0" memberValueDatatype="130" unbalanced="0"/>
    <cacheHierarchy uniqueName="[BNW].[Spesifikasi]" caption="Spesifikasi" attribute="1" defaultMemberUniqueName="[BNW].[Spesifikasi].[All]" allUniqueName="[BNW].[Spesifikasi].[All]" dimensionUniqueName="[BNW]" displayFolder="" count="0" memberValueDatatype="130" unbalanced="0"/>
    <cacheHierarchy uniqueName="[BNW].[Grade]" caption="Grade" attribute="1" defaultMemberUniqueName="[BNW].[Grade].[All]" allUniqueName="[BNW].[Grade].[All]" dimensionUniqueName="[BNW]" displayFolder="" count="0" memberValueDatatype="130" unbalanced="0"/>
    <cacheHierarchy uniqueName="[BNW].[Qty (Set)]" caption="Qty (Set)" attribute="1" defaultMemberUniqueName="[BNW].[Qty (Set)].[All]" allUniqueName="[BNW].[Qty (Set)].[All]" dimensionUniqueName="[BNW]" displayFolder="" count="0" memberValueDatatype="20" unbalanced="0"/>
    <cacheHierarchy uniqueName="[BNW].[Berat Satuan (Kg)]" caption="Berat Satuan (Kg)" attribute="1" defaultMemberUniqueName="[BNW].[Berat Satuan (Kg)].[All]" allUniqueName="[BNW].[Berat Satuan (Kg)].[All]" dimensionUniqueName="[BNW]" displayFolder="" count="0" memberValueDatatype="5" unbalanced="0"/>
    <cacheHierarchy uniqueName="[BNW].[Total Berat Baut (Kg)]" caption="Total Berat Baut (Kg)" attribute="1" defaultMemberUniqueName="[BNW].[Total Berat Baut (Kg)].[All]" allUniqueName="[BNW].[Total Berat Baut (Kg)].[All]" dimensionUniqueName="[BNW]" displayFolder="" count="0" memberValueDatatype="5" unbalanced="0"/>
    <cacheHierarchy uniqueName="[BNW].[Vendor]" caption="Vendor" attribute="1" defaultMemberUniqueName="[BNW].[Vendor].[All]" allUniqueName="[BNW].[Vendor].[All]" dimensionUniqueName="[BNW]" displayFolder="" count="0" memberValueDatatype="130" unbalanced="0"/>
    <cacheHierarchy uniqueName="[BNW].[Date Release]" caption="Date Release" attribute="1" time="1" defaultMemberUniqueName="[BNW].[Date Release].[All]" allUniqueName="[BNW].[Date Release].[All]" dimensionUniqueName="[BNW]" displayFolder="" count="0" memberValueDatatype="7" unbalanced="0"/>
    <cacheHierarchy uniqueName="[BNW].[Keterangan]" caption="Keterangan" attribute="1" defaultMemberUniqueName="[BNW].[Keterangan].[All]" allUniqueName="[BNW].[Keterangan].[All]" dimensionUniqueName="[BNW]" displayFolder="" count="0" memberValueDatatype="130" unbalanced="0"/>
    <cacheHierarchy uniqueName="[BNW].[Status]" caption="Status" attribute="1" defaultMemberUniqueName="[BNW].[Status].[All]" allUniqueName="[BNW].[Status].[All]" dimensionUniqueName="[BNW]" displayFolder="" count="0" memberValueDatatype="20" unbalanced="0"/>
    <cacheHierarchy uniqueName="[Table2].[NO. PON]" caption="NO. PON" attribute="1" defaultMemberUniqueName="[Table2].[NO. PON].[All]" allUniqueName="[Table2].[NO. PON].[All]" dimensionUniqueName="[Table2]" displayFolder="" count="0" memberValueDatatype="130" unbalanced="0"/>
    <cacheHierarchy uniqueName="[Table2].[Type  Struktur]" caption="Type  Struktur" attribute="1" defaultMemberUniqueName="[Table2].[Type  Struktur].[All]" allUniqueName="[Table2].[Type  Struktur].[All]" dimensionUniqueName="[Table2]" displayFolder="" count="0" memberValueDatatype="130" unbalanced="0"/>
    <cacheHierarchy uniqueName="[Table2].[Qty (Unit)]" caption="Qty (Unit)" attribute="1" defaultMemberUniqueName="[Table2].[Qty (Unit)].[All]" allUniqueName="[Table2].[Qty (Unit)].[All]" dimensionUniqueName="[Table2]" displayFolder="" count="0" memberValueDatatype="20" unbalanced="0"/>
    <cacheHierarchy uniqueName="[Table2].[Marking Struktur]" caption="Marking Struktur" attribute="1" defaultMemberUniqueName="[Table2].[Marking Struktur].[All]" allUniqueName="[Table2].[Marking Struktur].[All]" dimensionUniqueName="[Table2]" displayFolder="" count="0" memberValueDatatype="130" unbalanced="0"/>
    <cacheHierarchy uniqueName="[Table2].[Deskripsi  Pekerjaan]" caption="Deskripsi  Pekerjaan" attribute="1" defaultMemberUniqueName="[Table2].[Deskripsi  Pekerjaan].[All]" allUniqueName="[Table2].[Deskripsi  Pekerjaan].[All]" dimensionUniqueName="[Table2]" displayFolder="" count="0" memberValueDatatype="130" unbalanced="0"/>
    <cacheHierarchy uniqueName="[Table2].[Client]" caption="Client" attribute="1" defaultMemberUniqueName="[Table2].[Client].[All]" allUniqueName="[Table2].[Client].[All]" dimensionUniqueName="[Table2]" displayFolder="" count="0" memberValueDatatype="130" unbalanced="0"/>
    <cacheHierarchy uniqueName="[Table2].[Daerah]" caption="Daerah" attribute="1" defaultMemberUniqueName="[Table2].[Daerah].[All]" allUniqueName="[Table2].[Daerah].[All]" dimensionUniqueName="[Table2]" displayFolder="" count="0" memberValueDatatype="130" unbalanced="0"/>
    <cacheHierarchy uniqueName="[Table2].[Total Berat (Kg)]" caption="Total Berat (Kg)" attribute="1" defaultMemberUniqueName="[Table2].[Total Berat (Kg)].[All]" allUniqueName="[Table2].[Total Berat (Kg)].[All]" dimensionUniqueName="[Table2]" displayFolder="" count="0" memberValueDatatype="5" unbalanced="0"/>
    <cacheHierarchy uniqueName="[Table2].[Status]" caption="Status" attribute="1" defaultMemberUniqueName="[Table2].[Status].[All]" allUniqueName="[Table2].[Status].[All]" dimensionUniqueName="[Table2]" displayFolder="" count="2" memberValueDatatype="130" unbalanced="0">
      <fieldsUsage count="2">
        <fieldUsage x="-1"/>
        <fieldUsage x="0"/>
      </fieldsUsage>
    </cacheHierarchy>
    <cacheHierarchy uniqueName="[Table2].[Marketing]" caption="Marketing" attribute="1" defaultMemberUniqueName="[Table2].[Marketing].[All]" allUniqueName="[Table2].[Marketing].[All]" dimensionUniqueName="[Table2]" displayFolder="" count="0" memberValueDatatype="130" unbalanced="0"/>
    <cacheHierarchy uniqueName="[Table2].[Progress]" caption="Progress" attribute="1" defaultMemberUniqueName="[Table2].[Progress].[All]" allUniqueName="[Table2].[Progress].[All]" dimensionUniqueName="[Table2]" displayFolder="" count="0" memberValueDatatype="5" unbalanced="0"/>
    <cacheHierarchy uniqueName="[Table2].[Issue]" caption="Issue" attribute="1" defaultMemberUniqueName="[Table2].[Issue].[All]" allUniqueName="[Table2].[Issue].[All]" dimensionUniqueName="[Table2]" displayFolder="" count="0" memberValueDatatype="130" unbalanced="0"/>
    <cacheHierarchy uniqueName="[Table2].[SUPPLY LIST]" caption="SUPPLY LIST" attribute="1" defaultMemberUniqueName="[Table2].[SUPPLY LIST].[All]" allUniqueName="[Table2].[SUPPLY LIST].[All]" dimensionUniqueName="[Table2]" displayFolder="" count="0" memberValueDatatype="5" unbalanced="0"/>
    <cacheHierarchy uniqueName="[Table2].[Date PON]" caption="Date PON" attribute="1" defaultMemberUniqueName="[Table2].[Date PON].[All]" allUniqueName="[Table2].[Date PON].[All]" dimensionUniqueName="[Table2]" displayFolder="" count="0" memberValueDatatype="130" unbalanced="0"/>
    <cacheHierarchy uniqueName="[Table2].[Date Finish]" caption="Date Finish" attribute="1" defaultMemberUniqueName="[Table2].[Date Finish].[All]" allUniqueName="[Table2].[Date Finish].[All]" dimensionUniqueName="[Table2]" displayFolder="" count="0" memberValueDatatype="130" unbalanced="0"/>
    <cacheHierarchy uniqueName="[Table2].[Column1]" caption="Column1" attribute="1" defaultMemberUniqueName="[Table2].[Column1].[All]" allUniqueName="[Table2].[Column1].[All]" dimensionUniqueName="[Table2]" displayFolder="" count="0" memberValueDatatype="130" unbalanced="0"/>
    <cacheHierarchy uniqueName="[Table2].[Date Aktual Finish]" caption="Date Aktual Finish" attribute="1" defaultMemberUniqueName="[Table2].[Date Aktual Finish].[All]" allUniqueName="[Table2].[Date Aktual Finish].[All]" dimensionUniqueName="[Table2]" displayFolder="" count="0" memberValueDatatype="130" unbalanced="0"/>
    <cacheHierarchy uniqueName="[Table2].[Finish Fabrikasi]" caption="Finish Fabrikasi" attribute="1" time="1" defaultMemberUniqueName="[Table2].[Finish Fabrikasi].[All]" allUniqueName="[Table2].[Finish Fabrikasi].[All]" dimensionUniqueName="[Table2]" displayFolder="" count="0" memberValueDatatype="7" unbalanced="0"/>
    <cacheHierarchy uniqueName="[Table2].[Date Aktual Delivery to Site]" caption="Date Aktual Delivery to Site" attribute="1" defaultMemberUniqueName="[Table2].[Date Aktual Delivery to Site].[All]" allUniqueName="[Table2].[Date Aktual Delivery to Site].[All]" dimensionUniqueName="[Table2]" displayFolder="" count="0" memberValueDatatype="130" unbalanced="0"/>
    <cacheHierarchy uniqueName="[Table2].[REMINDER]" caption="REMINDER" attribute="1" defaultMemberUniqueName="[Table2].[REMINDER].[All]" allUniqueName="[Table2].[REMINDER].[All]" dimensionUniqueName="[Table2]" displayFolder="" count="0" memberValueDatatype="130" unbalanced="0"/>
    <cacheHierarchy uniqueName="[Table2].[Keterangan]" caption="Keterangan" attribute="1" defaultMemberUniqueName="[Table2].[Keterangan].[All]" allUniqueName="[Table2].[Keterangan].[All]" dimensionUniqueName="[Table2]" displayFolder="" count="0" memberValueDatatype="130" unbalanced="0"/>
    <cacheHierarchy uniqueName="[Table2].[TAHUN]" caption="TAHUN" attribute="1" defaultMemberUniqueName="[Table2].[TAHUN].[All]" allUniqueName="[Table2].[TAHUN].[All]" dimensionUniqueName="[Table2]" displayFolder="" count="0" memberValueDatatype="20" unbalanced="0"/>
    <cacheHierarchy uniqueName="[Table3].[No.]" caption="No." attribute="1" defaultMemberUniqueName="[Table3].[No.].[All]" allUniqueName="[Table3].[No.].[All]" dimensionUniqueName="[Table3]" displayFolder="" count="0" memberValueDatatype="20" unbalanced="0"/>
    <cacheHierarchy uniqueName="[Table3].[No.PON]" caption="No.PON" attribute="1" defaultMemberUniqueName="[Table3].[No.PON].[All]" allUniqueName="[Table3].[No.PON].[All]" dimensionUniqueName="[Table3]" displayFolder="" count="0" memberValueDatatype="130" unbalanced="0"/>
    <cacheHierarchy uniqueName="[Table3].[Vendor]" caption="Vendor" attribute="1" defaultMemberUniqueName="[Table3].[Vendor].[All]" allUniqueName="[Table3].[Vendor].[All]" dimensionUniqueName="[Table3]" displayFolder="" count="0" memberValueDatatype="130" unbalanced="0"/>
    <cacheHierarchy uniqueName="[Table3].[Type  Struktur]" caption="Type  Struktur" attribute="1" defaultMemberUniqueName="[Table3].[Type  Struktur].[All]" allUniqueName="[Table3].[Type  Struktur].[All]" dimensionUniqueName="[Table3]" displayFolder="" count="0" memberValueDatatype="130" unbalanced="0"/>
    <cacheHierarchy uniqueName="[Table3].[Marking Struktur]" caption="Marking Struktur" attribute="1" defaultMemberUniqueName="[Table3].[Marking Struktur].[All]" allUniqueName="[Table3].[Marking Struktur].[All]" dimensionUniqueName="[Table3]" displayFolder="" count="0" memberValueDatatype="130" unbalanced="0"/>
    <cacheHierarchy uniqueName="[Table3].[Berat Fabrikasi]" caption="Berat Fabrikasi" attribute="1" defaultMemberUniqueName="[Table3].[Berat Fabrikasi].[All]" allUniqueName="[Table3].[Berat Fabrikasi].[All]" dimensionUniqueName="[Table3]" displayFolder="" count="0" memberValueDatatype="5" unbalanced="0"/>
    <cacheHierarchy uniqueName="[Table3].[Date Release SD]" caption="Date Release SD" attribute="1" defaultMemberUniqueName="[Table3].[Date Release SD].[All]" allUniqueName="[Table3].[Date Release SD].[All]" dimensionUniqueName="[Table3]" displayFolder="" count="0" memberValueDatatype="130" unbalanced="0"/>
    <cacheHierarchy uniqueName="[Table3].[Date Start  PON]" caption="Date Start  PON" attribute="1" defaultMemberUniqueName="[Table3].[Date Start  PON].[All]" allUniqueName="[Table3].[Date Start  PON].[All]" dimensionUniqueName="[Table3]" displayFolder="" count="0" memberValueDatatype="130" unbalanced="0"/>
    <cacheHierarchy uniqueName="[Table3].[Date Finish  PON]" caption="Date Finish  PON" attribute="1" defaultMemberUniqueName="[Table3].[Date Finish  PON].[All]" allUniqueName="[Table3].[Date Finish  PON].[All]" dimensionUniqueName="[Table3]" displayFolder="" count="0" memberValueDatatype="130" unbalanced="0"/>
    <cacheHierarchy uniqueName="[Table3].[Date Finish  Aktual]" caption="Date Finish  Aktual" attribute="1" time="1" defaultMemberUniqueName="[Table3].[Date Finish  Aktual].[All]" allUniqueName="[Table3].[Date Finish  Aktual].[All]" dimensionUniqueName="[Table3]" displayFolder="" count="0" memberValueDatatype="7" unbalanced="0"/>
    <cacheHierarchy uniqueName="[Table3].[Progress (%)]" caption="Progress (%)" attribute="1" defaultMemberUniqueName="[Table3].[Progress (%)].[All]" allUniqueName="[Table3].[Progress (%)].[All]" dimensionUniqueName="[Table3]" displayFolder="" count="0" memberValueDatatype="130" unbalanced="0"/>
    <cacheHierarchy uniqueName="[Table3].[ISSUE]" caption="ISSUE" attribute="1" defaultMemberUniqueName="[Table3].[ISSUE].[All]" allUniqueName="[Table3].[ISSUE].[All]" dimensionUniqueName="[Table3]" displayFolder="" count="0" memberValueDatatype="130" unbalanced="0"/>
    <cacheHierarchy uniqueName="[Table3].[STATUS]" caption="STATUS" attribute="1" defaultMemberUniqueName="[Table3].[STATUS].[All]" allUniqueName="[Table3].[STATUS].[All]" dimensionUniqueName="[Table3]" displayFolder="" count="0" memberValueDatatype="130" unbalanced="0"/>
    <cacheHierarchy uniqueName="[Table3].[Keterangan]" caption="Keterangan" attribute="1" defaultMemberUniqueName="[Table3].[Keterangan].[All]" allUniqueName="[Table3].[Keterangan].[All]" dimensionUniqueName="[Table3]" displayFolder="" count="0" memberValueDatatype="130" unbalanced="0"/>
    <cacheHierarchy uniqueName="[Table328].[No.PON]" caption="No.PON" attribute="1" defaultMemberUniqueName="[Table328].[No.PON].[All]" allUniqueName="[Table328].[No.PON].[All]" dimensionUniqueName="[Table328]" displayFolder="" count="0" memberValueDatatype="130" unbalanced="0"/>
    <cacheHierarchy uniqueName="[Table328].[Type  Struktur]" caption="Type  Struktur" attribute="1" defaultMemberUniqueName="[Table328].[Type  Struktur].[All]" allUniqueName="[Table328].[Type  Struktur].[All]" dimensionUniqueName="[Table328]" displayFolder="" count="0" memberValueDatatype="130" unbalanced="0"/>
    <cacheHierarchy uniqueName="[Table328].[Marking Struktur]" caption="Marking Struktur" attribute="1" defaultMemberUniqueName="[Table328].[Marking Struktur].[All]" allUniqueName="[Table328].[Marking Struktur].[All]" dimensionUniqueName="[Table328]" displayFolder="" count="0" memberValueDatatype="130" unbalanced="0"/>
    <cacheHierarchy uniqueName="[Table328].[Deskripsi Consumable]" caption="Deskripsi Consumable" attribute="1" defaultMemberUniqueName="[Table328].[Deskripsi Consumable].[All]" allUniqueName="[Table328].[Deskripsi Consumable].[All]" dimensionUniqueName="[Table328]" displayFolder="" count="0" memberValueDatatype="130" unbalanced="0"/>
    <cacheHierarchy uniqueName="[Table328].[Harga Satuan (Rp)]" caption="Harga Satuan (Rp)" attribute="1" defaultMemberUniqueName="[Table328].[Harga Satuan (Rp)].[All]" allUniqueName="[Table328].[Harga Satuan (Rp)].[All]" dimensionUniqueName="[Table328]" displayFolder="" count="0" memberValueDatatype="20" unbalanced="0"/>
    <cacheHierarchy uniqueName="[Table328].[Qty (pcs)]" caption="Qty (pcs)" attribute="1" defaultMemberUniqueName="[Table328].[Qty (pcs)].[All]" allUniqueName="[Table328].[Qty (pcs)].[All]" dimensionUniqueName="[Table328]" displayFolder="" count="0" memberValueDatatype="20" unbalanced="0"/>
    <cacheHierarchy uniqueName="[Table328].[Total Belanja]" caption="Total Belanja" attribute="1" defaultMemberUniqueName="[Table328].[Total Belanja].[All]" allUniqueName="[Table328].[Total Belanja].[All]" dimensionUniqueName="[Table328]" displayFolder="" count="0" memberValueDatatype="20" unbalanced="0"/>
    <cacheHierarchy uniqueName="[Table328].[Tanggal  Pengajuan]" caption="Tanggal  Pengajuan" attribute="1" time="1" defaultMemberUniqueName="[Table328].[Tanggal  Pengajuan].[All]" allUniqueName="[Table328].[Tanggal  Pengajuan].[All]" dimensionUniqueName="[Table328]" displayFolder="" count="0" memberValueDatatype="7" unbalanced="0"/>
    <cacheHierarchy uniqueName="[Table328].[KETERANGAN]" caption="KETERANGAN" attribute="1" defaultMemberUniqueName="[Table328].[KETERANGAN].[All]" allUniqueName="[Table328].[KETERANGAN].[All]" dimensionUniqueName="[Table328]" displayFolder="" count="0" memberValueDatatype="130" unbalanced="0"/>
    <cacheHierarchy uniqueName="[Table328].[Date Finish  Aktual]" caption="Date Finish  Aktual" attribute="1" defaultMemberUniqueName="[Table328].[Date Finish  Aktual].[All]" allUniqueName="[Table328].[Date Finish  Aktual].[All]" dimensionUniqueName="[Table328]" displayFolder="" count="0" memberValueDatatype="130" unbalanced="0"/>
    <cacheHierarchy uniqueName="[Table328].[Keterangan2]" caption="Keterangan2" attribute="1" defaultMemberUniqueName="[Table328].[Keterangan2].[All]" allUniqueName="[Table328].[Keterangan2].[All]" dimensionUniqueName="[Table328]" displayFolder="" count="0" memberValueDatatype="130" unbalanced="0"/>
    <cacheHierarchy uniqueName="[Table4].[No.]" caption="No." attribute="1" defaultMemberUniqueName="[Table4].[No.].[All]" allUniqueName="[Table4].[No.].[All]" dimensionUniqueName="[Table4]" displayFolder="" count="0" memberValueDatatype="20" unbalanced="0"/>
    <cacheHierarchy uniqueName="[Table4].[No.PON]" caption="No.PON" attribute="1" defaultMemberUniqueName="[Table4].[No.PON].[All]" allUniqueName="[Table4].[No.PON].[All]" dimensionUniqueName="[Table4]" displayFolder="" count="0" memberValueDatatype="130" unbalanced="0"/>
    <cacheHierarchy uniqueName="[Table4].[Type  Struktur]" caption="Type  Struktur" attribute="1" defaultMemberUniqueName="[Table4].[Type  Struktur].[All]" allUniqueName="[Table4].[Type  Struktur].[All]" dimensionUniqueName="[Table4]" displayFolder="" count="0" memberValueDatatype="130" unbalanced="0"/>
    <cacheHierarchy uniqueName="[Table4].[Marking Struktur]" caption="Marking Struktur" attribute="1" defaultMemberUniqueName="[Table4].[Marking Struktur].[All]" allUniqueName="[Table4].[Marking Struktur].[All]" dimensionUniqueName="[Table4]" displayFolder="" count="0" memberValueDatatype="130" unbalanced="0"/>
    <cacheHierarchy uniqueName="[Table4].[Date Issue]" caption="Date Issue" attribute="1" time="1" defaultMemberUniqueName="[Table4].[Date Issue].[All]" allUniqueName="[Table4].[Date Issue].[All]" dimensionUniqueName="[Table4]" displayFolder="" count="0" memberValueDatatype="7" unbalanced="0"/>
    <cacheHierarchy uniqueName="[Table4].[ISSUE]" caption="ISSUE" attribute="1" defaultMemberUniqueName="[Table4].[ISSUE].[All]" allUniqueName="[Table4].[ISSUE].[All]" dimensionUniqueName="[Table4]" displayFolder="" count="0" memberValueDatatype="130" unbalanced="0"/>
    <cacheHierarchy uniqueName="[Table5].[No.]" caption="No." attribute="1" defaultMemberUniqueName="[Table5].[No.].[All]" allUniqueName="[Table5].[No.].[All]" dimensionUniqueName="[Table5]" displayFolder="" count="0" memberValueDatatype="20" unbalanced="0"/>
    <cacheHierarchy uniqueName="[Table5].[No.PON]" caption="No.PON" attribute="1" defaultMemberUniqueName="[Table5].[No.PON].[All]" allUniqueName="[Table5].[No.PON].[All]" dimensionUniqueName="[Table5]" displayFolder="" count="0" memberValueDatatype="130" unbalanced="0"/>
    <cacheHierarchy uniqueName="[Table5].[Type  Struktur]" caption="Type  Struktur" attribute="1" defaultMemberUniqueName="[Table5].[Type  Struktur].[All]" allUniqueName="[Table5].[Type  Struktur].[All]" dimensionUniqueName="[Table5]" displayFolder="" count="0" memberValueDatatype="130" unbalanced="0"/>
    <cacheHierarchy uniqueName="[Table5].[Marking Struktur]" caption="Marking Struktur" attribute="1" defaultMemberUniqueName="[Table5].[Marking Struktur].[All]" allUniqueName="[Table5].[Marking Struktur].[All]" dimensionUniqueName="[Table5]" displayFolder="" count="0" memberValueDatatype="130" unbalanced="0"/>
    <cacheHierarchy uniqueName="[Table5].[Vendor]" caption="Vendor" attribute="1" defaultMemberUniqueName="[Table5].[Vendor].[All]" allUniqueName="[Table5].[Vendor].[All]" dimensionUniqueName="[Table5]" displayFolder="" count="0" memberValueDatatype="130" unbalanced="0"/>
    <cacheHierarchy uniqueName="[Table5].[No. PO]" caption="No. PO" attribute="1" defaultMemberUniqueName="[Table5].[No. PO].[All]" allUniqueName="[Table5].[No. PO].[All]" dimensionUniqueName="[Table5]" displayFolder="" count="0" memberValueDatatype="130" unbalanced="0"/>
    <cacheHierarchy uniqueName="[Table5].[Purchase]" caption="Purchase" attribute="1" defaultMemberUniqueName="[Table5].[Purchase].[All]" allUniqueName="[Table5].[Purchase].[All]" dimensionUniqueName="[Table5]" displayFolder="" count="0" memberValueDatatype="130" unbalanced="0"/>
    <cacheHierarchy uniqueName="[Table5].[Marking Aksesories]" caption="Marking Aksesories" attribute="1" defaultMemberUniqueName="[Table5].[Marking Aksesories].[All]" allUniqueName="[Table5].[Marking Aksesories].[All]" dimensionUniqueName="[Table5]" displayFolder="" count="0" memberValueDatatype="130" unbalanced="0"/>
    <cacheHierarchy uniqueName="[Table5].[Dimensi/Ukuran]" caption="Dimensi/Ukuran" attribute="1" defaultMemberUniqueName="[Table5].[Dimensi/Ukuran].[All]" allUniqueName="[Table5].[Dimensi/Ukuran].[All]" dimensionUniqueName="[Table5]" displayFolder="" count="0" memberValueDatatype="130" unbalanced="0"/>
    <cacheHierarchy uniqueName="[Table5].[Qty (pcs)]" caption="Qty (pcs)" attribute="1" defaultMemberUniqueName="[Table5].[Qty (pcs)].[All]" allUniqueName="[Table5].[Qty (pcs)].[All]" dimensionUniqueName="[Table5]" displayFolder="" count="0" memberValueDatatype="20" unbalanced="0"/>
    <cacheHierarchy uniqueName="[Table5].[Unit (Set)]" caption="Unit (Set)" attribute="1" defaultMemberUniqueName="[Table5].[Unit (Set)].[All]" allUniqueName="[Table5].[Unit (Set)].[All]" dimensionUniqueName="[Table5]" displayFolder="" count="0" memberValueDatatype="20" unbalanced="0"/>
    <cacheHierarchy uniqueName="[Table5].[Total  (pcs)]" caption="Total  (pcs)" attribute="1" defaultMemberUniqueName="[Table5].[Total  (pcs)].[All]" allUniqueName="[Table5].[Total  (pcs)].[All]" dimensionUniqueName="[Table5]" displayFolder="" count="0" memberValueDatatype="20" unbalanced="0"/>
    <cacheHierarchy uniqueName="[Table5].[Berat/pcs (Kg)]" caption="Berat/pcs (Kg)" attribute="1" defaultMemberUniqueName="[Table5].[Berat/pcs (Kg)].[All]" allUniqueName="[Table5].[Berat/pcs (Kg)].[All]" dimensionUniqueName="[Table5]" displayFolder="" count="0" memberValueDatatype="5" unbalanced="0"/>
    <cacheHierarchy uniqueName="[Table5].[Total Berat (Kg)]" caption="Total Berat (Kg)" attribute="1" defaultMemberUniqueName="[Table5].[Total Berat (Kg)].[All]" allUniqueName="[Table5].[Total Berat (Kg)].[All]" dimensionUniqueName="[Table5]" displayFolder="" count="0" memberValueDatatype="5" unbalanced="0"/>
    <cacheHierarchy uniqueName="[Table5].[Sent to Purchase]" caption="Sent to Purchase" attribute="1" defaultMemberUniqueName="[Table5].[Sent to Purchase].[All]" allUniqueName="[Table5].[Sent to Purchase].[All]" dimensionUniqueName="[Table5]" displayFolder="" count="0" memberValueDatatype="130" unbalanced="0"/>
    <cacheHierarchy uniqueName="[Table5].[Status data dikirim]" caption="Status data dikirim" attribute="1" defaultMemberUniqueName="[Table5].[Status data dikirim].[All]" allUniqueName="[Table5].[Status data dikirim].[All]" dimensionUniqueName="[Table5]" displayFolder="" count="0" memberValueDatatype="130" unbalanced="0"/>
    <cacheHierarchy uniqueName="[Table5].[Keterangan]" caption="Keterangan" attribute="1" defaultMemberUniqueName="[Table5].[Keterangan].[All]" allUniqueName="[Table5].[Keterangan].[All]" dimensionUniqueName="[Table5]" displayFolder="" count="0" memberValueDatatype="130" unbalanced="0"/>
    <cacheHierarchy uniqueName="[Measures].[ISSUE'S ]" caption="ISSUE'S " measure="1" displayFolder="" measureGroup="Table2" count="0"/>
    <cacheHierarchy uniqueName="[Measures].[__XL_Count Table4]" caption="__XL_Count Table4" measure="1" displayFolder="" measureGroup="Table4" count="0" hidden="1"/>
    <cacheHierarchy uniqueName="[Measures].[__XL_Count Table2]" caption="__XL_Count Table2" measure="1" displayFolder="" measureGroup="Table2" count="0" hidden="1"/>
    <cacheHierarchy uniqueName="[Measures].[__XL_Count Table3]" caption="__XL_Count Table3" measure="1" displayFolder="" measureGroup="Table3" count="0" hidden="1"/>
    <cacheHierarchy uniqueName="[Measures].[__XL_Count Table5]" caption="__XL_Count Table5" measure="1" displayFolder="" measureGroup="Table5" count="0" hidden="1"/>
    <cacheHierarchy uniqueName="[Measures].[__XL_Count BNW]" caption="__XL_Count BNW" measure="1" displayFolder="" measureGroup="BNW" count="0" hidden="1"/>
    <cacheHierarchy uniqueName="[Measures].[__XL_Count Table328]" caption="__XL_Count Table328" measure="1" displayFolder="" measureGroup="Table328" count="0" hidden="1"/>
    <cacheHierarchy uniqueName="[Measures].[__No measures defined]" caption="__No measures defined" measure="1" displayFolder="" count="0" hidden="1"/>
    <cacheHierarchy uniqueName="[Measures].[Sum of Qty (Unit)]" caption="Sum of Qty (Unit)" measure="1" displayFolder="" measureGroup="Table2" count="0" hidden="1">
      <extLst>
        <ext xmlns:x15="http://schemas.microsoft.com/office/spreadsheetml/2010/11/main" uri="{B97F6D7D-B522-45F9-BDA1-12C45D357490}">
          <x15:cacheHierarchy aggregatedColumn="15"/>
        </ext>
      </extLst>
    </cacheHierarchy>
    <cacheHierarchy uniqueName="[Measures].[Sum of Total Berat (Kg)]" caption="Sum of Total Berat (Kg)" measure="1" displayFolder="" measureGroup="Table2" count="0" oneField="1" hidden="1">
      <fieldsUsage count="1">
        <fieldUsage x="1"/>
      </fieldsUsage>
      <extLst>
        <ext xmlns:x15="http://schemas.microsoft.com/office/spreadsheetml/2010/11/main" uri="{B97F6D7D-B522-45F9-BDA1-12C45D357490}">
          <x15:cacheHierarchy aggregatedColumn="20"/>
        </ext>
      </extLst>
    </cacheHierarchy>
    <cacheHierarchy uniqueName="[Measures].[Count of Status]" caption="Count of Status" measure="1" displayFolder="" measureGroup="Table2" count="0" hidden="1">
      <extLst>
        <ext xmlns:x15="http://schemas.microsoft.com/office/spreadsheetml/2010/11/main" uri="{B97F6D7D-B522-45F9-BDA1-12C45D357490}">
          <x15:cacheHierarchy aggregatedColumn="21"/>
        </ext>
      </extLst>
    </cacheHierarchy>
    <cacheHierarchy uniqueName="[Measures].[Sum of Unit (Set)]" caption="Sum of Unit (Set)" measure="1" displayFolder="" measureGroup="Table5" count="0" hidden="1">
      <extLst>
        <ext xmlns:x15="http://schemas.microsoft.com/office/spreadsheetml/2010/11/main" uri="{B97F6D7D-B522-45F9-BDA1-12C45D357490}">
          <x15:cacheHierarchy aggregatedColumn="76"/>
        </ext>
      </extLst>
    </cacheHierarchy>
    <cacheHierarchy uniqueName="[Measures].[Sum of Berat/pcs (Kg)]" caption="Sum of Berat/pcs (Kg)" measure="1" displayFolder="" measureGroup="Table5" count="0" hidden="1">
      <extLst>
        <ext xmlns:x15="http://schemas.microsoft.com/office/spreadsheetml/2010/11/main" uri="{B97F6D7D-B522-45F9-BDA1-12C45D357490}">
          <x15:cacheHierarchy aggregatedColumn="78"/>
        </ext>
      </extLst>
    </cacheHierarchy>
    <cacheHierarchy uniqueName="[Measures].[Count of Marking Aksesories]" caption="Count of Marking Aksesories" measure="1" displayFolder="" measureGroup="Table5" count="0" hidden="1">
      <extLst>
        <ext xmlns:x15="http://schemas.microsoft.com/office/spreadsheetml/2010/11/main" uri="{B97F6D7D-B522-45F9-BDA1-12C45D357490}">
          <x15:cacheHierarchy aggregatedColumn="73"/>
        </ext>
      </extLst>
    </cacheHierarchy>
    <cacheHierarchy uniqueName="[Measures].[Count of NO. PON]" caption="Count of NO. PON" measure="1" displayFolder="" measureGroup="Table2" count="0" hidden="1">
      <extLst>
        <ext xmlns:x15="http://schemas.microsoft.com/office/spreadsheetml/2010/11/main" uri="{B97F6D7D-B522-45F9-BDA1-12C45D357490}">
          <x15:cacheHierarchy aggregatedColumn="13"/>
        </ext>
      </extLst>
    </cacheHierarchy>
    <cacheHierarchy uniqueName="[Measures].[Count of Type  Struktur]" caption="Count of Type  Struktur" measure="1" displayFolder="" measureGroup="Table2" count="0" hidden="1">
      <extLst>
        <ext xmlns:x15="http://schemas.microsoft.com/office/spreadsheetml/2010/11/main" uri="{B97F6D7D-B522-45F9-BDA1-12C45D357490}">
          <x15:cacheHierarchy aggregatedColumn="14"/>
        </ext>
      </extLst>
    </cacheHierarchy>
    <cacheHierarchy uniqueName="[Measures].[Count of Deskripsi  Pekerjaan]" caption="Count of Deskripsi  Pekerjaan" measure="1" displayFolder="" measureGroup="Table2" count="0" hidden="1">
      <extLst>
        <ext xmlns:x15="http://schemas.microsoft.com/office/spreadsheetml/2010/11/main" uri="{B97F6D7D-B522-45F9-BDA1-12C45D357490}">
          <x15:cacheHierarchy aggregatedColumn="17"/>
        </ext>
      </extLst>
    </cacheHierarchy>
    <cacheHierarchy uniqueName="[Measures].[Count of Client]" caption="Count of Client" measure="1" displayFolder="" measureGroup="Table2" count="0" hidden="1">
      <extLst>
        <ext xmlns:x15="http://schemas.microsoft.com/office/spreadsheetml/2010/11/main" uri="{B97F6D7D-B522-45F9-BDA1-12C45D357490}">
          <x15:cacheHierarchy aggregatedColumn="18"/>
        </ext>
      </extLst>
    </cacheHierarchy>
    <cacheHierarchy uniqueName="[Measures].[Count of Marking Struktur]" caption="Count of Marking Struktur" measure="1" displayFolder="" measureGroup="Table2" count="0" hidden="1">
      <extLst>
        <ext xmlns:x15="http://schemas.microsoft.com/office/spreadsheetml/2010/11/main" uri="{B97F6D7D-B522-45F9-BDA1-12C45D357490}">
          <x15:cacheHierarchy aggregatedColumn="16"/>
        </ext>
      </extLst>
    </cacheHierarchy>
    <cacheHierarchy uniqueName="[Measures].[Average of Total Berat (Kg)]" caption="Average of Total Berat (Kg)" measure="1" displayFolder="" measureGroup="Table2" count="0" hidden="1">
      <extLst>
        <ext xmlns:x15="http://schemas.microsoft.com/office/spreadsheetml/2010/11/main" uri="{B97F6D7D-B522-45F9-BDA1-12C45D357490}">
          <x15:cacheHierarchy aggregatedColumn="20"/>
        </ext>
      </extLst>
    </cacheHierarchy>
    <cacheHierarchy uniqueName="[Measures].[Count of Total Berat (Kg)]" caption="Count of Total Berat (Kg)" measure="1" displayFolder="" measureGroup="Table2" count="0" hidden="1">
      <extLst>
        <ext xmlns:x15="http://schemas.microsoft.com/office/spreadsheetml/2010/11/main" uri="{B97F6D7D-B522-45F9-BDA1-12C45D357490}">
          <x15:cacheHierarchy aggregatedColumn="20"/>
        </ext>
      </extLst>
    </cacheHierarchy>
  </cacheHierarchies>
  <kpis count="0"/>
  <dimensions count="7">
    <dimension name="BNW" uniqueName="[BNW]" caption="BNW"/>
    <dimension measure="1" name="Measures" uniqueName="[Measures]" caption="Measures"/>
    <dimension name="Table2" uniqueName="[Table2]" caption="Table2"/>
    <dimension name="Table3" uniqueName="[Table3]" caption="Table3"/>
    <dimension name="Table328" uniqueName="[Table328]" caption="Table328"/>
    <dimension name="Table4" uniqueName="[Table4]" caption="Table4"/>
    <dimension name="Table5" uniqueName="[Table5]" caption="Table5"/>
  </dimensions>
  <measureGroups count="6">
    <measureGroup name="BNW" caption="BNW"/>
    <measureGroup name="Table2" caption="Table2"/>
    <measureGroup name="Table3" caption="Table3"/>
    <measureGroup name="Table328" caption="Table328"/>
    <measureGroup name="Table4" caption="Table4"/>
    <measureGroup name="Table5" caption="Table5"/>
  </measureGroups>
  <maps count="6">
    <map measureGroup="0" dimension="0"/>
    <map measureGroup="1" dimension="2"/>
    <map measureGroup="2" dimension="3"/>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lee-ptwiratama.com" refreshedDate="45338.72476203704" backgroundQuery="1" createdVersion="8" refreshedVersion="8" minRefreshableVersion="3" recordCount="0" supportSubquery="1" supportAdvancedDrill="1" xr:uid="{661A8041-41F4-43B2-98B6-51AC5CE071D6}">
  <cacheSource type="external" connectionId="1"/>
  <cacheFields count="4">
    <cacheField name="[Measures].[Sum of Total Berat (Kg)]" caption="Sum of Total Berat (Kg)" numFmtId="0" hierarchy="92" level="32767"/>
    <cacheField name="[Table2].[Marketing].[Marketing]" caption="Marketing" numFmtId="0" hierarchy="22" level="1">
      <sharedItems count="6">
        <s v="ATADIWIRA KANAN"/>
        <s v="CHAKIM"/>
        <s v="FIKRI ARAFAH"/>
        <s v="JON PUTRA"/>
        <s v="N/A"/>
        <s v="YUSUF"/>
      </sharedItems>
      <extLst>
        <ext xmlns:x15="http://schemas.microsoft.com/office/spreadsheetml/2010/11/main" uri="{4F2E5C28-24EA-4eb8-9CBF-B6C8F9C3D259}">
          <x15:cachedUniqueNames>
            <x15:cachedUniqueName index="0" name="[Table2].[Marketing].&amp;[ATADIWIRA KANAN]"/>
            <x15:cachedUniqueName index="1" name="[Table2].[Marketing].&amp;[CHAKIM]"/>
            <x15:cachedUniqueName index="2" name="[Table2].[Marketing].&amp;[FIKRI ARAFAH]"/>
            <x15:cachedUniqueName index="3" name="[Table2].[Marketing].&amp;[JON PUTRA]"/>
            <x15:cachedUniqueName index="4" name="[Table2].[Marketing].&amp;[N/A]"/>
            <x15:cachedUniqueName index="5" name="[Table2].[Marketing].&amp;[YUSUF]"/>
          </x15:cachedUniqueNames>
        </ext>
      </extLst>
    </cacheField>
    <cacheField name="[Table2].[Marking Struktur].[Marking Struktur]" caption="Marking Struktur" numFmtId="0" hierarchy="16" level="1">
      <sharedItems count="59">
        <s v="12 SSR-EW"/>
        <s v="15 SSR-EW"/>
        <s v="18 DSR1-EW"/>
        <s v="18 DSR2-EW"/>
        <s v="18 SSR - EW"/>
        <s v="18 SSR - EW (LANTAI KAYU)"/>
        <s v="21 DS-EW"/>
        <s v="21 SSR-EW"/>
        <s v="24 DSR2-EW"/>
        <s v="24 SSR - EW (LANTAI KAYU)"/>
        <s v="24 SSR-EW"/>
        <s v="27 DSR2-EW"/>
        <s v="30 DSR2-EW"/>
        <s v="33 DSR2H*-EW (U120)"/>
        <s v="36 DSR2-EW"/>
        <s v="39 DSR2H**-EW"/>
        <s v="42 DSR2-EW (U120)"/>
        <s v="42 DSR2-EW + TRESTLE"/>
        <s v="45 DSR2H**-EW (U120)"/>
        <s v="6 SSR-SW"/>
        <s v="9 SSR-EW"/>
        <s v="AG30"/>
        <s v="AG8"/>
        <s v="ATAP ASRAMA HAJI"/>
        <s v="BG20"/>
        <s v="BG22"/>
        <s v="BG25"/>
        <s v="BG30"/>
        <s v="BG35"/>
        <s v="C43"/>
        <s v="CG15_6 Line"/>
        <s v="CG30"/>
        <s v="GB30"/>
        <s v="GD14"/>
        <s v="GD16"/>
        <s v="GD18"/>
        <s v="GD20"/>
        <s v="JG100P"/>
        <s v="JG105 - PIPA"/>
        <s v="JG154"/>
        <s v="JG40_ASIMETRIS"/>
        <s v="KOMPONEN STRINGGER"/>
        <s v="PERKUATAN"/>
        <s v="RAMP PANEL BAILEY"/>
        <s v="RB30"/>
        <s v="RB40"/>
        <s v="RB50"/>
        <s v="RC45+15"/>
        <s v="SB35"/>
        <s v="SPAN 11.87 M"/>
        <s v="SPAN 14.20 M"/>
        <s v="SPAN 22.82 M"/>
        <s v="TRESTLE BEAM"/>
        <s v="TWR-H36"/>
        <s v="KOMPONEN BAILEY"/>
        <s v="45 TSR2 - EW"/>
        <s v="AG40"/>
        <s v="JPO-48"/>
        <s v="RB60"/>
      </sharedItems>
      <extLst>
        <ext xmlns:x15="http://schemas.microsoft.com/office/spreadsheetml/2010/11/main" uri="{4F2E5C28-24EA-4eb8-9CBF-B6C8F9C3D259}">
          <x15:cachedUniqueNames>
            <x15:cachedUniqueName index="0" name="[Table2].[Marking Struktur].&amp;[12 SSR-EW]"/>
            <x15:cachedUniqueName index="1" name="[Table2].[Marking Struktur].&amp;[15 SSR-EW]"/>
            <x15:cachedUniqueName index="2" name="[Table2].[Marking Struktur].&amp;[18 DSR1-EW]"/>
            <x15:cachedUniqueName index="3" name="[Table2].[Marking Struktur].&amp;[18 DSR2-EW]"/>
            <x15:cachedUniqueName index="4" name="[Table2].[Marking Struktur].&amp;[18 SSR - EW]"/>
            <x15:cachedUniqueName index="5" name="[Table2].[Marking Struktur].&amp;[18 SSR - EW (LANTAI KAYU)]"/>
            <x15:cachedUniqueName index="6" name="[Table2].[Marking Struktur].&amp;[21 DS-EW]"/>
            <x15:cachedUniqueName index="7" name="[Table2].[Marking Struktur].&amp;[21 SSR-EW]"/>
            <x15:cachedUniqueName index="8" name="[Table2].[Marking Struktur].&amp;[24 DSR2-EW]"/>
            <x15:cachedUniqueName index="9" name="[Table2].[Marking Struktur].&amp;[24 SSR - EW (LANTAI KAYU)]"/>
            <x15:cachedUniqueName index="10" name="[Table2].[Marking Struktur].&amp;[24 SSR-EW]"/>
            <x15:cachedUniqueName index="11" name="[Table2].[Marking Struktur].&amp;[27 DSR2-EW]"/>
            <x15:cachedUniqueName index="12" name="[Table2].[Marking Struktur].&amp;[30 DSR2-EW]"/>
            <x15:cachedUniqueName index="13" name="[Table2].[Marking Struktur].&amp;[33 DSR2H*-EW (U120)]"/>
            <x15:cachedUniqueName index="14" name="[Table2].[Marking Struktur].&amp;[36 DSR2-EW]"/>
            <x15:cachedUniqueName index="15" name="[Table2].[Marking Struktur].&amp;[39 DSR2H**-EW]"/>
            <x15:cachedUniqueName index="16" name="[Table2].[Marking Struktur].&amp;[42 DSR2-EW (U120)]"/>
            <x15:cachedUniqueName index="17" name="[Table2].[Marking Struktur].&amp;[42 DSR2-EW + TRESTLE]"/>
            <x15:cachedUniqueName index="18" name="[Table2].[Marking Struktur].&amp;[45 DSR2H**-EW (U120)]"/>
            <x15:cachedUniqueName index="19" name="[Table2].[Marking Struktur].&amp;[6 SSR-SW]"/>
            <x15:cachedUniqueName index="20" name="[Table2].[Marking Struktur].&amp;[9 SSR-EW]"/>
            <x15:cachedUniqueName index="21" name="[Table2].[Marking Struktur].&amp;[AG30]"/>
            <x15:cachedUniqueName index="22" name="[Table2].[Marking Struktur].&amp;[AG8]"/>
            <x15:cachedUniqueName index="23" name="[Table2].[Marking Struktur].&amp;[ATAP ASRAMA HAJI]"/>
            <x15:cachedUniqueName index="24" name="[Table2].[Marking Struktur].&amp;[BG20]"/>
            <x15:cachedUniqueName index="25" name="[Table2].[Marking Struktur].&amp;[BG22]"/>
            <x15:cachedUniqueName index="26" name="[Table2].[Marking Struktur].&amp;[BG25]"/>
            <x15:cachedUniqueName index="27" name="[Table2].[Marking Struktur].&amp;[BG30]"/>
            <x15:cachedUniqueName index="28" name="[Table2].[Marking Struktur].&amp;[BG35]"/>
            <x15:cachedUniqueName index="29" name="[Table2].[Marking Struktur].&amp;[C43]"/>
            <x15:cachedUniqueName index="30" name="[Table2].[Marking Struktur].&amp;[CG15_6 Line]"/>
            <x15:cachedUniqueName index="31" name="[Table2].[Marking Struktur].&amp;[CG30]"/>
            <x15:cachedUniqueName index="32" name="[Table2].[Marking Struktur].&amp;[GB30]"/>
            <x15:cachedUniqueName index="33" name="[Table2].[Marking Struktur].&amp;[GD14]"/>
            <x15:cachedUniqueName index="34" name="[Table2].[Marking Struktur].&amp;[GD16]"/>
            <x15:cachedUniqueName index="35" name="[Table2].[Marking Struktur].&amp;[GD18]"/>
            <x15:cachedUniqueName index="36" name="[Table2].[Marking Struktur].&amp;[GD20]"/>
            <x15:cachedUniqueName index="37" name="[Table2].[Marking Struktur].&amp;[JG100P]"/>
            <x15:cachedUniqueName index="38" name="[Table2].[Marking Struktur].&amp;[JG105 - PIPA]"/>
            <x15:cachedUniqueName index="39" name="[Table2].[Marking Struktur].&amp;[JG154]"/>
            <x15:cachedUniqueName index="40" name="[Table2].[Marking Struktur].&amp;[JG40_ASIMETRIS]"/>
            <x15:cachedUniqueName index="41" name="[Table2].[Marking Struktur].&amp;[KOMPONEN STRINGGER]"/>
            <x15:cachedUniqueName index="42" name="[Table2].[Marking Struktur].&amp;[PERKUATAN]"/>
            <x15:cachedUniqueName index="43" name="[Table2].[Marking Struktur].&amp;[RAMP PANEL BAILEY]"/>
            <x15:cachedUniqueName index="44" name="[Table2].[Marking Struktur].&amp;[RB30]"/>
            <x15:cachedUniqueName index="45" name="[Table2].[Marking Struktur].&amp;[RB40]"/>
            <x15:cachedUniqueName index="46" name="[Table2].[Marking Struktur].&amp;[RB50]"/>
            <x15:cachedUniqueName index="47" name="[Table2].[Marking Struktur].&amp;[RC45+15]"/>
            <x15:cachedUniqueName index="48" name="[Table2].[Marking Struktur].&amp;[SB35]"/>
            <x15:cachedUniqueName index="49" name="[Table2].[Marking Struktur].&amp;[SPAN 11.87 M]"/>
            <x15:cachedUniqueName index="50" name="[Table2].[Marking Struktur].&amp;[SPAN 14.20 M]"/>
            <x15:cachedUniqueName index="51" name="[Table2].[Marking Struktur].&amp;[SPAN 22.82 M]"/>
            <x15:cachedUniqueName index="52" name="[Table2].[Marking Struktur].&amp;[TRESTLE BEAM]"/>
            <x15:cachedUniqueName index="53" name="[Table2].[Marking Struktur].&amp;[TWR-H36]"/>
            <x15:cachedUniqueName index="54" name="[Table2].[Marking Struktur].&amp;[KOMPONEN BAILEY]"/>
            <x15:cachedUniqueName index="55" name="[Table2].[Marking Struktur].&amp;[45 TSR2 - EW]"/>
            <x15:cachedUniqueName index="56" name="[Table2].[Marking Struktur].&amp;[AG40]"/>
            <x15:cachedUniqueName index="57" name="[Table2].[Marking Struktur].&amp;[JPO-48]"/>
            <x15:cachedUniqueName index="58" name="[Table2].[Marking Struktur].&amp;[RB60]"/>
          </x15:cachedUniqueNames>
        </ext>
      </extLst>
    </cacheField>
    <cacheField name="[Table2].[Qty (Unit)].[Qty (Unit)]" caption="Qty (Unit)" numFmtId="0" hierarchy="15" level="1">
      <sharedItems containsSemiMixedTypes="0" containsString="0" containsNumber="1" containsInteger="1" minValue="1" maxValue="6" count="5">
        <n v="1"/>
        <n v="2"/>
        <n v="3"/>
        <n v="5"/>
        <n v="6"/>
      </sharedItems>
      <extLst>
        <ext xmlns:x15="http://schemas.microsoft.com/office/spreadsheetml/2010/11/main" uri="{4F2E5C28-24EA-4eb8-9CBF-B6C8F9C3D259}">
          <x15:cachedUniqueNames>
            <x15:cachedUniqueName index="0" name="[Table2].[Qty (Unit)].&amp;[1]"/>
            <x15:cachedUniqueName index="1" name="[Table2].[Qty (Unit)].&amp;[2]"/>
            <x15:cachedUniqueName index="2" name="[Table2].[Qty (Unit)].&amp;[3]"/>
            <x15:cachedUniqueName index="3" name="[Table2].[Qty (Unit)].&amp;[5]"/>
            <x15:cachedUniqueName index="4" name="[Table2].[Qty (Unit)].&amp;[6]"/>
          </x15:cachedUniqueNames>
        </ext>
      </extLst>
    </cacheField>
  </cacheFields>
  <cacheHierarchies count="104">
    <cacheHierarchy uniqueName="[BNW].[No.PON]" caption="No.PON" attribute="1" defaultMemberUniqueName="[BNW].[No.PON].[All]" allUniqueName="[BNW].[No.PON].[All]" dimensionUniqueName="[BNW]" displayFolder="" count="0" memberValueDatatype="130" unbalanced="0"/>
    <cacheHierarchy uniqueName="[BNW].[Type  Struktur]" caption="Type  Struktur" attribute="1" defaultMemberUniqueName="[BNW].[Type  Struktur].[All]" allUniqueName="[BNW].[Type  Struktur].[All]" dimensionUniqueName="[BNW]" displayFolder="" count="0" memberValueDatatype="130" unbalanced="0"/>
    <cacheHierarchy uniqueName="[BNW].[Marking Struktur]" caption="Marking Struktur" attribute="1" defaultMemberUniqueName="[BNW].[Marking Struktur].[All]" allUniqueName="[BNW].[Marking Struktur].[All]" dimensionUniqueName="[BNW]" displayFolder="" count="0" memberValueDatatype="130" unbalanced="0"/>
    <cacheHierarchy uniqueName="[BNW].[Dimensi]" caption="Dimensi" attribute="1" defaultMemberUniqueName="[BNW].[Dimensi].[All]" allUniqueName="[BNW].[Dimensi].[All]" dimensionUniqueName="[BNW]" displayFolder="" count="0" memberValueDatatype="130" unbalanced="0"/>
    <cacheHierarchy uniqueName="[BNW].[Spesifikasi]" caption="Spesifikasi" attribute="1" defaultMemberUniqueName="[BNW].[Spesifikasi].[All]" allUniqueName="[BNW].[Spesifikasi].[All]" dimensionUniqueName="[BNW]" displayFolder="" count="0" memberValueDatatype="130" unbalanced="0"/>
    <cacheHierarchy uniqueName="[BNW].[Grade]" caption="Grade" attribute="1" defaultMemberUniqueName="[BNW].[Grade].[All]" allUniqueName="[BNW].[Grade].[All]" dimensionUniqueName="[BNW]" displayFolder="" count="0" memberValueDatatype="130" unbalanced="0"/>
    <cacheHierarchy uniqueName="[BNW].[Qty (Set)]" caption="Qty (Set)" attribute="1" defaultMemberUniqueName="[BNW].[Qty (Set)].[All]" allUniqueName="[BNW].[Qty (Set)].[All]" dimensionUniqueName="[BNW]" displayFolder="" count="0" memberValueDatatype="20" unbalanced="0"/>
    <cacheHierarchy uniqueName="[BNW].[Berat Satuan (Kg)]" caption="Berat Satuan (Kg)" attribute="1" defaultMemberUniqueName="[BNW].[Berat Satuan (Kg)].[All]" allUniqueName="[BNW].[Berat Satuan (Kg)].[All]" dimensionUniqueName="[BNW]" displayFolder="" count="0" memberValueDatatype="5" unbalanced="0"/>
    <cacheHierarchy uniqueName="[BNW].[Total Berat Baut (Kg)]" caption="Total Berat Baut (Kg)" attribute="1" defaultMemberUniqueName="[BNW].[Total Berat Baut (Kg)].[All]" allUniqueName="[BNW].[Total Berat Baut (Kg)].[All]" dimensionUniqueName="[BNW]" displayFolder="" count="0" memberValueDatatype="5" unbalanced="0"/>
    <cacheHierarchy uniqueName="[BNW].[Vendor]" caption="Vendor" attribute="1" defaultMemberUniqueName="[BNW].[Vendor].[All]" allUniqueName="[BNW].[Vendor].[All]" dimensionUniqueName="[BNW]" displayFolder="" count="0" memberValueDatatype="130" unbalanced="0"/>
    <cacheHierarchy uniqueName="[BNW].[Date Release]" caption="Date Release" attribute="1" time="1" defaultMemberUniqueName="[BNW].[Date Release].[All]" allUniqueName="[BNW].[Date Release].[All]" dimensionUniqueName="[BNW]" displayFolder="" count="0" memberValueDatatype="7" unbalanced="0"/>
    <cacheHierarchy uniqueName="[BNW].[Keterangan]" caption="Keterangan" attribute="1" defaultMemberUniqueName="[BNW].[Keterangan].[All]" allUniqueName="[BNW].[Keterangan].[All]" dimensionUniqueName="[BNW]" displayFolder="" count="0" memberValueDatatype="130" unbalanced="0"/>
    <cacheHierarchy uniqueName="[BNW].[Status]" caption="Status" attribute="1" defaultMemberUniqueName="[BNW].[Status].[All]" allUniqueName="[BNW].[Status].[All]" dimensionUniqueName="[BNW]" displayFolder="" count="0" memberValueDatatype="20" unbalanced="0"/>
    <cacheHierarchy uniqueName="[Table2].[NO. PON]" caption="NO. PON" attribute="1" defaultMemberUniqueName="[Table2].[NO. PON].[All]" allUniqueName="[Table2].[NO. PON].[All]" dimensionUniqueName="[Table2]" displayFolder="" count="0" memberValueDatatype="130" unbalanced="0"/>
    <cacheHierarchy uniqueName="[Table2].[Type  Struktur]" caption="Type  Struktur" attribute="1" defaultMemberUniqueName="[Table2].[Type  Struktur].[All]" allUniqueName="[Table2].[Type  Struktur].[All]" dimensionUniqueName="[Table2]" displayFolder="" count="0" memberValueDatatype="130" unbalanced="0"/>
    <cacheHierarchy uniqueName="[Table2].[Qty (Unit)]" caption="Qty (Unit)" attribute="1" defaultMemberUniqueName="[Table2].[Qty (Unit)].[All]" allUniqueName="[Table2].[Qty (Unit)].[All]" dimensionUniqueName="[Table2]" displayFolder="" count="2" memberValueDatatype="20" unbalanced="0">
      <fieldsUsage count="2">
        <fieldUsage x="-1"/>
        <fieldUsage x="3"/>
      </fieldsUsage>
    </cacheHierarchy>
    <cacheHierarchy uniqueName="[Table2].[Marking Struktur]" caption="Marking Struktur" attribute="1" defaultMemberUniqueName="[Table2].[Marking Struktur].[All]" allUniqueName="[Table2].[Marking Struktur].[All]" dimensionUniqueName="[Table2]" displayFolder="" count="2" memberValueDatatype="130" unbalanced="0">
      <fieldsUsage count="2">
        <fieldUsage x="-1"/>
        <fieldUsage x="2"/>
      </fieldsUsage>
    </cacheHierarchy>
    <cacheHierarchy uniqueName="[Table2].[Deskripsi  Pekerjaan]" caption="Deskripsi  Pekerjaan" attribute="1" defaultMemberUniqueName="[Table2].[Deskripsi  Pekerjaan].[All]" allUniqueName="[Table2].[Deskripsi  Pekerjaan].[All]" dimensionUniqueName="[Table2]" displayFolder="" count="0" memberValueDatatype="130" unbalanced="0"/>
    <cacheHierarchy uniqueName="[Table2].[Client]" caption="Client" attribute="1" defaultMemberUniqueName="[Table2].[Client].[All]" allUniqueName="[Table2].[Client].[All]" dimensionUniqueName="[Table2]" displayFolder="" count="0" memberValueDatatype="130" unbalanced="0"/>
    <cacheHierarchy uniqueName="[Table2].[Daerah]" caption="Daerah" attribute="1" defaultMemberUniqueName="[Table2].[Daerah].[All]" allUniqueName="[Table2].[Daerah].[All]" dimensionUniqueName="[Table2]" displayFolder="" count="0" memberValueDatatype="130" unbalanced="0"/>
    <cacheHierarchy uniqueName="[Table2].[Total Berat (Kg)]" caption="Total Berat (Kg)" attribute="1" defaultMemberUniqueName="[Table2].[Total Berat (Kg)].[All]" allUniqueName="[Table2].[Total Berat (Kg)].[All]" dimensionUniqueName="[Table2]" displayFolder="" count="0" memberValueDatatype="5" unbalanced="0"/>
    <cacheHierarchy uniqueName="[Table2].[Status]" caption="Status" attribute="1" defaultMemberUniqueName="[Table2].[Status].[All]" allUniqueName="[Table2].[Status].[All]" dimensionUniqueName="[Table2]" displayFolder="" count="0" memberValueDatatype="130" unbalanced="0"/>
    <cacheHierarchy uniqueName="[Table2].[Marketing]" caption="Marketing" attribute="1" defaultMemberUniqueName="[Table2].[Marketing].[All]" allUniqueName="[Table2].[Marketing].[All]" dimensionUniqueName="[Table2]" displayFolder="" count="2" memberValueDatatype="130" unbalanced="0">
      <fieldsUsage count="2">
        <fieldUsage x="-1"/>
        <fieldUsage x="1"/>
      </fieldsUsage>
    </cacheHierarchy>
    <cacheHierarchy uniqueName="[Table2].[Progress]" caption="Progress" attribute="1" defaultMemberUniqueName="[Table2].[Progress].[All]" allUniqueName="[Table2].[Progress].[All]" dimensionUniqueName="[Table2]" displayFolder="" count="0" memberValueDatatype="5" unbalanced="0"/>
    <cacheHierarchy uniqueName="[Table2].[Issue]" caption="Issue" attribute="1" defaultMemberUniqueName="[Table2].[Issue].[All]" allUniqueName="[Table2].[Issue].[All]" dimensionUniqueName="[Table2]" displayFolder="" count="0" memberValueDatatype="130" unbalanced="0"/>
    <cacheHierarchy uniqueName="[Table2].[SUPPLY LIST]" caption="SUPPLY LIST" attribute="1" defaultMemberUniqueName="[Table2].[SUPPLY LIST].[All]" allUniqueName="[Table2].[SUPPLY LIST].[All]" dimensionUniqueName="[Table2]" displayFolder="" count="0" memberValueDatatype="5" unbalanced="0"/>
    <cacheHierarchy uniqueName="[Table2].[Date PON]" caption="Date PON" attribute="1" defaultMemberUniqueName="[Table2].[Date PON].[All]" allUniqueName="[Table2].[Date PON].[All]" dimensionUniqueName="[Table2]" displayFolder="" count="0" memberValueDatatype="130" unbalanced="0"/>
    <cacheHierarchy uniqueName="[Table2].[Date Finish]" caption="Date Finish" attribute="1" defaultMemberUniqueName="[Table2].[Date Finish].[All]" allUniqueName="[Table2].[Date Finish].[All]" dimensionUniqueName="[Table2]" displayFolder="" count="0" memberValueDatatype="130" unbalanced="0"/>
    <cacheHierarchy uniqueName="[Table2].[Column1]" caption="Column1" attribute="1" defaultMemberUniqueName="[Table2].[Column1].[All]" allUniqueName="[Table2].[Column1].[All]" dimensionUniqueName="[Table2]" displayFolder="" count="0" memberValueDatatype="130" unbalanced="0"/>
    <cacheHierarchy uniqueName="[Table2].[Date Aktual Finish]" caption="Date Aktual Finish" attribute="1" defaultMemberUniqueName="[Table2].[Date Aktual Finish].[All]" allUniqueName="[Table2].[Date Aktual Finish].[All]" dimensionUniqueName="[Table2]" displayFolder="" count="0" memberValueDatatype="130" unbalanced="0"/>
    <cacheHierarchy uniqueName="[Table2].[Finish Fabrikasi]" caption="Finish Fabrikasi" attribute="1" time="1" defaultMemberUniqueName="[Table2].[Finish Fabrikasi].[All]" allUniqueName="[Table2].[Finish Fabrikasi].[All]" dimensionUniqueName="[Table2]" displayFolder="" count="0" memberValueDatatype="7" unbalanced="0"/>
    <cacheHierarchy uniqueName="[Table2].[Date Aktual Delivery to Site]" caption="Date Aktual Delivery to Site" attribute="1" defaultMemberUniqueName="[Table2].[Date Aktual Delivery to Site].[All]" allUniqueName="[Table2].[Date Aktual Delivery to Site].[All]" dimensionUniqueName="[Table2]" displayFolder="" count="0" memberValueDatatype="130" unbalanced="0"/>
    <cacheHierarchy uniqueName="[Table2].[REMINDER]" caption="REMINDER" attribute="1" defaultMemberUniqueName="[Table2].[REMINDER].[All]" allUniqueName="[Table2].[REMINDER].[All]" dimensionUniqueName="[Table2]" displayFolder="" count="0" memberValueDatatype="130" unbalanced="0"/>
    <cacheHierarchy uniqueName="[Table2].[Keterangan]" caption="Keterangan" attribute="1" defaultMemberUniqueName="[Table2].[Keterangan].[All]" allUniqueName="[Table2].[Keterangan].[All]" dimensionUniqueName="[Table2]" displayFolder="" count="0" memberValueDatatype="130" unbalanced="0"/>
    <cacheHierarchy uniqueName="[Table2].[TAHUN]" caption="TAHUN" attribute="1" defaultMemberUniqueName="[Table2].[TAHUN].[All]" allUniqueName="[Table2].[TAHUN].[All]" dimensionUniqueName="[Table2]" displayFolder="" count="0" memberValueDatatype="20" unbalanced="0"/>
    <cacheHierarchy uniqueName="[Table3].[No.]" caption="No." attribute="1" defaultMemberUniqueName="[Table3].[No.].[All]" allUniqueName="[Table3].[No.].[All]" dimensionUniqueName="[Table3]" displayFolder="" count="0" memberValueDatatype="20" unbalanced="0"/>
    <cacheHierarchy uniqueName="[Table3].[No.PON]" caption="No.PON" attribute="1" defaultMemberUniqueName="[Table3].[No.PON].[All]" allUniqueName="[Table3].[No.PON].[All]" dimensionUniqueName="[Table3]" displayFolder="" count="0" memberValueDatatype="130" unbalanced="0"/>
    <cacheHierarchy uniqueName="[Table3].[Vendor]" caption="Vendor" attribute="1" defaultMemberUniqueName="[Table3].[Vendor].[All]" allUniqueName="[Table3].[Vendor].[All]" dimensionUniqueName="[Table3]" displayFolder="" count="0" memberValueDatatype="130" unbalanced="0"/>
    <cacheHierarchy uniqueName="[Table3].[Type  Struktur]" caption="Type  Struktur" attribute="1" defaultMemberUniqueName="[Table3].[Type  Struktur].[All]" allUniqueName="[Table3].[Type  Struktur].[All]" dimensionUniqueName="[Table3]" displayFolder="" count="0" memberValueDatatype="130" unbalanced="0"/>
    <cacheHierarchy uniqueName="[Table3].[Marking Struktur]" caption="Marking Struktur" attribute="1" defaultMemberUniqueName="[Table3].[Marking Struktur].[All]" allUniqueName="[Table3].[Marking Struktur].[All]" dimensionUniqueName="[Table3]" displayFolder="" count="0" memberValueDatatype="130" unbalanced="0"/>
    <cacheHierarchy uniqueName="[Table3].[Berat Fabrikasi]" caption="Berat Fabrikasi" attribute="1" defaultMemberUniqueName="[Table3].[Berat Fabrikasi].[All]" allUniqueName="[Table3].[Berat Fabrikasi].[All]" dimensionUniqueName="[Table3]" displayFolder="" count="0" memberValueDatatype="5" unbalanced="0"/>
    <cacheHierarchy uniqueName="[Table3].[Date Release SD]" caption="Date Release SD" attribute="1" defaultMemberUniqueName="[Table3].[Date Release SD].[All]" allUniqueName="[Table3].[Date Release SD].[All]" dimensionUniqueName="[Table3]" displayFolder="" count="0" memberValueDatatype="130" unbalanced="0"/>
    <cacheHierarchy uniqueName="[Table3].[Date Start  PON]" caption="Date Start  PON" attribute="1" defaultMemberUniqueName="[Table3].[Date Start  PON].[All]" allUniqueName="[Table3].[Date Start  PON].[All]" dimensionUniqueName="[Table3]" displayFolder="" count="0" memberValueDatatype="130" unbalanced="0"/>
    <cacheHierarchy uniqueName="[Table3].[Date Finish  PON]" caption="Date Finish  PON" attribute="1" defaultMemberUniqueName="[Table3].[Date Finish  PON].[All]" allUniqueName="[Table3].[Date Finish  PON].[All]" dimensionUniqueName="[Table3]" displayFolder="" count="0" memberValueDatatype="130" unbalanced="0"/>
    <cacheHierarchy uniqueName="[Table3].[Date Finish  Aktual]" caption="Date Finish  Aktual" attribute="1" time="1" defaultMemberUniqueName="[Table3].[Date Finish  Aktual].[All]" allUniqueName="[Table3].[Date Finish  Aktual].[All]" dimensionUniqueName="[Table3]" displayFolder="" count="0" memberValueDatatype="7" unbalanced="0"/>
    <cacheHierarchy uniqueName="[Table3].[Progress (%)]" caption="Progress (%)" attribute="1" defaultMemberUniqueName="[Table3].[Progress (%)].[All]" allUniqueName="[Table3].[Progress (%)].[All]" dimensionUniqueName="[Table3]" displayFolder="" count="0" memberValueDatatype="130" unbalanced="0"/>
    <cacheHierarchy uniqueName="[Table3].[ISSUE]" caption="ISSUE" attribute="1" defaultMemberUniqueName="[Table3].[ISSUE].[All]" allUniqueName="[Table3].[ISSUE].[All]" dimensionUniqueName="[Table3]" displayFolder="" count="0" memberValueDatatype="130" unbalanced="0"/>
    <cacheHierarchy uniqueName="[Table3].[STATUS]" caption="STATUS" attribute="1" defaultMemberUniqueName="[Table3].[STATUS].[All]" allUniqueName="[Table3].[STATUS].[All]" dimensionUniqueName="[Table3]" displayFolder="" count="0" memberValueDatatype="130" unbalanced="0"/>
    <cacheHierarchy uniqueName="[Table3].[Keterangan]" caption="Keterangan" attribute="1" defaultMemberUniqueName="[Table3].[Keterangan].[All]" allUniqueName="[Table3].[Keterangan].[All]" dimensionUniqueName="[Table3]" displayFolder="" count="0" memberValueDatatype="130" unbalanced="0"/>
    <cacheHierarchy uniqueName="[Table328].[No.PON]" caption="No.PON" attribute="1" defaultMemberUniqueName="[Table328].[No.PON].[All]" allUniqueName="[Table328].[No.PON].[All]" dimensionUniqueName="[Table328]" displayFolder="" count="0" memberValueDatatype="130" unbalanced="0"/>
    <cacheHierarchy uniqueName="[Table328].[Type  Struktur]" caption="Type  Struktur" attribute="1" defaultMemberUniqueName="[Table328].[Type  Struktur].[All]" allUniqueName="[Table328].[Type  Struktur].[All]" dimensionUniqueName="[Table328]" displayFolder="" count="0" memberValueDatatype="130" unbalanced="0"/>
    <cacheHierarchy uniqueName="[Table328].[Marking Struktur]" caption="Marking Struktur" attribute="1" defaultMemberUniqueName="[Table328].[Marking Struktur].[All]" allUniqueName="[Table328].[Marking Struktur].[All]" dimensionUniqueName="[Table328]" displayFolder="" count="0" memberValueDatatype="130" unbalanced="0"/>
    <cacheHierarchy uniqueName="[Table328].[Deskripsi Consumable]" caption="Deskripsi Consumable" attribute="1" defaultMemberUniqueName="[Table328].[Deskripsi Consumable].[All]" allUniqueName="[Table328].[Deskripsi Consumable].[All]" dimensionUniqueName="[Table328]" displayFolder="" count="0" memberValueDatatype="130" unbalanced="0"/>
    <cacheHierarchy uniqueName="[Table328].[Harga Satuan (Rp)]" caption="Harga Satuan (Rp)" attribute="1" defaultMemberUniqueName="[Table328].[Harga Satuan (Rp)].[All]" allUniqueName="[Table328].[Harga Satuan (Rp)].[All]" dimensionUniqueName="[Table328]" displayFolder="" count="0" memberValueDatatype="20" unbalanced="0"/>
    <cacheHierarchy uniqueName="[Table328].[Qty (pcs)]" caption="Qty (pcs)" attribute="1" defaultMemberUniqueName="[Table328].[Qty (pcs)].[All]" allUniqueName="[Table328].[Qty (pcs)].[All]" dimensionUniqueName="[Table328]" displayFolder="" count="0" memberValueDatatype="20" unbalanced="0"/>
    <cacheHierarchy uniqueName="[Table328].[Total Belanja]" caption="Total Belanja" attribute="1" defaultMemberUniqueName="[Table328].[Total Belanja].[All]" allUniqueName="[Table328].[Total Belanja].[All]" dimensionUniqueName="[Table328]" displayFolder="" count="0" memberValueDatatype="20" unbalanced="0"/>
    <cacheHierarchy uniqueName="[Table328].[Tanggal  Pengajuan]" caption="Tanggal  Pengajuan" attribute="1" time="1" defaultMemberUniqueName="[Table328].[Tanggal  Pengajuan].[All]" allUniqueName="[Table328].[Tanggal  Pengajuan].[All]" dimensionUniqueName="[Table328]" displayFolder="" count="0" memberValueDatatype="7" unbalanced="0"/>
    <cacheHierarchy uniqueName="[Table328].[KETERANGAN]" caption="KETERANGAN" attribute="1" defaultMemberUniqueName="[Table328].[KETERANGAN].[All]" allUniqueName="[Table328].[KETERANGAN].[All]" dimensionUniqueName="[Table328]" displayFolder="" count="0" memberValueDatatype="130" unbalanced="0"/>
    <cacheHierarchy uniqueName="[Table328].[Date Finish  Aktual]" caption="Date Finish  Aktual" attribute="1" defaultMemberUniqueName="[Table328].[Date Finish  Aktual].[All]" allUniqueName="[Table328].[Date Finish  Aktual].[All]" dimensionUniqueName="[Table328]" displayFolder="" count="0" memberValueDatatype="130" unbalanced="0"/>
    <cacheHierarchy uniqueName="[Table328].[Keterangan2]" caption="Keterangan2" attribute="1" defaultMemberUniqueName="[Table328].[Keterangan2].[All]" allUniqueName="[Table328].[Keterangan2].[All]" dimensionUniqueName="[Table328]" displayFolder="" count="0" memberValueDatatype="130" unbalanced="0"/>
    <cacheHierarchy uniqueName="[Table4].[No.]" caption="No." attribute="1" defaultMemberUniqueName="[Table4].[No.].[All]" allUniqueName="[Table4].[No.].[All]" dimensionUniqueName="[Table4]" displayFolder="" count="0" memberValueDatatype="20" unbalanced="0"/>
    <cacheHierarchy uniqueName="[Table4].[No.PON]" caption="No.PON" attribute="1" defaultMemberUniqueName="[Table4].[No.PON].[All]" allUniqueName="[Table4].[No.PON].[All]" dimensionUniqueName="[Table4]" displayFolder="" count="0" memberValueDatatype="130" unbalanced="0"/>
    <cacheHierarchy uniqueName="[Table4].[Type  Struktur]" caption="Type  Struktur" attribute="1" defaultMemberUniqueName="[Table4].[Type  Struktur].[All]" allUniqueName="[Table4].[Type  Struktur].[All]" dimensionUniqueName="[Table4]" displayFolder="" count="0" memberValueDatatype="130" unbalanced="0"/>
    <cacheHierarchy uniqueName="[Table4].[Marking Struktur]" caption="Marking Struktur" attribute="1" defaultMemberUniqueName="[Table4].[Marking Struktur].[All]" allUniqueName="[Table4].[Marking Struktur].[All]" dimensionUniqueName="[Table4]" displayFolder="" count="0" memberValueDatatype="130" unbalanced="0"/>
    <cacheHierarchy uniqueName="[Table4].[Date Issue]" caption="Date Issue" attribute="1" time="1" defaultMemberUniqueName="[Table4].[Date Issue].[All]" allUniqueName="[Table4].[Date Issue].[All]" dimensionUniqueName="[Table4]" displayFolder="" count="0" memberValueDatatype="7" unbalanced="0"/>
    <cacheHierarchy uniqueName="[Table4].[ISSUE]" caption="ISSUE" attribute="1" defaultMemberUniqueName="[Table4].[ISSUE].[All]" allUniqueName="[Table4].[ISSUE].[All]" dimensionUniqueName="[Table4]" displayFolder="" count="0" memberValueDatatype="130" unbalanced="0"/>
    <cacheHierarchy uniqueName="[Table5].[No.]" caption="No." attribute="1" defaultMemberUniqueName="[Table5].[No.].[All]" allUniqueName="[Table5].[No.].[All]" dimensionUniqueName="[Table5]" displayFolder="" count="0" memberValueDatatype="20" unbalanced="0"/>
    <cacheHierarchy uniqueName="[Table5].[No.PON]" caption="No.PON" attribute="1" defaultMemberUniqueName="[Table5].[No.PON].[All]" allUniqueName="[Table5].[No.PON].[All]" dimensionUniqueName="[Table5]" displayFolder="" count="0" memberValueDatatype="130" unbalanced="0"/>
    <cacheHierarchy uniqueName="[Table5].[Type  Struktur]" caption="Type  Struktur" attribute="1" defaultMemberUniqueName="[Table5].[Type  Struktur].[All]" allUniqueName="[Table5].[Type  Struktur].[All]" dimensionUniqueName="[Table5]" displayFolder="" count="0" memberValueDatatype="130" unbalanced="0"/>
    <cacheHierarchy uniqueName="[Table5].[Marking Struktur]" caption="Marking Struktur" attribute="1" defaultMemberUniqueName="[Table5].[Marking Struktur].[All]" allUniqueName="[Table5].[Marking Struktur].[All]" dimensionUniqueName="[Table5]" displayFolder="" count="0" memberValueDatatype="130" unbalanced="0"/>
    <cacheHierarchy uniqueName="[Table5].[Vendor]" caption="Vendor" attribute="1" defaultMemberUniqueName="[Table5].[Vendor].[All]" allUniqueName="[Table5].[Vendor].[All]" dimensionUniqueName="[Table5]" displayFolder="" count="0" memberValueDatatype="130" unbalanced="0"/>
    <cacheHierarchy uniqueName="[Table5].[No. PO]" caption="No. PO" attribute="1" defaultMemberUniqueName="[Table5].[No. PO].[All]" allUniqueName="[Table5].[No. PO].[All]" dimensionUniqueName="[Table5]" displayFolder="" count="0" memberValueDatatype="130" unbalanced="0"/>
    <cacheHierarchy uniqueName="[Table5].[Purchase]" caption="Purchase" attribute="1" defaultMemberUniqueName="[Table5].[Purchase].[All]" allUniqueName="[Table5].[Purchase].[All]" dimensionUniqueName="[Table5]" displayFolder="" count="0" memberValueDatatype="130" unbalanced="0"/>
    <cacheHierarchy uniqueName="[Table5].[Marking Aksesories]" caption="Marking Aksesories" attribute="1" defaultMemberUniqueName="[Table5].[Marking Aksesories].[All]" allUniqueName="[Table5].[Marking Aksesories].[All]" dimensionUniqueName="[Table5]" displayFolder="" count="0" memberValueDatatype="130" unbalanced="0"/>
    <cacheHierarchy uniqueName="[Table5].[Dimensi/Ukuran]" caption="Dimensi/Ukuran" attribute="1" defaultMemberUniqueName="[Table5].[Dimensi/Ukuran].[All]" allUniqueName="[Table5].[Dimensi/Ukuran].[All]" dimensionUniqueName="[Table5]" displayFolder="" count="0" memberValueDatatype="130" unbalanced="0"/>
    <cacheHierarchy uniqueName="[Table5].[Qty (pcs)]" caption="Qty (pcs)" attribute="1" defaultMemberUniqueName="[Table5].[Qty (pcs)].[All]" allUniqueName="[Table5].[Qty (pcs)].[All]" dimensionUniqueName="[Table5]" displayFolder="" count="0" memberValueDatatype="20" unbalanced="0"/>
    <cacheHierarchy uniqueName="[Table5].[Unit (Set)]" caption="Unit (Set)" attribute="1" defaultMemberUniqueName="[Table5].[Unit (Set)].[All]" allUniqueName="[Table5].[Unit (Set)].[All]" dimensionUniqueName="[Table5]" displayFolder="" count="0" memberValueDatatype="20" unbalanced="0"/>
    <cacheHierarchy uniqueName="[Table5].[Total  (pcs)]" caption="Total  (pcs)" attribute="1" defaultMemberUniqueName="[Table5].[Total  (pcs)].[All]" allUniqueName="[Table5].[Total  (pcs)].[All]" dimensionUniqueName="[Table5]" displayFolder="" count="0" memberValueDatatype="20" unbalanced="0"/>
    <cacheHierarchy uniqueName="[Table5].[Berat/pcs (Kg)]" caption="Berat/pcs (Kg)" attribute="1" defaultMemberUniqueName="[Table5].[Berat/pcs (Kg)].[All]" allUniqueName="[Table5].[Berat/pcs (Kg)].[All]" dimensionUniqueName="[Table5]" displayFolder="" count="0" memberValueDatatype="5" unbalanced="0"/>
    <cacheHierarchy uniqueName="[Table5].[Total Berat (Kg)]" caption="Total Berat (Kg)" attribute="1" defaultMemberUniqueName="[Table5].[Total Berat (Kg)].[All]" allUniqueName="[Table5].[Total Berat (Kg)].[All]" dimensionUniqueName="[Table5]" displayFolder="" count="0" memberValueDatatype="5" unbalanced="0"/>
    <cacheHierarchy uniqueName="[Table5].[Sent to Purchase]" caption="Sent to Purchase" attribute="1" defaultMemberUniqueName="[Table5].[Sent to Purchase].[All]" allUniqueName="[Table5].[Sent to Purchase].[All]" dimensionUniqueName="[Table5]" displayFolder="" count="0" memberValueDatatype="130" unbalanced="0"/>
    <cacheHierarchy uniqueName="[Table5].[Status data dikirim]" caption="Status data dikirim" attribute="1" defaultMemberUniqueName="[Table5].[Status data dikirim].[All]" allUniqueName="[Table5].[Status data dikirim].[All]" dimensionUniqueName="[Table5]" displayFolder="" count="0" memberValueDatatype="130" unbalanced="0"/>
    <cacheHierarchy uniqueName="[Table5].[Keterangan]" caption="Keterangan" attribute="1" defaultMemberUniqueName="[Table5].[Keterangan].[All]" allUniqueName="[Table5].[Keterangan].[All]" dimensionUniqueName="[Table5]" displayFolder="" count="0" memberValueDatatype="130" unbalanced="0"/>
    <cacheHierarchy uniqueName="[Measures].[ISSUE'S ]" caption="ISSUE'S " measure="1" displayFolder="" measureGroup="Table2" count="0"/>
    <cacheHierarchy uniqueName="[Measures].[__XL_Count Table4]" caption="__XL_Count Table4" measure="1" displayFolder="" measureGroup="Table4" count="0" hidden="1"/>
    <cacheHierarchy uniqueName="[Measures].[__XL_Count Table2]" caption="__XL_Count Table2" measure="1" displayFolder="" measureGroup="Table2" count="0" hidden="1"/>
    <cacheHierarchy uniqueName="[Measures].[__XL_Count Table3]" caption="__XL_Count Table3" measure="1" displayFolder="" measureGroup="Table3" count="0" hidden="1"/>
    <cacheHierarchy uniqueName="[Measures].[__XL_Count Table5]" caption="__XL_Count Table5" measure="1" displayFolder="" measureGroup="Table5" count="0" hidden="1"/>
    <cacheHierarchy uniqueName="[Measures].[__XL_Count BNW]" caption="__XL_Count BNW" measure="1" displayFolder="" measureGroup="BNW" count="0" hidden="1"/>
    <cacheHierarchy uniqueName="[Measures].[__XL_Count Table328]" caption="__XL_Count Table328" measure="1" displayFolder="" measureGroup="Table328" count="0" hidden="1"/>
    <cacheHierarchy uniqueName="[Measures].[__No measures defined]" caption="__No measures defined" measure="1" displayFolder="" count="0" hidden="1"/>
    <cacheHierarchy uniqueName="[Measures].[Sum of Qty (Unit)]" caption="Sum of Qty (Unit)" measure="1" displayFolder="" measureGroup="Table2" count="0" hidden="1">
      <extLst>
        <ext xmlns:x15="http://schemas.microsoft.com/office/spreadsheetml/2010/11/main" uri="{B97F6D7D-B522-45F9-BDA1-12C45D357490}">
          <x15:cacheHierarchy aggregatedColumn="15"/>
        </ext>
      </extLst>
    </cacheHierarchy>
    <cacheHierarchy uniqueName="[Measures].[Sum of Total Berat (Kg)]" caption="Sum of Total Berat (Kg)" measure="1" displayFolder="" measureGroup="Table2" count="0" oneField="1" hidden="1">
      <fieldsUsage count="1">
        <fieldUsage x="0"/>
      </fieldsUsage>
      <extLst>
        <ext xmlns:x15="http://schemas.microsoft.com/office/spreadsheetml/2010/11/main" uri="{B97F6D7D-B522-45F9-BDA1-12C45D357490}">
          <x15:cacheHierarchy aggregatedColumn="20"/>
        </ext>
      </extLst>
    </cacheHierarchy>
    <cacheHierarchy uniqueName="[Measures].[Count of Status]" caption="Count of Status" measure="1" displayFolder="" measureGroup="Table2" count="0" hidden="1">
      <extLst>
        <ext xmlns:x15="http://schemas.microsoft.com/office/spreadsheetml/2010/11/main" uri="{B97F6D7D-B522-45F9-BDA1-12C45D357490}">
          <x15:cacheHierarchy aggregatedColumn="21"/>
        </ext>
      </extLst>
    </cacheHierarchy>
    <cacheHierarchy uniqueName="[Measures].[Sum of Unit (Set)]" caption="Sum of Unit (Set)" measure="1" displayFolder="" measureGroup="Table5" count="0" hidden="1">
      <extLst>
        <ext xmlns:x15="http://schemas.microsoft.com/office/spreadsheetml/2010/11/main" uri="{B97F6D7D-B522-45F9-BDA1-12C45D357490}">
          <x15:cacheHierarchy aggregatedColumn="76"/>
        </ext>
      </extLst>
    </cacheHierarchy>
    <cacheHierarchy uniqueName="[Measures].[Sum of Berat/pcs (Kg)]" caption="Sum of Berat/pcs (Kg)" measure="1" displayFolder="" measureGroup="Table5" count="0" hidden="1">
      <extLst>
        <ext xmlns:x15="http://schemas.microsoft.com/office/spreadsheetml/2010/11/main" uri="{B97F6D7D-B522-45F9-BDA1-12C45D357490}">
          <x15:cacheHierarchy aggregatedColumn="78"/>
        </ext>
      </extLst>
    </cacheHierarchy>
    <cacheHierarchy uniqueName="[Measures].[Count of Marking Aksesories]" caption="Count of Marking Aksesories" measure="1" displayFolder="" measureGroup="Table5" count="0" hidden="1">
      <extLst>
        <ext xmlns:x15="http://schemas.microsoft.com/office/spreadsheetml/2010/11/main" uri="{B97F6D7D-B522-45F9-BDA1-12C45D357490}">
          <x15:cacheHierarchy aggregatedColumn="73"/>
        </ext>
      </extLst>
    </cacheHierarchy>
    <cacheHierarchy uniqueName="[Measures].[Count of NO. PON]" caption="Count of NO. PON" measure="1" displayFolder="" measureGroup="Table2" count="0" hidden="1">
      <extLst>
        <ext xmlns:x15="http://schemas.microsoft.com/office/spreadsheetml/2010/11/main" uri="{B97F6D7D-B522-45F9-BDA1-12C45D357490}">
          <x15:cacheHierarchy aggregatedColumn="13"/>
        </ext>
      </extLst>
    </cacheHierarchy>
    <cacheHierarchy uniqueName="[Measures].[Count of Type  Struktur]" caption="Count of Type  Struktur" measure="1" displayFolder="" measureGroup="Table2" count="0" hidden="1">
      <extLst>
        <ext xmlns:x15="http://schemas.microsoft.com/office/spreadsheetml/2010/11/main" uri="{B97F6D7D-B522-45F9-BDA1-12C45D357490}">
          <x15:cacheHierarchy aggregatedColumn="14"/>
        </ext>
      </extLst>
    </cacheHierarchy>
    <cacheHierarchy uniqueName="[Measures].[Count of Deskripsi  Pekerjaan]" caption="Count of Deskripsi  Pekerjaan" measure="1" displayFolder="" measureGroup="Table2" count="0" hidden="1">
      <extLst>
        <ext xmlns:x15="http://schemas.microsoft.com/office/spreadsheetml/2010/11/main" uri="{B97F6D7D-B522-45F9-BDA1-12C45D357490}">
          <x15:cacheHierarchy aggregatedColumn="17"/>
        </ext>
      </extLst>
    </cacheHierarchy>
    <cacheHierarchy uniqueName="[Measures].[Count of Client]" caption="Count of Client" measure="1" displayFolder="" measureGroup="Table2" count="0" hidden="1">
      <extLst>
        <ext xmlns:x15="http://schemas.microsoft.com/office/spreadsheetml/2010/11/main" uri="{B97F6D7D-B522-45F9-BDA1-12C45D357490}">
          <x15:cacheHierarchy aggregatedColumn="18"/>
        </ext>
      </extLst>
    </cacheHierarchy>
    <cacheHierarchy uniqueName="[Measures].[Count of Marking Struktur]" caption="Count of Marking Struktur" measure="1" displayFolder="" measureGroup="Table2" count="0" hidden="1">
      <extLst>
        <ext xmlns:x15="http://schemas.microsoft.com/office/spreadsheetml/2010/11/main" uri="{B97F6D7D-B522-45F9-BDA1-12C45D357490}">
          <x15:cacheHierarchy aggregatedColumn="16"/>
        </ext>
      </extLst>
    </cacheHierarchy>
    <cacheHierarchy uniqueName="[Measures].[Average of Total Berat (Kg)]" caption="Average of Total Berat (Kg)" measure="1" displayFolder="" measureGroup="Table2" count="0" hidden="1">
      <extLst>
        <ext xmlns:x15="http://schemas.microsoft.com/office/spreadsheetml/2010/11/main" uri="{B97F6D7D-B522-45F9-BDA1-12C45D357490}">
          <x15:cacheHierarchy aggregatedColumn="20"/>
        </ext>
      </extLst>
    </cacheHierarchy>
    <cacheHierarchy uniqueName="[Measures].[Count of Total Berat (Kg)]" caption="Count of Total Berat (Kg)" measure="1" displayFolder="" measureGroup="Table2" count="0" hidden="1">
      <extLst>
        <ext xmlns:x15="http://schemas.microsoft.com/office/spreadsheetml/2010/11/main" uri="{B97F6D7D-B522-45F9-BDA1-12C45D357490}">
          <x15:cacheHierarchy aggregatedColumn="20"/>
        </ext>
      </extLst>
    </cacheHierarchy>
  </cacheHierarchies>
  <kpis count="0"/>
  <dimensions count="7">
    <dimension name="BNW" uniqueName="[BNW]" caption="BNW"/>
    <dimension measure="1" name="Measures" uniqueName="[Measures]" caption="Measures"/>
    <dimension name="Table2" uniqueName="[Table2]" caption="Table2"/>
    <dimension name="Table3" uniqueName="[Table3]" caption="Table3"/>
    <dimension name="Table328" uniqueName="[Table328]" caption="Table328"/>
    <dimension name="Table4" uniqueName="[Table4]" caption="Table4"/>
    <dimension name="Table5" uniqueName="[Table5]" caption="Table5"/>
  </dimensions>
  <measureGroups count="6">
    <measureGroup name="BNW" caption="BNW"/>
    <measureGroup name="Table2" caption="Table2"/>
    <measureGroup name="Table3" caption="Table3"/>
    <measureGroup name="Table328" caption="Table328"/>
    <measureGroup name="Table4" caption="Table4"/>
    <measureGroup name="Table5" caption="Table5"/>
  </measureGroups>
  <maps count="6">
    <map measureGroup="0" dimension="0"/>
    <map measureGroup="1" dimension="2"/>
    <map measureGroup="2" dimension="3"/>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3EF6E92-3509-44BD-943F-2361BE7F4716}" name="PivotTable1" cacheId="7" applyNumberFormats="0" applyBorderFormats="0" applyFontFormats="0" applyPatternFormats="0" applyAlignmentFormats="0" applyWidthHeightFormats="1" dataCaption="Values" updatedVersion="8" minRefreshableVersion="3" useAutoFormatting="1" subtotalHiddenItems="1" colGrandTotals="0" itemPrintTitles="1" createdVersion="8" indent="0" compact="0" compactData="0" multipleFieldFilters="0">
  <location ref="D20:K144" firstHeaderRow="0" firstDataRow="1" firstDataCol="6"/>
  <pivotFields count="8">
    <pivotField axis="axisRow" compact="0" allDrilled="1" outline="0" subtotalTop="0" showAll="0" dataSourceSort="1" defaultSubtotal="0" defaultAttributeDrillState="1">
      <items count="12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s>
    </pivotField>
    <pivotField axis="axisRow" compact="0" allDrilled="1" outline="0" subtotalTop="0" showAll="0" dataSourceSort="1" defaultSubtotal="0" defaultAttributeDrillState="1">
      <items count="22">
        <item x="0"/>
        <item x="1"/>
        <item x="2"/>
        <item x="3"/>
        <item x="4"/>
        <item x="5"/>
        <item x="6"/>
        <item x="7"/>
        <item x="8"/>
        <item x="9"/>
        <item x="10"/>
        <item x="11"/>
        <item x="12"/>
        <item x="13"/>
        <item x="14"/>
        <item x="15"/>
        <item x="16"/>
        <item x="17"/>
        <item x="18"/>
        <item x="19"/>
        <item x="20"/>
        <item x="21"/>
      </items>
    </pivotField>
    <pivotField name="Qty_x000a_ (Unit)" axis="axisRow" compact="0" allDrilled="1" outline="0" subtotalTop="0" showAll="0" dataSourceSort="1" defaultSubtotal="0" defaultAttributeDrillState="1">
      <items count="5">
        <item x="0"/>
        <item x="1"/>
        <item x="2"/>
        <item x="3"/>
        <item x="4"/>
      </items>
    </pivotField>
    <pivotField axis="axisRow" compact="0" allDrilled="1" outline="0" subtotalTop="0" showAll="0" dataSourceSort="1" defaultSubtotal="0" defaultAttributeDrillState="1">
      <items count="7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s>
    </pivotField>
    <pivotField dataField="1" compact="0" outline="0" subtotalTop="0" showAll="0" defaultSubtotal="0"/>
    <pivotField dataField="1" compact="0" outline="0" subtotalTop="0" showAll="0" defaultSubtotal="0"/>
    <pivotField name="Status Pekerjaan" axis="axisRow" compact="0" allDrilled="1" outline="0" subtotalTop="0" showAll="0" defaultSubtotal="0" defaultAttributeDrillState="1">
      <items count="3">
        <item x="0"/>
        <item x="1"/>
        <item x="2"/>
      </items>
    </pivotField>
    <pivotField name="Progress_x000a_(%)" axis="axisRow" compact="0" allDrilled="1" outline="0" subtotalTop="0" showAll="0" dataSourceSort="1" defaultSubtotal="0" defaultAttributeDrillState="1">
      <items count="3">
        <item x="0"/>
        <item x="1"/>
        <item x="2"/>
      </items>
    </pivotField>
  </pivotFields>
  <rowFields count="6">
    <field x="0"/>
    <field x="1"/>
    <field x="3"/>
    <field x="2"/>
    <field x="6"/>
    <field x="7"/>
  </rowFields>
  <rowItems count="124">
    <i>
      <x/>
      <x/>
      <x/>
      <x/>
      <x/>
      <x/>
    </i>
    <i>
      <x v="1"/>
      <x/>
      <x/>
      <x/>
      <x/>
      <x/>
    </i>
    <i>
      <x v="2"/>
      <x/>
      <x/>
      <x/>
      <x/>
      <x/>
    </i>
    <i>
      <x v="3"/>
      <x/>
      <x/>
      <x/>
      <x/>
      <x/>
    </i>
    <i>
      <x v="4"/>
      <x/>
      <x/>
      <x/>
      <x/>
      <x/>
    </i>
    <i>
      <x v="5"/>
      <x/>
      <x/>
      <x/>
      <x/>
      <x/>
    </i>
    <i>
      <x v="6"/>
      <x/>
      <x/>
      <x/>
      <x/>
      <x/>
    </i>
    <i>
      <x v="7"/>
      <x/>
      <x/>
      <x/>
      <x/>
      <x/>
    </i>
    <i>
      <x v="8"/>
      <x/>
      <x/>
      <x/>
      <x/>
      <x/>
    </i>
    <i>
      <x v="9"/>
      <x v="1"/>
      <x v="1"/>
      <x v="1"/>
      <x/>
      <x/>
    </i>
    <i>
      <x v="10"/>
      <x v="2"/>
      <x v="2"/>
      <x/>
      <x/>
      <x/>
    </i>
    <i>
      <x v="11"/>
      <x v="2"/>
      <x v="2"/>
      <x/>
      <x/>
      <x/>
    </i>
    <i>
      <x v="12"/>
      <x v="3"/>
      <x v="3"/>
      <x/>
      <x v="1"/>
      <x/>
    </i>
    <i>
      <x v="13"/>
      <x v="4"/>
      <x v="4"/>
      <x/>
      <x v="1"/>
      <x/>
    </i>
    <i>
      <x v="14"/>
      <x v="2"/>
      <x v="2"/>
      <x/>
      <x/>
      <x/>
    </i>
    <i>
      <x v="15"/>
      <x v="2"/>
      <x v="2"/>
      <x/>
      <x/>
      <x/>
    </i>
    <i>
      <x v="16"/>
      <x v="2"/>
      <x v="2"/>
      <x/>
      <x/>
      <x/>
    </i>
    <i>
      <x v="17"/>
      <x v="5"/>
      <x v="5"/>
      <x/>
      <x/>
      <x/>
    </i>
    <i>
      <x v="18"/>
      <x v="6"/>
      <x v="6"/>
      <x/>
      <x/>
      <x/>
    </i>
    <i>
      <x v="19"/>
      <x v="7"/>
      <x v="7"/>
      <x/>
      <x/>
      <x/>
    </i>
    <i>
      <x v="20"/>
      <x v="6"/>
      <x v="8"/>
      <x/>
      <x/>
      <x/>
    </i>
    <i>
      <x v="21"/>
      <x v="6"/>
      <x v="9"/>
      <x/>
      <x/>
      <x/>
    </i>
    <i>
      <x v="22"/>
      <x v="7"/>
      <x v="10"/>
      <x/>
      <x/>
      <x/>
    </i>
    <i>
      <x v="23"/>
      <x v="7"/>
      <x v="11"/>
      <x v="1"/>
      <x/>
      <x/>
    </i>
    <i>
      <x v="24"/>
      <x v="7"/>
      <x v="12"/>
      <x v="2"/>
      <x/>
      <x/>
    </i>
    <i>
      <x v="25"/>
      <x v="7"/>
      <x v="13"/>
      <x/>
      <x/>
      <x/>
    </i>
    <i>
      <x v="26"/>
      <x v="7"/>
      <x/>
      <x/>
      <x/>
      <x/>
    </i>
    <i>
      <x v="27"/>
      <x v="7"/>
      <x v="14"/>
      <x v="1"/>
      <x v="1"/>
      <x v="1"/>
    </i>
    <i>
      <x v="28"/>
      <x v="7"/>
      <x v="15"/>
      <x v="1"/>
      <x v="1"/>
      <x v="1"/>
    </i>
    <i>
      <x v="29"/>
      <x v="7"/>
      <x v="16"/>
      <x/>
      <x v="1"/>
      <x v="1"/>
    </i>
    <i>
      <x v="30"/>
      <x v="7"/>
      <x v="17"/>
      <x/>
      <x/>
      <x/>
    </i>
    <i>
      <x v="31"/>
      <x v="7"/>
      <x v="18"/>
      <x/>
      <x/>
      <x/>
    </i>
    <i>
      <x v="32"/>
      <x v="7"/>
      <x v="19"/>
      <x v="2"/>
      <x/>
      <x/>
    </i>
    <i>
      <x v="33"/>
      <x v="6"/>
      <x v="20"/>
      <x/>
      <x/>
      <x/>
    </i>
    <i>
      <x v="34"/>
      <x v="7"/>
      <x v="21"/>
      <x/>
      <x/>
      <x/>
    </i>
    <i>
      <x v="35"/>
      <x v="7"/>
      <x v="22"/>
      <x v="1"/>
      <x/>
      <x/>
    </i>
    <i>
      <x v="36"/>
      <x v="8"/>
      <x v="23"/>
      <x/>
      <x/>
      <x/>
    </i>
    <i>
      <x v="37"/>
      <x v="7"/>
      <x v="19"/>
      <x/>
      <x/>
      <x/>
    </i>
    <i>
      <x v="38"/>
      <x v="6"/>
      <x v="24"/>
      <x/>
      <x/>
      <x/>
    </i>
    <i>
      <x v="39"/>
      <x v="7"/>
      <x/>
      <x/>
      <x/>
      <x/>
    </i>
    <i>
      <x v="40"/>
      <x v="7"/>
      <x v="25"/>
      <x/>
      <x/>
      <x/>
    </i>
    <i>
      <x v="41"/>
      <x v="7"/>
      <x v="19"/>
      <x v="1"/>
      <x/>
      <x/>
    </i>
    <i>
      <x v="42"/>
      <x v="7"/>
      <x v="26"/>
      <x/>
      <x/>
      <x/>
    </i>
    <i>
      <x v="43"/>
      <x v="9"/>
      <x v="27"/>
      <x v="3"/>
      <x/>
      <x/>
    </i>
    <i>
      <x v="44"/>
      <x v="7"/>
      <x v="19"/>
      <x/>
      <x/>
      <x/>
    </i>
    <i>
      <x v="45"/>
      <x v="7"/>
      <x v="13"/>
      <x v="1"/>
      <x v="1"/>
      <x v="1"/>
    </i>
    <i>
      <x v="46"/>
      <x v="7"/>
      <x v="28"/>
      <x/>
      <x/>
      <x/>
    </i>
    <i>
      <x v="47"/>
      <x v="7"/>
      <x v="29"/>
      <x/>
      <x v="1"/>
      <x v="1"/>
    </i>
    <i>
      <x v="48"/>
      <x v="7"/>
      <x v="30"/>
      <x/>
      <x/>
      <x/>
    </i>
    <i>
      <x v="49"/>
      <x v="10"/>
      <x v="31"/>
      <x/>
      <x/>
      <x/>
    </i>
    <i>
      <x v="50"/>
      <x v="10"/>
      <x v="32"/>
      <x v="4"/>
      <x/>
      <x/>
    </i>
    <i>
      <x v="51"/>
      <x v="10"/>
      <x v="33"/>
      <x v="2"/>
      <x/>
      <x/>
    </i>
    <i>
      <x v="52"/>
      <x v="10"/>
      <x v="34"/>
      <x/>
      <x/>
      <x/>
    </i>
    <i>
      <x v="53"/>
      <x v="6"/>
      <x v="35"/>
      <x/>
      <x/>
      <x/>
    </i>
    <i>
      <x v="54"/>
      <x v="1"/>
      <x v="36"/>
      <x/>
      <x/>
      <x/>
    </i>
    <i>
      <x v="55"/>
      <x v="6"/>
      <x v="35"/>
      <x/>
      <x/>
      <x/>
    </i>
    <i>
      <x v="56"/>
      <x v="11"/>
      <x v="37"/>
      <x/>
      <x/>
      <x/>
    </i>
    <i>
      <x v="57"/>
      <x v="6"/>
      <x v="38"/>
      <x/>
      <x/>
      <x/>
    </i>
    <i>
      <x v="58"/>
      <x v="6"/>
      <x v="24"/>
      <x/>
      <x/>
      <x/>
    </i>
    <i>
      <x v="59"/>
      <x v="6"/>
      <x v="39"/>
      <x/>
      <x/>
      <x/>
    </i>
    <i>
      <x v="60"/>
      <x v="6"/>
      <x v="40"/>
      <x/>
      <x/>
      <x/>
    </i>
    <i>
      <x v="61"/>
      <x v="1"/>
      <x v="41"/>
      <x v="1"/>
      <x/>
      <x/>
    </i>
    <i>
      <x v="62"/>
      <x v="5"/>
      <x v="42"/>
      <x/>
      <x/>
      <x/>
    </i>
    <i>
      <x v="63"/>
      <x v="6"/>
      <x v="43"/>
      <x/>
      <x/>
      <x/>
    </i>
    <i>
      <x v="64"/>
      <x v="6"/>
      <x v="38"/>
      <x/>
      <x/>
      <x/>
    </i>
    <i>
      <x v="65"/>
      <x v="12"/>
      <x v="44"/>
      <x/>
      <x/>
      <x/>
    </i>
    <i>
      <x v="66"/>
      <x v="5"/>
      <x v="45"/>
      <x/>
      <x/>
      <x/>
    </i>
    <i>
      <x v="67"/>
      <x v="6"/>
      <x v="8"/>
      <x/>
      <x/>
      <x/>
    </i>
    <i>
      <x v="68"/>
      <x v="5"/>
      <x v="46"/>
      <x/>
      <x/>
      <x/>
    </i>
    <i>
      <x v="69"/>
      <x v="6"/>
      <x v="24"/>
      <x/>
      <x/>
      <x/>
    </i>
    <i>
      <x v="70"/>
      <x v="7"/>
      <x v="47"/>
      <x v="2"/>
      <x/>
      <x/>
    </i>
    <i>
      <x v="71"/>
      <x v="1"/>
      <x v="48"/>
      <x/>
      <x/>
      <x/>
    </i>
    <i>
      <x v="72"/>
      <x v="13"/>
      <x v="49"/>
      <x/>
      <x/>
      <x/>
    </i>
    <i>
      <x v="73"/>
      <x v="14"/>
      <x v="50"/>
      <x/>
      <x/>
      <x/>
    </i>
    <i>
      <x v="74"/>
      <x v="6"/>
      <x v="51"/>
      <x/>
      <x/>
      <x/>
    </i>
    <i>
      <x v="75"/>
      <x v="5"/>
      <x v="52"/>
      <x/>
      <x v="2"/>
      <x/>
    </i>
    <i>
      <x v="76"/>
      <x v="6"/>
      <x v="53"/>
      <x/>
      <x/>
      <x/>
    </i>
    <i>
      <x v="77"/>
      <x v="7"/>
      <x v="54"/>
      <x v="1"/>
      <x/>
      <x/>
    </i>
    <i>
      <x v="78"/>
      <x v="5"/>
      <x v="55"/>
      <x/>
      <x/>
      <x/>
    </i>
    <i>
      <x v="79"/>
      <x v="7"/>
      <x v="30"/>
      <x/>
      <x/>
      <x/>
    </i>
    <i>
      <x v="80"/>
      <x v="7"/>
      <x v="56"/>
      <x v="2"/>
      <x/>
      <x/>
    </i>
    <i>
      <x v="81"/>
      <x v="2"/>
      <x v="57"/>
      <x/>
      <x/>
      <x/>
    </i>
    <i>
      <x v="82"/>
      <x v="1"/>
      <x v="58"/>
      <x/>
      <x/>
      <x/>
    </i>
    <i>
      <x v="83"/>
      <x v="7"/>
      <x v="19"/>
      <x/>
      <x/>
      <x/>
    </i>
    <i>
      <x v="84"/>
      <x v="6"/>
      <x v="59"/>
      <x/>
      <x/>
      <x/>
    </i>
    <i>
      <x v="85"/>
      <x v="15"/>
      <x v="60"/>
      <x/>
      <x/>
      <x/>
    </i>
    <i>
      <x v="86"/>
      <x v="7"/>
      <x v="11"/>
      <x v="2"/>
      <x/>
      <x/>
    </i>
    <i>
      <x v="87"/>
      <x v="16"/>
      <x v="61"/>
      <x/>
      <x/>
      <x/>
    </i>
    <i>
      <x v="88"/>
      <x v="5"/>
      <x v="62"/>
      <x/>
      <x/>
      <x/>
    </i>
    <i>
      <x v="89"/>
      <x v="6"/>
      <x v="51"/>
      <x/>
      <x/>
      <x/>
    </i>
    <i>
      <x v="90"/>
      <x v="7"/>
      <x v="63"/>
      <x/>
      <x/>
      <x/>
    </i>
    <i>
      <x v="91"/>
      <x v="1"/>
      <x v="64"/>
      <x/>
      <x/>
      <x/>
    </i>
    <i>
      <x v="92"/>
      <x v="5"/>
      <x v="65"/>
      <x/>
      <x/>
      <x/>
    </i>
    <i>
      <x v="93"/>
      <x v="17"/>
      <x v="66"/>
      <x v="1"/>
      <x/>
      <x/>
    </i>
    <i>
      <x v="94"/>
      <x v="17"/>
      <x v="67"/>
      <x/>
      <x/>
      <x/>
    </i>
    <i>
      <x v="95"/>
      <x v="17"/>
      <x v="68"/>
      <x/>
      <x/>
      <x/>
    </i>
    <i>
      <x v="96"/>
      <x v="18"/>
      <x v="69"/>
      <x/>
      <x/>
      <x/>
    </i>
    <i>
      <x v="97"/>
      <x v="7"/>
      <x v="14"/>
      <x/>
      <x/>
      <x/>
    </i>
    <i>
      <x v="98"/>
      <x v="6"/>
      <x v="51"/>
      <x/>
      <x/>
      <x/>
    </i>
    <i>
      <x v="99"/>
      <x v="1"/>
      <x v="41"/>
      <x/>
      <x/>
      <x/>
    </i>
    <i>
      <x v="100"/>
      <x v="7"/>
      <x v="25"/>
      <x/>
      <x/>
      <x/>
    </i>
    <i>
      <x v="101"/>
      <x v="9"/>
      <x v="27"/>
      <x v="1"/>
      <x/>
      <x/>
    </i>
    <i>
      <x v="102"/>
      <x v="6"/>
      <x v="70"/>
      <x/>
      <x/>
      <x/>
    </i>
    <i>
      <x v="103"/>
      <x v="19"/>
      <x v="71"/>
      <x/>
      <x/>
      <x/>
    </i>
    <i>
      <x v="104"/>
      <x v="7"/>
      <x v="72"/>
      <x/>
      <x/>
      <x/>
    </i>
    <i>
      <x v="105"/>
      <x v="7"/>
      <x v="73"/>
      <x/>
      <x/>
      <x/>
    </i>
    <i>
      <x v="106"/>
      <x v="1"/>
      <x v="58"/>
      <x/>
      <x/>
      <x/>
    </i>
    <i>
      <x v="107"/>
      <x v="1"/>
      <x v="64"/>
      <x/>
      <x/>
      <x/>
    </i>
    <i>
      <x v="108"/>
      <x v="7"/>
      <x v="19"/>
      <x/>
      <x/>
      <x/>
    </i>
    <i>
      <x v="109"/>
      <x v="7"/>
      <x v="13"/>
      <x/>
      <x/>
      <x/>
    </i>
    <i>
      <x v="110"/>
      <x v="1"/>
      <x v="58"/>
      <x/>
      <x/>
      <x/>
    </i>
    <i>
      <x v="111"/>
      <x v="1"/>
      <x v="74"/>
      <x/>
      <x/>
      <x/>
    </i>
    <i>
      <x v="112"/>
      <x v="6"/>
      <x v="75"/>
      <x/>
      <x/>
      <x/>
    </i>
    <i>
      <x v="113"/>
      <x v="7"/>
      <x v="76"/>
      <x/>
      <x/>
      <x/>
    </i>
    <i>
      <x v="114"/>
      <x v="7"/>
      <x v="11"/>
      <x/>
      <x/>
      <x/>
    </i>
    <i>
      <x v="115"/>
      <x v="6"/>
      <x v="8"/>
      <x/>
      <x/>
      <x/>
    </i>
    <i>
      <x v="116"/>
      <x v="20"/>
      <x v="77"/>
      <x/>
      <x v="2"/>
      <x v="2"/>
    </i>
    <i>
      <x v="117"/>
      <x v="7"/>
      <x v="19"/>
      <x v="1"/>
      <x/>
      <x/>
    </i>
    <i>
      <x v="118"/>
      <x v="7"/>
      <x v="25"/>
      <x v="1"/>
      <x/>
      <x/>
    </i>
    <i>
      <x v="119"/>
      <x v="7"/>
      <x v="30"/>
      <x v="1"/>
      <x/>
      <x/>
    </i>
    <i>
      <x v="120"/>
      <x v="21"/>
      <x v="37"/>
      <x/>
      <x/>
      <x/>
    </i>
    <i>
      <x v="121"/>
      <x v="21"/>
      <x v="37"/>
      <x/>
      <x/>
      <x/>
    </i>
    <i>
      <x v="122"/>
      <x v="5"/>
      <x v="78"/>
      <x/>
      <x/>
      <x/>
    </i>
    <i t="grand">
      <x/>
    </i>
  </rowItems>
  <colFields count="1">
    <field x="-2"/>
  </colFields>
  <colItems count="2">
    <i>
      <x/>
    </i>
    <i i="1">
      <x v="1"/>
    </i>
  </colItems>
  <dataFields count="2">
    <dataField name="Sum of Total Berat _x000a_(Kg)" fld="4" baseField="0" baseItem="0" numFmtId="165"/>
    <dataField fld="5" subtotal="count" baseField="2" baseItem="0" numFmtId="43"/>
  </dataFields>
  <formats count="429">
    <format dxfId="665">
      <pivotArea field="0" grandRow="1" outline="0" axis="axisRow" fieldPosition="0">
        <references count="1">
          <reference field="4294967294" count="1" selected="0">
            <x v="1"/>
          </reference>
        </references>
      </pivotArea>
    </format>
    <format dxfId="664">
      <pivotArea outline="0" fieldPosition="0">
        <references count="1">
          <reference field="4294967294" count="1">
            <x v="1"/>
          </reference>
        </references>
      </pivotArea>
    </format>
    <format dxfId="663">
      <pivotArea outline="0" fieldPosition="0">
        <references count="1">
          <reference field="4294967294" count="1" selected="0">
            <x v="0"/>
          </reference>
        </references>
      </pivotArea>
    </format>
    <format dxfId="662">
      <pivotArea dataOnly="0" labelOnly="1" outline="0" fieldPosition="0">
        <references count="1">
          <reference field="4294967294" count="1">
            <x v="0"/>
          </reference>
        </references>
      </pivotArea>
    </format>
    <format dxfId="661">
      <pivotArea grandRow="1" outline="0" collapsedLevelsAreSubtotals="1" fieldPosition="0"/>
    </format>
    <format dxfId="660">
      <pivotArea dataOnly="0" labelOnly="1" grandRow="1" outline="0" fieldPosition="0"/>
    </format>
    <format dxfId="659">
      <pivotArea field="0" type="button" dataOnly="0" labelOnly="1" outline="0" axis="axisRow" fieldPosition="0"/>
    </format>
    <format dxfId="658">
      <pivotArea field="1" type="button" dataOnly="0" labelOnly="1" outline="0" axis="axisRow" fieldPosition="1"/>
    </format>
    <format dxfId="657">
      <pivotArea field="3" type="button" dataOnly="0" labelOnly="1" outline="0" axis="axisRow" fieldPosition="2"/>
    </format>
    <format dxfId="656">
      <pivotArea field="2" type="button" dataOnly="0" labelOnly="1" outline="0" axis="axisRow" fieldPosition="3"/>
    </format>
    <format dxfId="655">
      <pivotArea dataOnly="0" labelOnly="1" outline="0" fieldPosition="0">
        <references count="1">
          <reference field="4294967294" count="2">
            <x v="0"/>
            <x v="1"/>
          </reference>
        </references>
      </pivotArea>
    </format>
    <format dxfId="654">
      <pivotArea field="0" type="button" dataOnly="0" labelOnly="1" outline="0" axis="axisRow" fieldPosition="0"/>
    </format>
    <format dxfId="653">
      <pivotArea field="1" type="button" dataOnly="0" labelOnly="1" outline="0" axis="axisRow" fieldPosition="1"/>
    </format>
    <format dxfId="652">
      <pivotArea field="3" type="button" dataOnly="0" labelOnly="1" outline="0" axis="axisRow" fieldPosition="2"/>
    </format>
    <format dxfId="651">
      <pivotArea field="2" type="button" dataOnly="0" labelOnly="1" outline="0" axis="axisRow" fieldPosition="3"/>
    </format>
    <format dxfId="650">
      <pivotArea dataOnly="0" labelOnly="1" outline="0" fieldPosition="0">
        <references count="1">
          <reference field="4294967294" count="2">
            <x v="0"/>
            <x v="1"/>
          </reference>
        </references>
      </pivotArea>
    </format>
    <format dxfId="649">
      <pivotArea dataOnly="0" labelOnly="1" outline="0" fieldPosition="0">
        <references count="1">
          <reference field="2" count="0"/>
        </references>
      </pivotArea>
    </format>
    <format dxfId="648">
      <pivotArea dataOnly="0" labelOnly="1" outline="0" fieldPosition="0">
        <references count="1">
          <reference field="2" count="0"/>
        </references>
      </pivotArea>
    </format>
    <format dxfId="647">
      <pivotArea field="0" type="button" dataOnly="0" labelOnly="1" outline="0" axis="axisRow" fieldPosition="0"/>
    </format>
    <format dxfId="646">
      <pivotArea field="1" type="button" dataOnly="0" labelOnly="1" outline="0" axis="axisRow" fieldPosition="1"/>
    </format>
    <format dxfId="645">
      <pivotArea field="3" type="button" dataOnly="0" labelOnly="1" outline="0" axis="axisRow" fieldPosition="2"/>
    </format>
    <format dxfId="644">
      <pivotArea field="2" type="button" dataOnly="0" labelOnly="1" outline="0" axis="axisRow" fieldPosition="3"/>
    </format>
    <format dxfId="643">
      <pivotArea dataOnly="0" labelOnly="1" outline="0" fieldPosition="0">
        <references count="1">
          <reference field="4294967294" count="2">
            <x v="0"/>
            <x v="1"/>
          </reference>
        </references>
      </pivotArea>
    </format>
    <format dxfId="642">
      <pivotArea field="0" type="button" dataOnly="0" labelOnly="1" outline="0" axis="axisRow" fieldPosition="0"/>
    </format>
    <format dxfId="641">
      <pivotArea field="1" type="button" dataOnly="0" labelOnly="1" outline="0" axis="axisRow" fieldPosition="1"/>
    </format>
    <format dxfId="640">
      <pivotArea field="3" type="button" dataOnly="0" labelOnly="1" outline="0" axis="axisRow" fieldPosition="2"/>
    </format>
    <format dxfId="639">
      <pivotArea field="2" type="button" dataOnly="0" labelOnly="1" outline="0" axis="axisRow" fieldPosition="3"/>
    </format>
    <format dxfId="638">
      <pivotArea dataOnly="0" labelOnly="1" outline="0" fieldPosition="0">
        <references count="1">
          <reference field="4294967294" count="2">
            <x v="0"/>
            <x v="1"/>
          </reference>
        </references>
      </pivotArea>
    </format>
    <format dxfId="637">
      <pivotArea field="2" type="button" dataOnly="0" labelOnly="1" outline="0" axis="axisRow" fieldPosition="3"/>
    </format>
    <format dxfId="636">
      <pivotArea dataOnly="0" labelOnly="1" outline="0" fieldPosition="0">
        <references count="1">
          <reference field="4294967294" count="1">
            <x v="0"/>
          </reference>
        </references>
      </pivotArea>
    </format>
    <format dxfId="635">
      <pivotArea field="6" type="button" dataOnly="0" labelOnly="1" outline="0" axis="axisRow" fieldPosition="4"/>
    </format>
    <format dxfId="634">
      <pivotArea field="6" type="button" dataOnly="0" labelOnly="1" outline="0" axis="axisRow" fieldPosition="4"/>
    </format>
    <format dxfId="633">
      <pivotArea field="6" type="button" dataOnly="0" labelOnly="1" outline="0" axis="axisRow" fieldPosition="4"/>
    </format>
    <format dxfId="632">
      <pivotArea field="6" type="button" dataOnly="0" labelOnly="1" outline="0" axis="axisRow" fieldPosition="4"/>
    </format>
    <format dxfId="631">
      <pivotArea grandRow="1" outline="0" collapsedLevelsAreSubtotals="1" fieldPosition="0"/>
    </format>
    <format dxfId="630">
      <pivotArea dataOnly="0" labelOnly="1" grandRow="1" outline="0" fieldPosition="0"/>
    </format>
    <format dxfId="629">
      <pivotArea field="0" grandRow="1" outline="0" axis="axisRow" fieldPosition="0">
        <references count="1">
          <reference field="4294967294" count="1" selected="0">
            <x v="0"/>
          </reference>
        </references>
      </pivotArea>
    </format>
    <format dxfId="628">
      <pivotArea dataOnly="0" labelOnly="1" grandRow="1" outline="0" fieldPosition="0"/>
    </format>
    <format dxfId="627">
      <pivotArea dataOnly="0" outline="0" fieldPosition="0">
        <references count="1">
          <reference field="4294967294" count="1">
            <x v="1"/>
          </reference>
        </references>
      </pivotArea>
    </format>
    <format dxfId="626">
      <pivotArea outline="0" fieldPosition="0">
        <references count="6">
          <reference field="4294967294" count="1" selected="0">
            <x v="1"/>
          </reference>
          <reference field="0" count="1" selected="0">
            <x v="76"/>
          </reference>
          <reference field="1" count="2" selected="0">
            <x v="5"/>
            <x v="6"/>
          </reference>
          <reference field="2" count="1" selected="0">
            <x v="0"/>
          </reference>
          <reference field="3" count="1" selected="0">
            <x v="53"/>
          </reference>
          <reference field="6" count="1" selected="0">
            <x v="2"/>
          </reference>
        </references>
      </pivotArea>
    </format>
    <format dxfId="625">
      <pivotArea outline="0" fieldPosition="0">
        <references count="6">
          <reference field="4294967294" count="1" selected="0">
            <x v="1"/>
          </reference>
          <reference field="0" count="1" selected="0">
            <x v="85"/>
          </reference>
          <reference field="1" count="1" selected="0">
            <x v="15"/>
          </reference>
          <reference field="2" count="1" selected="0">
            <x v="0"/>
          </reference>
          <reference field="3" count="1" selected="0">
            <x v="60"/>
          </reference>
          <reference field="6" count="1" selected="0">
            <x v="2"/>
          </reference>
        </references>
      </pivotArea>
    </format>
    <format dxfId="624">
      <pivotArea outline="0" fieldPosition="0">
        <references count="6">
          <reference field="4294967294" count="1" selected="0">
            <x v="1"/>
          </reference>
          <reference field="0" count="1" selected="0">
            <x v="98"/>
          </reference>
          <reference field="1" count="1" selected="0">
            <x v="6"/>
          </reference>
          <reference field="2" count="1" selected="0">
            <x v="0"/>
          </reference>
          <reference field="3" count="1" selected="0">
            <x v="51"/>
          </reference>
          <reference field="6" count="1" selected="0">
            <x v="2"/>
          </reference>
        </references>
      </pivotArea>
    </format>
    <format dxfId="623">
      <pivotArea dataOnly="0" labelOnly="1" outline="0" fieldPosition="0">
        <references count="1">
          <reference field="7" count="0"/>
        </references>
      </pivotArea>
    </format>
    <format dxfId="622">
      <pivotArea dataOnly="0" labelOnly="1" outline="0" fieldPosition="0">
        <references count="1">
          <reference field="7" count="0"/>
        </references>
      </pivotArea>
    </format>
    <format dxfId="621">
      <pivotArea dataOnly="0" labelOnly="1" outline="0" fieldPosition="0">
        <references count="1">
          <reference field="7" count="0"/>
        </references>
      </pivotArea>
    </format>
    <format dxfId="620">
      <pivotArea grandRow="1" outline="0" collapsedLevelsAreSubtotals="1" fieldPosition="0"/>
    </format>
    <format dxfId="619">
      <pivotArea dataOnly="0" labelOnly="1" grandRow="1" outline="0" fieldPosition="0"/>
    </format>
    <format dxfId="618">
      <pivotArea grandRow="1" outline="0" collapsedLevelsAreSubtotals="1" fieldPosition="0"/>
    </format>
    <format dxfId="617">
      <pivotArea dataOnly="0" labelOnly="1" grandRow="1" outline="0" fieldPosition="0"/>
    </format>
    <format dxfId="616">
      <pivotArea field="0" grandRow="1" outline="0" axis="axisRow" fieldPosition="0">
        <references count="1">
          <reference field="4294967294" count="1" selected="0">
            <x v="0"/>
          </reference>
        </references>
      </pivotArea>
    </format>
    <format dxfId="615">
      <pivotArea field="7" type="button" dataOnly="0" labelOnly="1" outline="0" axis="axisRow" fieldPosition="5"/>
    </format>
    <format dxfId="614">
      <pivotArea field="7" type="button" dataOnly="0" labelOnly="1" outline="0" axis="axisRow" fieldPosition="5"/>
    </format>
    <format dxfId="613">
      <pivotArea field="7" type="button" dataOnly="0" labelOnly="1" outline="0" axis="axisRow" fieldPosition="5"/>
    </format>
    <format dxfId="612">
      <pivotArea field="7" type="button" dataOnly="0" labelOnly="1" outline="0" axis="axisRow" fieldPosition="5"/>
    </format>
    <format dxfId="611">
      <pivotArea field="7" type="button" dataOnly="0" labelOnly="1" outline="0" axis="axisRow" fieldPosition="5"/>
    </format>
    <format dxfId="610">
      <pivotArea outline="0" fieldPosition="0">
        <references count="6">
          <reference field="0" count="0" selected="0"/>
          <reference field="1" count="0" selected="0"/>
          <reference field="2" count="0" selected="0"/>
          <reference field="3" count="0" selected="0"/>
          <reference field="6" count="0" selected="0"/>
          <reference field="7" count="0" selected="0"/>
        </references>
      </pivotArea>
    </format>
    <format dxfId="609">
      <pivotArea dataOnly="0" labelOnly="1" outline="0" fieldPosition="0">
        <references count="1">
          <reference field="0" count="47">
            <x v="50"/>
            <x v="51"/>
            <x v="52"/>
            <x v="53"/>
            <x v="54"/>
            <x v="55"/>
            <x v="56"/>
            <x v="57"/>
            <x v="58"/>
            <x v="59"/>
            <x v="60"/>
            <x v="61"/>
            <x v="62"/>
            <x v="63"/>
            <x v="64"/>
            <x v="65"/>
            <x v="66"/>
            <x v="67"/>
            <x v="68"/>
            <x v="69"/>
            <x v="70"/>
            <x v="71"/>
            <x v="72"/>
            <x v="73"/>
            <x v="74"/>
            <x v="76"/>
            <x v="77"/>
            <x v="78"/>
            <x v="79"/>
            <x v="81"/>
            <x v="82"/>
            <x v="83"/>
            <x v="84"/>
            <x v="85"/>
            <x v="86"/>
            <x v="87"/>
            <x v="88"/>
            <x v="89"/>
            <x v="90"/>
            <x v="91"/>
            <x v="92"/>
            <x v="96"/>
            <x v="97"/>
            <x v="98"/>
            <x v="99"/>
            <x v="100"/>
            <x v="101"/>
          </reference>
        </references>
      </pivotArea>
    </format>
    <format dxfId="608">
      <pivotArea dataOnly="0" labelOnly="1" outline="0" fieldPosition="0">
        <references count="5">
          <reference field="0" count="1" selected="0">
            <x v="33"/>
          </reference>
          <reference field="1" count="1" selected="0">
            <x v="6"/>
          </reference>
          <reference field="2" count="1" selected="0">
            <x v="0"/>
          </reference>
          <reference field="3" count="1" selected="0">
            <x v="20"/>
          </reference>
          <reference field="6" count="1">
            <x v="0"/>
          </reference>
        </references>
      </pivotArea>
    </format>
    <format dxfId="607">
      <pivotArea dataOnly="0" labelOnly="1" outline="0" fieldPosition="0">
        <references count="5">
          <reference field="0" count="1" selected="0">
            <x v="57"/>
          </reference>
          <reference field="1" count="1" selected="0">
            <x v="6"/>
          </reference>
          <reference field="2" count="1" selected="0">
            <x v="0"/>
          </reference>
          <reference field="3" count="1" selected="0">
            <x v="38"/>
          </reference>
          <reference field="6" count="1">
            <x v="1"/>
          </reference>
        </references>
      </pivotArea>
    </format>
    <format dxfId="606">
      <pivotArea dataOnly="0" labelOnly="1" outline="0" fieldPosition="0">
        <references count="5">
          <reference field="0" count="1" selected="0">
            <x v="58"/>
          </reference>
          <reference field="1" count="1" selected="0">
            <x v="6"/>
          </reference>
          <reference field="2" count="1" selected="0">
            <x v="0"/>
          </reference>
          <reference field="3" count="1" selected="0">
            <x v="24"/>
          </reference>
          <reference field="6" count="1">
            <x v="0"/>
          </reference>
        </references>
      </pivotArea>
    </format>
    <format dxfId="605">
      <pivotArea dataOnly="0" labelOnly="1" outline="0" fieldPosition="0">
        <references count="5">
          <reference field="0" count="1" selected="0">
            <x v="66"/>
          </reference>
          <reference field="1" count="1" selected="0">
            <x v="5"/>
          </reference>
          <reference field="2" count="1" selected="0">
            <x v="0"/>
          </reference>
          <reference field="3" count="1" selected="0">
            <x v="45"/>
          </reference>
          <reference field="6" count="1">
            <x v="2"/>
          </reference>
        </references>
      </pivotArea>
    </format>
    <format dxfId="604">
      <pivotArea dataOnly="0" labelOnly="1" outline="0" fieldPosition="0">
        <references count="5">
          <reference field="0" count="1" selected="0">
            <x v="67"/>
          </reference>
          <reference field="1" count="1" selected="0">
            <x v="6"/>
          </reference>
          <reference field="2" count="1" selected="0">
            <x v="0"/>
          </reference>
          <reference field="3" count="1" selected="0">
            <x v="8"/>
          </reference>
          <reference field="6" count="1">
            <x v="1"/>
          </reference>
        </references>
      </pivotArea>
    </format>
    <format dxfId="603">
      <pivotArea dataOnly="0" labelOnly="1" outline="0" fieldPosition="0">
        <references count="5">
          <reference field="0" count="1" selected="0">
            <x v="68"/>
          </reference>
          <reference field="1" count="1" selected="0">
            <x v="5"/>
          </reference>
          <reference field="2" count="1" selected="0">
            <x v="0"/>
          </reference>
          <reference field="3" count="1" selected="0">
            <x v="46"/>
          </reference>
          <reference field="6" count="1">
            <x v="2"/>
          </reference>
        </references>
      </pivotArea>
    </format>
    <format dxfId="602">
      <pivotArea dataOnly="0" labelOnly="1" outline="0" fieldPosition="0">
        <references count="5">
          <reference field="0" count="1" selected="0">
            <x v="71"/>
          </reference>
          <reference field="1" count="1" selected="0">
            <x v="1"/>
          </reference>
          <reference field="2" count="1" selected="0">
            <x v="0"/>
          </reference>
          <reference field="3" count="1" selected="0">
            <x v="48"/>
          </reference>
          <reference field="6" count="1">
            <x v="1"/>
          </reference>
        </references>
      </pivotArea>
    </format>
    <format dxfId="601">
      <pivotArea dataOnly="0" labelOnly="1" outline="0" fieldPosition="0">
        <references count="5">
          <reference field="0" count="1" selected="0">
            <x v="73"/>
          </reference>
          <reference field="1" count="1" selected="0">
            <x v="14"/>
          </reference>
          <reference field="2" count="1" selected="0">
            <x v="0"/>
          </reference>
          <reference field="3" count="1" selected="0">
            <x v="50"/>
          </reference>
          <reference field="6" count="1">
            <x v="1"/>
          </reference>
        </references>
      </pivotArea>
    </format>
    <format dxfId="600">
      <pivotArea dataOnly="0" labelOnly="1" outline="0" fieldPosition="0">
        <references count="5">
          <reference field="0" count="1" selected="0">
            <x v="74"/>
          </reference>
          <reference field="1" count="1" selected="0">
            <x v="6"/>
          </reference>
          <reference field="2" count="1" selected="0">
            <x v="0"/>
          </reference>
          <reference field="3" count="1" selected="0">
            <x v="51"/>
          </reference>
          <reference field="6" count="1">
            <x v="0"/>
          </reference>
        </references>
      </pivotArea>
    </format>
    <format dxfId="599">
      <pivotArea dataOnly="0" labelOnly="1" outline="0" fieldPosition="0">
        <references count="5">
          <reference field="0" count="1" selected="0">
            <x v="91"/>
          </reference>
          <reference field="1" count="1" selected="0">
            <x v="1"/>
          </reference>
          <reference field="2" count="1" selected="0">
            <x v="0"/>
          </reference>
          <reference field="3" count="1" selected="0">
            <x v="64"/>
          </reference>
          <reference field="6" count="1">
            <x v="1"/>
          </reference>
        </references>
      </pivotArea>
    </format>
    <format dxfId="598">
      <pivotArea dataOnly="0" labelOnly="1" outline="0" fieldPosition="0">
        <references count="5">
          <reference field="0" count="1" selected="0">
            <x v="97"/>
          </reference>
          <reference field="1" count="1" selected="0">
            <x v="7"/>
          </reference>
          <reference field="2" count="1" selected="0">
            <x v="0"/>
          </reference>
          <reference field="3" count="1" selected="0">
            <x v="14"/>
          </reference>
          <reference field="6" count="1">
            <x v="0"/>
          </reference>
        </references>
      </pivotArea>
    </format>
    <format dxfId="597">
      <pivotArea dataOnly="0" labelOnly="1" outline="0" fieldPosition="0">
        <references count="5">
          <reference field="0" count="1" selected="0">
            <x v="98"/>
          </reference>
          <reference field="1" count="1" selected="0">
            <x v="6"/>
          </reference>
          <reference field="2" count="1" selected="0">
            <x v="0"/>
          </reference>
          <reference field="3" count="1" selected="0">
            <x v="51"/>
          </reference>
          <reference field="6" count="1">
            <x v="2"/>
          </reference>
        </references>
      </pivotArea>
    </format>
    <format dxfId="596">
      <pivotArea dataOnly="0" labelOnly="1" outline="0" fieldPosition="0">
        <references count="6">
          <reference field="0" count="1" selected="0">
            <x v="46"/>
          </reference>
          <reference field="1" count="1" selected="0">
            <x v="7"/>
          </reference>
          <reference field="2" count="1" selected="0">
            <x v="0"/>
          </reference>
          <reference field="3" count="1" selected="0">
            <x v="28"/>
          </reference>
          <reference field="6" count="1" selected="0">
            <x v="1"/>
          </reference>
          <reference field="7" count="1">
            <x v="1"/>
          </reference>
        </references>
      </pivotArea>
    </format>
    <format dxfId="595">
      <pivotArea dataOnly="0" labelOnly="1" outline="0" fieldPosition="0">
        <references count="6">
          <reference field="0" count="1" selected="0">
            <x v="57"/>
          </reference>
          <reference field="1" count="1" selected="0">
            <x v="6"/>
          </reference>
          <reference field="2" count="1" selected="0">
            <x v="0"/>
          </reference>
          <reference field="3" count="1" selected="0">
            <x v="38"/>
          </reference>
          <reference field="6" count="1" selected="0">
            <x v="1"/>
          </reference>
          <reference field="7" count="1">
            <x v="1"/>
          </reference>
        </references>
      </pivotArea>
    </format>
    <format dxfId="594">
      <pivotArea dataOnly="0" labelOnly="1" outline="0" fieldPosition="0">
        <references count="6">
          <reference field="0" count="1" selected="0">
            <x v="71"/>
          </reference>
          <reference field="1" count="1" selected="0">
            <x v="1"/>
          </reference>
          <reference field="2" count="1" selected="0">
            <x v="0"/>
          </reference>
          <reference field="3" count="1" selected="0">
            <x v="48"/>
          </reference>
          <reference field="6" count="1" selected="0">
            <x v="1"/>
          </reference>
          <reference field="7" count="1">
            <x v="1"/>
          </reference>
        </references>
      </pivotArea>
    </format>
    <format dxfId="593">
      <pivotArea dataOnly="0" labelOnly="1" outline="0" fieldPosition="0">
        <references count="6">
          <reference field="0" count="1" selected="0">
            <x v="73"/>
          </reference>
          <reference field="1" count="1" selected="0">
            <x v="14"/>
          </reference>
          <reference field="2" count="1" selected="0">
            <x v="0"/>
          </reference>
          <reference field="3" count="1" selected="0">
            <x v="50"/>
          </reference>
          <reference field="6" count="1" selected="0">
            <x v="1"/>
          </reference>
          <reference field="7" count="1">
            <x v="1"/>
          </reference>
        </references>
      </pivotArea>
    </format>
    <format dxfId="592">
      <pivotArea grandRow="1" outline="0" collapsedLevelsAreSubtotals="1" fieldPosition="0"/>
    </format>
    <format dxfId="591">
      <pivotArea dataOnly="0" labelOnly="1" grandRow="1" outline="0" fieldPosition="0"/>
    </format>
    <format dxfId="590">
      <pivotArea field="0" type="button" dataOnly="0" labelOnly="1" outline="0" axis="axisRow" fieldPosition="0"/>
    </format>
    <format dxfId="589">
      <pivotArea field="1" type="button" dataOnly="0" labelOnly="1" outline="0" axis="axisRow" fieldPosition="1"/>
    </format>
    <format dxfId="588">
      <pivotArea field="3" type="button" dataOnly="0" labelOnly="1" outline="0" axis="axisRow" fieldPosition="2"/>
    </format>
    <format dxfId="587">
      <pivotArea field="2" type="button" dataOnly="0" labelOnly="1" outline="0" axis="axisRow" fieldPosition="3"/>
    </format>
    <format dxfId="586">
      <pivotArea field="6" type="button" dataOnly="0" labelOnly="1" outline="0" axis="axisRow" fieldPosition="4"/>
    </format>
    <format dxfId="585">
      <pivotArea field="7" type="button" dataOnly="0" labelOnly="1" outline="0" axis="axisRow" fieldPosition="5"/>
    </format>
    <format dxfId="584">
      <pivotArea dataOnly="0" labelOnly="1" outline="0" fieldPosition="0">
        <references count="1">
          <reference field="4294967294" count="2">
            <x v="0"/>
            <x v="1"/>
          </reference>
        </references>
      </pivotArea>
    </format>
    <format dxfId="583">
      <pivotArea dataOnly="0" labelOnly="1" outline="0" fieldPosition="0">
        <references count="1">
          <reference field="6" count="0"/>
        </references>
      </pivotArea>
    </format>
    <format dxfId="582">
      <pivotArea dataOnly="0" labelOnly="1" outline="0" fieldPosition="0">
        <references count="5">
          <reference field="0" count="1" selected="0">
            <x v="102"/>
          </reference>
          <reference field="1" count="1" selected="0">
            <x v="6"/>
          </reference>
          <reference field="2" count="1" selected="0">
            <x v="0"/>
          </reference>
          <reference field="3" count="1" selected="0">
            <x v="70"/>
          </reference>
          <reference field="6" count="1">
            <x v="2"/>
          </reference>
        </references>
      </pivotArea>
    </format>
    <format dxfId="581">
      <pivotArea dataOnly="0" labelOnly="1" outline="0" fieldPosition="0">
        <references count="5">
          <reference field="0" count="1" selected="0">
            <x v="109"/>
          </reference>
          <reference field="1" count="1" selected="0">
            <x v="7"/>
          </reference>
          <reference field="2" count="1" selected="0">
            <x v="0"/>
          </reference>
          <reference field="3" count="1" selected="0">
            <x v="13"/>
          </reference>
          <reference field="6" count="1">
            <x v="0"/>
          </reference>
        </references>
      </pivotArea>
    </format>
    <format dxfId="580">
      <pivotArea dataOnly="0" labelOnly="1" outline="0" fieldPosition="0">
        <references count="6">
          <reference field="0" count="1" selected="0">
            <x v="109"/>
          </reference>
          <reference field="1" count="1" selected="0">
            <x v="7"/>
          </reference>
          <reference field="2" count="1" selected="0">
            <x v="0"/>
          </reference>
          <reference field="3" count="1" selected="0">
            <x v="13"/>
          </reference>
          <reference field="6" count="1" selected="0">
            <x v="0"/>
          </reference>
          <reference field="7" count="1">
            <x v="0"/>
          </reference>
        </references>
      </pivotArea>
    </format>
    <format dxfId="579">
      <pivotArea outline="0" fieldPosition="0">
        <references count="7">
          <reference field="4294967294" count="1" selected="0">
            <x v="1"/>
          </reference>
          <reference field="0" count="0" selected="0"/>
          <reference field="1" count="0" selected="0"/>
          <reference field="2" count="0" selected="0"/>
          <reference field="3" count="0" selected="0"/>
          <reference field="6" count="0" selected="0"/>
          <reference field="7" count="0" selected="0"/>
        </references>
      </pivotArea>
    </format>
    <format dxfId="578">
      <pivotArea field="0" grandRow="1" outline="0" axis="axisRow" fieldPosition="0">
        <references count="1">
          <reference field="4294967294" count="1" selected="0">
            <x v="0"/>
          </reference>
        </references>
      </pivotArea>
    </format>
    <format dxfId="577">
      <pivotArea field="0" grandRow="1" outline="0" axis="axisRow" fieldPosition="0">
        <references count="1">
          <reference field="4294967294" count="1" selected="0">
            <x v="0"/>
          </reference>
        </references>
      </pivotArea>
    </format>
    <format dxfId="576">
      <pivotArea field="0" grandRow="1" outline="0" axis="axisRow" fieldPosition="0">
        <references count="1">
          <reference field="4294967294" count="1" selected="0">
            <x v="0"/>
          </reference>
        </references>
      </pivotArea>
    </format>
    <format dxfId="575">
      <pivotArea outline="0" fieldPosition="0">
        <references count="6">
          <reference field="0" count="107" selected="0">
            <x v="0"/>
            <x v="1"/>
            <x v="2"/>
            <x v="3"/>
            <x v="4"/>
            <x v="5"/>
            <x v="6"/>
            <x v="8"/>
            <x v="9"/>
            <x v="10"/>
            <x v="11"/>
            <x v="12"/>
            <x v="13"/>
            <x v="14"/>
            <x v="15"/>
            <x v="16"/>
            <x v="17"/>
            <x v="18"/>
            <x v="19"/>
            <x v="20"/>
            <x v="21"/>
            <x v="22"/>
            <x v="23"/>
            <x v="24"/>
            <x v="25"/>
            <x v="26"/>
            <x v="27"/>
            <x v="28"/>
            <x v="29"/>
            <x v="30"/>
            <x v="31"/>
            <x v="32"/>
            <x v="33"/>
            <x v="34"/>
            <x v="35"/>
            <x v="36"/>
            <x v="37"/>
            <x v="38"/>
            <x v="39"/>
            <x v="40"/>
            <x v="41"/>
            <x v="42"/>
            <x v="43"/>
            <x v="44"/>
            <x v="45"/>
            <x v="46"/>
            <x v="47"/>
            <x v="48"/>
            <x v="49"/>
            <x v="50"/>
            <x v="51"/>
            <x v="52"/>
            <x v="53"/>
            <x v="54"/>
            <x v="55"/>
            <x v="56"/>
            <x v="57"/>
            <x v="58"/>
            <x v="59"/>
            <x v="60"/>
            <x v="61"/>
            <x v="62"/>
            <x v="63"/>
            <x v="64"/>
            <x v="65"/>
            <x v="66"/>
            <x v="67"/>
            <x v="68"/>
            <x v="69"/>
            <x v="70"/>
            <x v="71"/>
            <x v="72"/>
            <x v="73"/>
            <x v="74"/>
            <x v="75"/>
            <x v="76"/>
            <x v="77"/>
            <x v="78"/>
            <x v="79"/>
            <x v="80"/>
            <x v="81"/>
            <x v="82"/>
            <x v="83"/>
            <x v="84"/>
            <x v="85"/>
            <x v="86"/>
            <x v="87"/>
            <x v="88"/>
            <x v="89"/>
            <x v="90"/>
            <x v="91"/>
            <x v="92"/>
            <x v="93"/>
            <x v="94"/>
            <x v="95"/>
            <x v="96"/>
            <x v="97"/>
            <x v="98"/>
            <x v="99"/>
            <x v="100"/>
            <x v="101"/>
            <x v="102"/>
            <x v="103"/>
            <x v="104"/>
            <x v="105"/>
            <x v="106"/>
            <x v="107"/>
          </reference>
          <reference field="1" count="0" selected="0"/>
          <reference field="2" count="0" selected="0"/>
          <reference field="3" count="0" selected="0"/>
          <reference field="6" count="0" selected="0"/>
          <reference field="7" count="0" selected="0"/>
        </references>
      </pivotArea>
    </format>
    <format dxfId="574">
      <pivotArea dataOnly="0" labelOnly="1" outline="0" fieldPosition="0">
        <references count="1">
          <reference field="0" count="50">
            <x v="0"/>
            <x v="1"/>
            <x v="2"/>
            <x v="3"/>
            <x v="4"/>
            <x v="5"/>
            <x v="6"/>
            <x v="8"/>
            <x v="9"/>
            <x v="10"/>
            <x v="11"/>
            <x v="12"/>
            <x v="13"/>
            <x v="14"/>
            <x v="15"/>
            <x v="16"/>
            <x v="17"/>
            <x v="18"/>
            <x v="19"/>
            <x v="20"/>
            <x v="21"/>
            <x v="22"/>
            <x v="23"/>
            <x v="24"/>
            <x v="25"/>
            <x v="26"/>
            <x v="27"/>
            <x v="28"/>
            <x v="29"/>
            <x v="30"/>
            <x v="31"/>
            <x v="32"/>
            <x v="33"/>
            <x v="34"/>
            <x v="35"/>
            <x v="36"/>
            <x v="37"/>
            <x v="38"/>
            <x v="39"/>
            <x v="40"/>
            <x v="41"/>
            <x v="42"/>
            <x v="43"/>
            <x v="44"/>
            <x v="45"/>
            <x v="46"/>
            <x v="47"/>
            <x v="48"/>
            <x v="49"/>
            <x v="50"/>
          </reference>
        </references>
      </pivotArea>
    </format>
    <format dxfId="573">
      <pivotArea dataOnly="0" labelOnly="1" outline="0" fieldPosition="0">
        <references count="1">
          <reference field="0" count="50">
            <x v="51"/>
            <x v="52"/>
            <x v="53"/>
            <x v="54"/>
            <x v="55"/>
            <x v="56"/>
            <x v="57"/>
            <x v="58"/>
            <x v="59"/>
            <x v="60"/>
            <x v="61"/>
            <x v="62"/>
            <x v="63"/>
            <x v="64"/>
            <x v="65"/>
            <x v="66"/>
            <x v="67"/>
            <x v="68"/>
            <x v="69"/>
            <x v="70"/>
            <x v="71"/>
            <x v="72"/>
            <x v="73"/>
            <x v="74"/>
            <x v="75"/>
            <x v="76"/>
            <x v="77"/>
            <x v="78"/>
            <x v="79"/>
            <x v="80"/>
            <x v="81"/>
            <x v="82"/>
            <x v="83"/>
            <x v="84"/>
            <x v="85"/>
            <x v="86"/>
            <x v="87"/>
            <x v="88"/>
            <x v="89"/>
            <x v="90"/>
            <x v="91"/>
            <x v="92"/>
            <x v="93"/>
            <x v="94"/>
            <x v="95"/>
            <x v="96"/>
            <x v="97"/>
            <x v="98"/>
            <x v="99"/>
            <x v="100"/>
          </reference>
        </references>
      </pivotArea>
    </format>
    <format dxfId="572">
      <pivotArea dataOnly="0" labelOnly="1" outline="0" fieldPosition="0">
        <references count="1">
          <reference field="0" count="7">
            <x v="101"/>
            <x v="102"/>
            <x v="103"/>
            <x v="104"/>
            <x v="105"/>
            <x v="106"/>
            <x v="107"/>
          </reference>
        </references>
      </pivotArea>
    </format>
    <format dxfId="571">
      <pivotArea dataOnly="0" labelOnly="1" outline="0" fieldPosition="0">
        <references count="2">
          <reference field="0" count="1" selected="0">
            <x v="0"/>
          </reference>
          <reference field="1" count="1">
            <x v="0"/>
          </reference>
        </references>
      </pivotArea>
    </format>
    <format dxfId="570">
      <pivotArea dataOnly="0" labelOnly="1" outline="0" fieldPosition="0">
        <references count="2">
          <reference field="0" count="1" selected="0">
            <x v="9"/>
          </reference>
          <reference field="1" count="1">
            <x v="1"/>
          </reference>
        </references>
      </pivotArea>
    </format>
    <format dxfId="569">
      <pivotArea dataOnly="0" labelOnly="1" outline="0" fieldPosition="0">
        <references count="2">
          <reference field="0" count="1" selected="0">
            <x v="10"/>
          </reference>
          <reference field="1" count="1">
            <x v="2"/>
          </reference>
        </references>
      </pivotArea>
    </format>
    <format dxfId="568">
      <pivotArea dataOnly="0" labelOnly="1" outline="0" fieldPosition="0">
        <references count="2">
          <reference field="0" count="1" selected="0">
            <x v="12"/>
          </reference>
          <reference field="1" count="1">
            <x v="3"/>
          </reference>
        </references>
      </pivotArea>
    </format>
    <format dxfId="567">
      <pivotArea dataOnly="0" labelOnly="1" outline="0" fieldPosition="0">
        <references count="2">
          <reference field="0" count="1" selected="0">
            <x v="13"/>
          </reference>
          <reference field="1" count="1">
            <x v="4"/>
          </reference>
        </references>
      </pivotArea>
    </format>
    <format dxfId="566">
      <pivotArea dataOnly="0" labelOnly="1" outline="0" fieldPosition="0">
        <references count="2">
          <reference field="0" count="1" selected="0">
            <x v="14"/>
          </reference>
          <reference field="1" count="1">
            <x v="2"/>
          </reference>
        </references>
      </pivotArea>
    </format>
    <format dxfId="565">
      <pivotArea dataOnly="0" labelOnly="1" outline="0" fieldPosition="0">
        <references count="2">
          <reference field="0" count="1" selected="0">
            <x v="17"/>
          </reference>
          <reference field="1" count="1">
            <x v="5"/>
          </reference>
        </references>
      </pivotArea>
    </format>
    <format dxfId="564">
      <pivotArea dataOnly="0" labelOnly="1" outline="0" fieldPosition="0">
        <references count="2">
          <reference field="0" count="1" selected="0">
            <x v="18"/>
          </reference>
          <reference field="1" count="1">
            <x v="6"/>
          </reference>
        </references>
      </pivotArea>
    </format>
    <format dxfId="563">
      <pivotArea dataOnly="0" labelOnly="1" outline="0" fieldPosition="0">
        <references count="2">
          <reference field="0" count="1" selected="0">
            <x v="19"/>
          </reference>
          <reference field="1" count="1">
            <x v="7"/>
          </reference>
        </references>
      </pivotArea>
    </format>
    <format dxfId="562">
      <pivotArea dataOnly="0" labelOnly="1" outline="0" fieldPosition="0">
        <references count="2">
          <reference field="0" count="1" selected="0">
            <x v="20"/>
          </reference>
          <reference field="1" count="1">
            <x v="6"/>
          </reference>
        </references>
      </pivotArea>
    </format>
    <format dxfId="561">
      <pivotArea dataOnly="0" labelOnly="1" outline="0" fieldPosition="0">
        <references count="2">
          <reference field="0" count="1" selected="0">
            <x v="22"/>
          </reference>
          <reference field="1" count="1">
            <x v="7"/>
          </reference>
        </references>
      </pivotArea>
    </format>
    <format dxfId="560">
      <pivotArea dataOnly="0" labelOnly="1" outline="0" fieldPosition="0">
        <references count="2">
          <reference field="0" count="1" selected="0">
            <x v="33"/>
          </reference>
          <reference field="1" count="1">
            <x v="6"/>
          </reference>
        </references>
      </pivotArea>
    </format>
    <format dxfId="559">
      <pivotArea dataOnly="0" labelOnly="1" outline="0" fieldPosition="0">
        <references count="2">
          <reference field="0" count="1" selected="0">
            <x v="34"/>
          </reference>
          <reference field="1" count="1">
            <x v="7"/>
          </reference>
        </references>
      </pivotArea>
    </format>
    <format dxfId="558">
      <pivotArea dataOnly="0" labelOnly="1" outline="0" fieldPosition="0">
        <references count="2">
          <reference field="0" count="1" selected="0">
            <x v="36"/>
          </reference>
          <reference field="1" count="1">
            <x v="8"/>
          </reference>
        </references>
      </pivotArea>
    </format>
    <format dxfId="557">
      <pivotArea dataOnly="0" labelOnly="1" outline="0" fieldPosition="0">
        <references count="2">
          <reference field="0" count="1" selected="0">
            <x v="37"/>
          </reference>
          <reference field="1" count="1">
            <x v="7"/>
          </reference>
        </references>
      </pivotArea>
    </format>
    <format dxfId="556">
      <pivotArea dataOnly="0" labelOnly="1" outline="0" fieldPosition="0">
        <references count="2">
          <reference field="0" count="1" selected="0">
            <x v="38"/>
          </reference>
          <reference field="1" count="1">
            <x v="6"/>
          </reference>
        </references>
      </pivotArea>
    </format>
    <format dxfId="555">
      <pivotArea dataOnly="0" labelOnly="1" outline="0" fieldPosition="0">
        <references count="2">
          <reference field="0" count="1" selected="0">
            <x v="39"/>
          </reference>
          <reference field="1" count="1">
            <x v="7"/>
          </reference>
        </references>
      </pivotArea>
    </format>
    <format dxfId="554">
      <pivotArea dataOnly="0" labelOnly="1" outline="0" fieldPosition="0">
        <references count="2">
          <reference field="0" count="1" selected="0">
            <x v="43"/>
          </reference>
          <reference field="1" count="1">
            <x v="9"/>
          </reference>
        </references>
      </pivotArea>
    </format>
    <format dxfId="553">
      <pivotArea dataOnly="0" labelOnly="1" outline="0" fieldPosition="0">
        <references count="2">
          <reference field="0" count="1" selected="0">
            <x v="44"/>
          </reference>
          <reference field="1" count="1">
            <x v="7"/>
          </reference>
        </references>
      </pivotArea>
    </format>
    <format dxfId="552">
      <pivotArea dataOnly="0" labelOnly="1" outline="0" fieldPosition="0">
        <references count="2">
          <reference field="0" count="1" selected="0">
            <x v="49"/>
          </reference>
          <reference field="1" count="1">
            <x v="10"/>
          </reference>
        </references>
      </pivotArea>
    </format>
    <format dxfId="551">
      <pivotArea dataOnly="0" labelOnly="1" outline="0" fieldPosition="0">
        <references count="2">
          <reference field="0" count="1" selected="0">
            <x v="53"/>
          </reference>
          <reference field="1" count="1">
            <x v="6"/>
          </reference>
        </references>
      </pivotArea>
    </format>
    <format dxfId="550">
      <pivotArea dataOnly="0" labelOnly="1" outline="0" fieldPosition="0">
        <references count="2">
          <reference field="0" count="1" selected="0">
            <x v="54"/>
          </reference>
          <reference field="1" count="1">
            <x v="1"/>
          </reference>
        </references>
      </pivotArea>
    </format>
    <format dxfId="549">
      <pivotArea dataOnly="0" labelOnly="1" outline="0" fieldPosition="0">
        <references count="2">
          <reference field="0" count="1" selected="0">
            <x v="55"/>
          </reference>
          <reference field="1" count="1">
            <x v="6"/>
          </reference>
        </references>
      </pivotArea>
    </format>
    <format dxfId="548">
      <pivotArea dataOnly="0" labelOnly="1" outline="0" fieldPosition="0">
        <references count="2">
          <reference field="0" count="1" selected="0">
            <x v="56"/>
          </reference>
          <reference field="1" count="1">
            <x v="11"/>
          </reference>
        </references>
      </pivotArea>
    </format>
    <format dxfId="547">
      <pivotArea dataOnly="0" labelOnly="1" outline="0" fieldPosition="0">
        <references count="2">
          <reference field="0" count="1" selected="0">
            <x v="57"/>
          </reference>
          <reference field="1" count="1">
            <x v="6"/>
          </reference>
        </references>
      </pivotArea>
    </format>
    <format dxfId="546">
      <pivotArea dataOnly="0" labelOnly="1" outline="0" fieldPosition="0">
        <references count="2">
          <reference field="0" count="1" selected="0">
            <x v="61"/>
          </reference>
          <reference field="1" count="1">
            <x v="1"/>
          </reference>
        </references>
      </pivotArea>
    </format>
    <format dxfId="545">
      <pivotArea dataOnly="0" labelOnly="1" outline="0" fieldPosition="0">
        <references count="2">
          <reference field="0" count="1" selected="0">
            <x v="62"/>
          </reference>
          <reference field="1" count="1">
            <x v="5"/>
          </reference>
        </references>
      </pivotArea>
    </format>
    <format dxfId="544">
      <pivotArea dataOnly="0" labelOnly="1" outline="0" fieldPosition="0">
        <references count="2">
          <reference field="0" count="1" selected="0">
            <x v="63"/>
          </reference>
          <reference field="1" count="1">
            <x v="6"/>
          </reference>
        </references>
      </pivotArea>
    </format>
    <format dxfId="543">
      <pivotArea dataOnly="0" labelOnly="1" outline="0" fieldPosition="0">
        <references count="2">
          <reference field="0" count="1" selected="0">
            <x v="65"/>
          </reference>
          <reference field="1" count="1">
            <x v="12"/>
          </reference>
        </references>
      </pivotArea>
    </format>
    <format dxfId="542">
      <pivotArea dataOnly="0" labelOnly="1" outline="0" fieldPosition="0">
        <references count="2">
          <reference field="0" count="1" selected="0">
            <x v="66"/>
          </reference>
          <reference field="1" count="1">
            <x v="5"/>
          </reference>
        </references>
      </pivotArea>
    </format>
    <format dxfId="541">
      <pivotArea dataOnly="0" labelOnly="1" outline="0" fieldPosition="0">
        <references count="2">
          <reference field="0" count="1" selected="0">
            <x v="67"/>
          </reference>
          <reference field="1" count="1">
            <x v="6"/>
          </reference>
        </references>
      </pivotArea>
    </format>
    <format dxfId="540">
      <pivotArea dataOnly="0" labelOnly="1" outline="0" fieldPosition="0">
        <references count="2">
          <reference field="0" count="1" selected="0">
            <x v="68"/>
          </reference>
          <reference field="1" count="1">
            <x v="5"/>
          </reference>
        </references>
      </pivotArea>
    </format>
    <format dxfId="539">
      <pivotArea dataOnly="0" labelOnly="1" outline="0" fieldPosition="0">
        <references count="2">
          <reference field="0" count="1" selected="0">
            <x v="69"/>
          </reference>
          <reference field="1" count="1">
            <x v="6"/>
          </reference>
        </references>
      </pivotArea>
    </format>
    <format dxfId="538">
      <pivotArea dataOnly="0" labelOnly="1" outline="0" fieldPosition="0">
        <references count="2">
          <reference field="0" count="1" selected="0">
            <x v="70"/>
          </reference>
          <reference field="1" count="1">
            <x v="7"/>
          </reference>
        </references>
      </pivotArea>
    </format>
    <format dxfId="537">
      <pivotArea dataOnly="0" labelOnly="1" outline="0" fieldPosition="0">
        <references count="2">
          <reference field="0" count="1" selected="0">
            <x v="71"/>
          </reference>
          <reference field="1" count="1">
            <x v="1"/>
          </reference>
        </references>
      </pivotArea>
    </format>
    <format dxfId="536">
      <pivotArea dataOnly="0" labelOnly="1" outline="0" fieldPosition="0">
        <references count="2">
          <reference field="0" count="1" selected="0">
            <x v="72"/>
          </reference>
          <reference field="1" count="1">
            <x v="13"/>
          </reference>
        </references>
      </pivotArea>
    </format>
    <format dxfId="535">
      <pivotArea dataOnly="0" labelOnly="1" outline="0" fieldPosition="0">
        <references count="2">
          <reference field="0" count="1" selected="0">
            <x v="73"/>
          </reference>
          <reference field="1" count="1">
            <x v="14"/>
          </reference>
        </references>
      </pivotArea>
    </format>
    <format dxfId="534">
      <pivotArea dataOnly="0" labelOnly="1" outline="0" fieldPosition="0">
        <references count="2">
          <reference field="0" count="1" selected="0">
            <x v="74"/>
          </reference>
          <reference field="1" count="1">
            <x v="6"/>
          </reference>
        </references>
      </pivotArea>
    </format>
    <format dxfId="533">
      <pivotArea dataOnly="0" labelOnly="1" outline="0" fieldPosition="0">
        <references count="2">
          <reference field="0" count="1" selected="0">
            <x v="75"/>
          </reference>
          <reference field="1" count="1">
            <x v="5"/>
          </reference>
        </references>
      </pivotArea>
    </format>
    <format dxfId="532">
      <pivotArea dataOnly="0" labelOnly="1" outline="0" fieldPosition="0">
        <references count="2">
          <reference field="0" count="1" selected="0">
            <x v="76"/>
          </reference>
          <reference field="1" count="1">
            <x v="6"/>
          </reference>
        </references>
      </pivotArea>
    </format>
    <format dxfId="531">
      <pivotArea dataOnly="0" labelOnly="1" outline="0" fieldPosition="0">
        <references count="2">
          <reference field="0" count="1" selected="0">
            <x v="77"/>
          </reference>
          <reference field="1" count="1">
            <x v="7"/>
          </reference>
        </references>
      </pivotArea>
    </format>
    <format dxfId="530">
      <pivotArea dataOnly="0" labelOnly="1" outline="0" fieldPosition="0">
        <references count="2">
          <reference field="0" count="1" selected="0">
            <x v="78"/>
          </reference>
          <reference field="1" count="1">
            <x v="5"/>
          </reference>
        </references>
      </pivotArea>
    </format>
    <format dxfId="529">
      <pivotArea dataOnly="0" labelOnly="1" outline="0" fieldPosition="0">
        <references count="2">
          <reference field="0" count="1" selected="0">
            <x v="79"/>
          </reference>
          <reference field="1" count="1">
            <x v="7"/>
          </reference>
        </references>
      </pivotArea>
    </format>
    <format dxfId="528">
      <pivotArea dataOnly="0" labelOnly="1" outline="0" fieldPosition="0">
        <references count="2">
          <reference field="0" count="1" selected="0">
            <x v="81"/>
          </reference>
          <reference field="1" count="1">
            <x v="2"/>
          </reference>
        </references>
      </pivotArea>
    </format>
    <format dxfId="527">
      <pivotArea dataOnly="0" labelOnly="1" outline="0" fieldPosition="0">
        <references count="2">
          <reference field="0" count="1" selected="0">
            <x v="82"/>
          </reference>
          <reference field="1" count="1">
            <x v="1"/>
          </reference>
        </references>
      </pivotArea>
    </format>
    <format dxfId="526">
      <pivotArea dataOnly="0" labelOnly="1" outline="0" fieldPosition="0">
        <references count="2">
          <reference field="0" count="1" selected="0">
            <x v="83"/>
          </reference>
          <reference field="1" count="1">
            <x v="7"/>
          </reference>
        </references>
      </pivotArea>
    </format>
    <format dxfId="525">
      <pivotArea dataOnly="0" labelOnly="1" outline="0" fieldPosition="0">
        <references count="2">
          <reference field="0" count="1" selected="0">
            <x v="84"/>
          </reference>
          <reference field="1" count="1">
            <x v="6"/>
          </reference>
        </references>
      </pivotArea>
    </format>
    <format dxfId="524">
      <pivotArea dataOnly="0" labelOnly="1" outline="0" fieldPosition="0">
        <references count="2">
          <reference field="0" count="1" selected="0">
            <x v="85"/>
          </reference>
          <reference field="1" count="1">
            <x v="15"/>
          </reference>
        </references>
      </pivotArea>
    </format>
    <format dxfId="523">
      <pivotArea dataOnly="0" labelOnly="1" outline="0" fieldPosition="0">
        <references count="2">
          <reference field="0" count="1" selected="0">
            <x v="86"/>
          </reference>
          <reference field="1" count="1">
            <x v="7"/>
          </reference>
        </references>
      </pivotArea>
    </format>
    <format dxfId="522">
      <pivotArea dataOnly="0" labelOnly="1" outline="0" fieldPosition="0">
        <references count="2">
          <reference field="0" count="1" selected="0">
            <x v="87"/>
          </reference>
          <reference field="1" count="1">
            <x v="16"/>
          </reference>
        </references>
      </pivotArea>
    </format>
    <format dxfId="521">
      <pivotArea dataOnly="0" labelOnly="1" outline="0" fieldPosition="0">
        <references count="2">
          <reference field="0" count="1" selected="0">
            <x v="88"/>
          </reference>
          <reference field="1" count="1">
            <x v="5"/>
          </reference>
        </references>
      </pivotArea>
    </format>
    <format dxfId="520">
      <pivotArea dataOnly="0" labelOnly="1" outline="0" fieldPosition="0">
        <references count="2">
          <reference field="0" count="1" selected="0">
            <x v="89"/>
          </reference>
          <reference field="1" count="1">
            <x v="6"/>
          </reference>
        </references>
      </pivotArea>
    </format>
    <format dxfId="519">
      <pivotArea dataOnly="0" labelOnly="1" outline="0" fieldPosition="0">
        <references count="2">
          <reference field="0" count="1" selected="0">
            <x v="90"/>
          </reference>
          <reference field="1" count="1">
            <x v="7"/>
          </reference>
        </references>
      </pivotArea>
    </format>
    <format dxfId="518">
      <pivotArea dataOnly="0" labelOnly="1" outline="0" fieldPosition="0">
        <references count="2">
          <reference field="0" count="1" selected="0">
            <x v="91"/>
          </reference>
          <reference field="1" count="1">
            <x v="1"/>
          </reference>
        </references>
      </pivotArea>
    </format>
    <format dxfId="517">
      <pivotArea dataOnly="0" labelOnly="1" outline="0" fieldPosition="0">
        <references count="2">
          <reference field="0" count="1" selected="0">
            <x v="92"/>
          </reference>
          <reference field="1" count="1">
            <x v="5"/>
          </reference>
        </references>
      </pivotArea>
    </format>
    <format dxfId="516">
      <pivotArea dataOnly="0" labelOnly="1" outline="0" fieldPosition="0">
        <references count="2">
          <reference field="0" count="1" selected="0">
            <x v="93"/>
          </reference>
          <reference field="1" count="1">
            <x v="17"/>
          </reference>
        </references>
      </pivotArea>
    </format>
    <format dxfId="515">
      <pivotArea dataOnly="0" labelOnly="1" outline="0" fieldPosition="0">
        <references count="2">
          <reference field="0" count="1" selected="0">
            <x v="96"/>
          </reference>
          <reference field="1" count="1">
            <x v="18"/>
          </reference>
        </references>
      </pivotArea>
    </format>
    <format dxfId="514">
      <pivotArea dataOnly="0" labelOnly="1" outline="0" fieldPosition="0">
        <references count="2">
          <reference field="0" count="1" selected="0">
            <x v="97"/>
          </reference>
          <reference field="1" count="1">
            <x v="7"/>
          </reference>
        </references>
      </pivotArea>
    </format>
    <format dxfId="513">
      <pivotArea dataOnly="0" labelOnly="1" outline="0" fieldPosition="0">
        <references count="2">
          <reference field="0" count="1" selected="0">
            <x v="98"/>
          </reference>
          <reference field="1" count="1">
            <x v="6"/>
          </reference>
        </references>
      </pivotArea>
    </format>
    <format dxfId="512">
      <pivotArea dataOnly="0" labelOnly="1" outline="0" fieldPosition="0">
        <references count="2">
          <reference field="0" count="1" selected="0">
            <x v="99"/>
          </reference>
          <reference field="1" count="1">
            <x v="1"/>
          </reference>
        </references>
      </pivotArea>
    </format>
    <format dxfId="511">
      <pivotArea dataOnly="0" labelOnly="1" outline="0" fieldPosition="0">
        <references count="2">
          <reference field="0" count="1" selected="0">
            <x v="100"/>
          </reference>
          <reference field="1" count="1">
            <x v="7"/>
          </reference>
        </references>
      </pivotArea>
    </format>
    <format dxfId="510">
      <pivotArea dataOnly="0" labelOnly="1" outline="0" fieldPosition="0">
        <references count="2">
          <reference field="0" count="1" selected="0">
            <x v="101"/>
          </reference>
          <reference field="1" count="1">
            <x v="9"/>
          </reference>
        </references>
      </pivotArea>
    </format>
    <format dxfId="509">
      <pivotArea dataOnly="0" labelOnly="1" outline="0" fieldPosition="0">
        <references count="2">
          <reference field="0" count="1" selected="0">
            <x v="102"/>
          </reference>
          <reference field="1" count="1">
            <x v="6"/>
          </reference>
        </references>
      </pivotArea>
    </format>
    <format dxfId="508">
      <pivotArea dataOnly="0" labelOnly="1" outline="0" fieldPosition="0">
        <references count="2">
          <reference field="0" count="1" selected="0">
            <x v="103"/>
          </reference>
          <reference field="1" count="1">
            <x v="19"/>
          </reference>
        </references>
      </pivotArea>
    </format>
    <format dxfId="507">
      <pivotArea dataOnly="0" labelOnly="1" outline="0" fieldPosition="0">
        <references count="2">
          <reference field="0" count="1" selected="0">
            <x v="104"/>
          </reference>
          <reference field="1" count="1">
            <x v="7"/>
          </reference>
        </references>
      </pivotArea>
    </format>
    <format dxfId="506">
      <pivotArea dataOnly="0" labelOnly="1" outline="0" fieldPosition="0">
        <references count="2">
          <reference field="0" count="1" selected="0">
            <x v="106"/>
          </reference>
          <reference field="1" count="1">
            <x v="1"/>
          </reference>
        </references>
      </pivotArea>
    </format>
    <format dxfId="505">
      <pivotArea dataOnly="0" labelOnly="1" outline="0" fieldPosition="0">
        <references count="3">
          <reference field="0" count="1" selected="0">
            <x v="0"/>
          </reference>
          <reference field="1" count="1" selected="0">
            <x v="0"/>
          </reference>
          <reference field="3" count="1">
            <x v="0"/>
          </reference>
        </references>
      </pivotArea>
    </format>
    <format dxfId="504">
      <pivotArea dataOnly="0" labelOnly="1" outline="0" fieldPosition="0">
        <references count="3">
          <reference field="0" count="1" selected="0">
            <x v="9"/>
          </reference>
          <reference field="1" count="1" selected="0">
            <x v="1"/>
          </reference>
          <reference field="3" count="1">
            <x v="1"/>
          </reference>
        </references>
      </pivotArea>
    </format>
    <format dxfId="503">
      <pivotArea dataOnly="0" labelOnly="1" outline="0" fieldPosition="0">
        <references count="3">
          <reference field="0" count="1" selected="0">
            <x v="10"/>
          </reference>
          <reference field="1" count="1" selected="0">
            <x v="2"/>
          </reference>
          <reference field="3" count="1">
            <x v="2"/>
          </reference>
        </references>
      </pivotArea>
    </format>
    <format dxfId="502">
      <pivotArea dataOnly="0" labelOnly="1" outline="0" fieldPosition="0">
        <references count="3">
          <reference field="0" count="1" selected="0">
            <x v="12"/>
          </reference>
          <reference field="1" count="1" selected="0">
            <x v="3"/>
          </reference>
          <reference field="3" count="1">
            <x v="3"/>
          </reference>
        </references>
      </pivotArea>
    </format>
    <format dxfId="501">
      <pivotArea dataOnly="0" labelOnly="1" outline="0" fieldPosition="0">
        <references count="3">
          <reference field="0" count="1" selected="0">
            <x v="13"/>
          </reference>
          <reference field="1" count="1" selected="0">
            <x v="4"/>
          </reference>
          <reference field="3" count="1">
            <x v="4"/>
          </reference>
        </references>
      </pivotArea>
    </format>
    <format dxfId="500">
      <pivotArea dataOnly="0" labelOnly="1" outline="0" fieldPosition="0">
        <references count="3">
          <reference field="0" count="1" selected="0">
            <x v="14"/>
          </reference>
          <reference field="1" count="1" selected="0">
            <x v="2"/>
          </reference>
          <reference field="3" count="1">
            <x v="2"/>
          </reference>
        </references>
      </pivotArea>
    </format>
    <format dxfId="499">
      <pivotArea dataOnly="0" labelOnly="1" outline="0" fieldPosition="0">
        <references count="3">
          <reference field="0" count="1" selected="0">
            <x v="17"/>
          </reference>
          <reference field="1" count="1" selected="0">
            <x v="5"/>
          </reference>
          <reference field="3" count="1">
            <x v="5"/>
          </reference>
        </references>
      </pivotArea>
    </format>
    <format dxfId="498">
      <pivotArea dataOnly="0" labelOnly="1" outline="0" fieldPosition="0">
        <references count="3">
          <reference field="0" count="1" selected="0">
            <x v="18"/>
          </reference>
          <reference field="1" count="1" selected="0">
            <x v="6"/>
          </reference>
          <reference field="3" count="1">
            <x v="6"/>
          </reference>
        </references>
      </pivotArea>
    </format>
    <format dxfId="497">
      <pivotArea dataOnly="0" labelOnly="1" outline="0" fieldPosition="0">
        <references count="3">
          <reference field="0" count="1" selected="0">
            <x v="19"/>
          </reference>
          <reference field="1" count="1" selected="0">
            <x v="7"/>
          </reference>
          <reference field="3" count="1">
            <x v="7"/>
          </reference>
        </references>
      </pivotArea>
    </format>
    <format dxfId="496">
      <pivotArea dataOnly="0" labelOnly="1" outline="0" fieldPosition="0">
        <references count="3">
          <reference field="0" count="1" selected="0">
            <x v="20"/>
          </reference>
          <reference field="1" count="1" selected="0">
            <x v="6"/>
          </reference>
          <reference field="3" count="1">
            <x v="8"/>
          </reference>
        </references>
      </pivotArea>
    </format>
    <format dxfId="495">
      <pivotArea dataOnly="0" labelOnly="1" outline="0" fieldPosition="0">
        <references count="3">
          <reference field="0" count="1" selected="0">
            <x v="21"/>
          </reference>
          <reference field="1" count="1" selected="0">
            <x v="6"/>
          </reference>
          <reference field="3" count="1">
            <x v="9"/>
          </reference>
        </references>
      </pivotArea>
    </format>
    <format dxfId="494">
      <pivotArea dataOnly="0" labelOnly="1" outline="0" fieldPosition="0">
        <references count="3">
          <reference field="0" count="1" selected="0">
            <x v="22"/>
          </reference>
          <reference field="1" count="1" selected="0">
            <x v="7"/>
          </reference>
          <reference field="3" count="1">
            <x v="10"/>
          </reference>
        </references>
      </pivotArea>
    </format>
    <format dxfId="493">
      <pivotArea dataOnly="0" labelOnly="1" outline="0" fieldPosition="0">
        <references count="3">
          <reference field="0" count="1" selected="0">
            <x v="23"/>
          </reference>
          <reference field="1" count="1" selected="0">
            <x v="7"/>
          </reference>
          <reference field="3" count="1">
            <x v="11"/>
          </reference>
        </references>
      </pivotArea>
    </format>
    <format dxfId="492">
      <pivotArea dataOnly="0" labelOnly="1" outline="0" fieldPosition="0">
        <references count="3">
          <reference field="0" count="1" selected="0">
            <x v="24"/>
          </reference>
          <reference field="1" count="1" selected="0">
            <x v="7"/>
          </reference>
          <reference field="3" count="1">
            <x v="12"/>
          </reference>
        </references>
      </pivotArea>
    </format>
    <format dxfId="491">
      <pivotArea dataOnly="0" labelOnly="1" outline="0" fieldPosition="0">
        <references count="3">
          <reference field="0" count="1" selected="0">
            <x v="25"/>
          </reference>
          <reference field="1" count="1" selected="0">
            <x v="7"/>
          </reference>
          <reference field="3" count="1">
            <x v="13"/>
          </reference>
        </references>
      </pivotArea>
    </format>
    <format dxfId="490">
      <pivotArea dataOnly="0" labelOnly="1" outline="0" fieldPosition="0">
        <references count="3">
          <reference field="0" count="1" selected="0">
            <x v="26"/>
          </reference>
          <reference field="1" count="1" selected="0">
            <x v="7"/>
          </reference>
          <reference field="3" count="1">
            <x v="0"/>
          </reference>
        </references>
      </pivotArea>
    </format>
    <format dxfId="489">
      <pivotArea dataOnly="0" labelOnly="1" outline="0" fieldPosition="0">
        <references count="3">
          <reference field="0" count="1" selected="0">
            <x v="27"/>
          </reference>
          <reference field="1" count="1" selected="0">
            <x v="7"/>
          </reference>
          <reference field="3" count="1">
            <x v="14"/>
          </reference>
        </references>
      </pivotArea>
    </format>
    <format dxfId="488">
      <pivotArea dataOnly="0" labelOnly="1" outline="0" fieldPosition="0">
        <references count="3">
          <reference field="0" count="1" selected="0">
            <x v="28"/>
          </reference>
          <reference field="1" count="1" selected="0">
            <x v="7"/>
          </reference>
          <reference field="3" count="1">
            <x v="15"/>
          </reference>
        </references>
      </pivotArea>
    </format>
    <format dxfId="487">
      <pivotArea dataOnly="0" labelOnly="1" outline="0" fieldPosition="0">
        <references count="3">
          <reference field="0" count="1" selected="0">
            <x v="29"/>
          </reference>
          <reference field="1" count="1" selected="0">
            <x v="7"/>
          </reference>
          <reference field="3" count="1">
            <x v="16"/>
          </reference>
        </references>
      </pivotArea>
    </format>
    <format dxfId="486">
      <pivotArea dataOnly="0" labelOnly="1" outline="0" fieldPosition="0">
        <references count="3">
          <reference field="0" count="1" selected="0">
            <x v="30"/>
          </reference>
          <reference field="1" count="1" selected="0">
            <x v="7"/>
          </reference>
          <reference field="3" count="1">
            <x v="17"/>
          </reference>
        </references>
      </pivotArea>
    </format>
    <format dxfId="485">
      <pivotArea dataOnly="0" labelOnly="1" outline="0" fieldPosition="0">
        <references count="3">
          <reference field="0" count="1" selected="0">
            <x v="31"/>
          </reference>
          <reference field="1" count="1" selected="0">
            <x v="7"/>
          </reference>
          <reference field="3" count="1">
            <x v="18"/>
          </reference>
        </references>
      </pivotArea>
    </format>
    <format dxfId="484">
      <pivotArea dataOnly="0" labelOnly="1" outline="0" fieldPosition="0">
        <references count="3">
          <reference field="0" count="1" selected="0">
            <x v="32"/>
          </reference>
          <reference field="1" count="1" selected="0">
            <x v="7"/>
          </reference>
          <reference field="3" count="1">
            <x v="19"/>
          </reference>
        </references>
      </pivotArea>
    </format>
    <format dxfId="483">
      <pivotArea dataOnly="0" labelOnly="1" outline="0" fieldPosition="0">
        <references count="3">
          <reference field="0" count="1" selected="0">
            <x v="33"/>
          </reference>
          <reference field="1" count="1" selected="0">
            <x v="6"/>
          </reference>
          <reference field="3" count="1">
            <x v="20"/>
          </reference>
        </references>
      </pivotArea>
    </format>
    <format dxfId="482">
      <pivotArea dataOnly="0" labelOnly="1" outline="0" fieldPosition="0">
        <references count="3">
          <reference field="0" count="1" selected="0">
            <x v="34"/>
          </reference>
          <reference field="1" count="1" selected="0">
            <x v="7"/>
          </reference>
          <reference field="3" count="1">
            <x v="21"/>
          </reference>
        </references>
      </pivotArea>
    </format>
    <format dxfId="481">
      <pivotArea dataOnly="0" labelOnly="1" outline="0" fieldPosition="0">
        <references count="3">
          <reference field="0" count="1" selected="0">
            <x v="35"/>
          </reference>
          <reference field="1" count="1" selected="0">
            <x v="7"/>
          </reference>
          <reference field="3" count="1">
            <x v="22"/>
          </reference>
        </references>
      </pivotArea>
    </format>
    <format dxfId="480">
      <pivotArea dataOnly="0" labelOnly="1" outline="0" fieldPosition="0">
        <references count="3">
          <reference field="0" count="1" selected="0">
            <x v="36"/>
          </reference>
          <reference field="1" count="1" selected="0">
            <x v="8"/>
          </reference>
          <reference field="3" count="1">
            <x v="23"/>
          </reference>
        </references>
      </pivotArea>
    </format>
    <format dxfId="479">
      <pivotArea dataOnly="0" labelOnly="1" outline="0" fieldPosition="0">
        <references count="3">
          <reference field="0" count="1" selected="0">
            <x v="37"/>
          </reference>
          <reference field="1" count="1" selected="0">
            <x v="7"/>
          </reference>
          <reference field="3" count="1">
            <x v="19"/>
          </reference>
        </references>
      </pivotArea>
    </format>
    <format dxfId="478">
      <pivotArea dataOnly="0" labelOnly="1" outline="0" fieldPosition="0">
        <references count="3">
          <reference field="0" count="1" selected="0">
            <x v="38"/>
          </reference>
          <reference field="1" count="1" selected="0">
            <x v="6"/>
          </reference>
          <reference field="3" count="1">
            <x v="24"/>
          </reference>
        </references>
      </pivotArea>
    </format>
    <format dxfId="477">
      <pivotArea dataOnly="0" labelOnly="1" outline="0" fieldPosition="0">
        <references count="3">
          <reference field="0" count="1" selected="0">
            <x v="39"/>
          </reference>
          <reference field="1" count="1" selected="0">
            <x v="7"/>
          </reference>
          <reference field="3" count="1">
            <x v="0"/>
          </reference>
        </references>
      </pivotArea>
    </format>
    <format dxfId="476">
      <pivotArea dataOnly="0" labelOnly="1" outline="0" fieldPosition="0">
        <references count="3">
          <reference field="0" count="1" selected="0">
            <x v="40"/>
          </reference>
          <reference field="1" count="1" selected="0">
            <x v="7"/>
          </reference>
          <reference field="3" count="1">
            <x v="25"/>
          </reference>
        </references>
      </pivotArea>
    </format>
    <format dxfId="475">
      <pivotArea dataOnly="0" labelOnly="1" outline="0" fieldPosition="0">
        <references count="3">
          <reference field="0" count="1" selected="0">
            <x v="41"/>
          </reference>
          <reference field="1" count="1" selected="0">
            <x v="7"/>
          </reference>
          <reference field="3" count="1">
            <x v="19"/>
          </reference>
        </references>
      </pivotArea>
    </format>
    <format dxfId="474">
      <pivotArea dataOnly="0" labelOnly="1" outline="0" fieldPosition="0">
        <references count="3">
          <reference field="0" count="1" selected="0">
            <x v="42"/>
          </reference>
          <reference field="1" count="1" selected="0">
            <x v="7"/>
          </reference>
          <reference field="3" count="1">
            <x v="26"/>
          </reference>
        </references>
      </pivotArea>
    </format>
    <format dxfId="473">
      <pivotArea dataOnly="0" labelOnly="1" outline="0" fieldPosition="0">
        <references count="3">
          <reference field="0" count="1" selected="0">
            <x v="43"/>
          </reference>
          <reference field="1" count="1" selected="0">
            <x v="9"/>
          </reference>
          <reference field="3" count="1">
            <x v="27"/>
          </reference>
        </references>
      </pivotArea>
    </format>
    <format dxfId="472">
      <pivotArea dataOnly="0" labelOnly="1" outline="0" fieldPosition="0">
        <references count="3">
          <reference field="0" count="1" selected="0">
            <x v="44"/>
          </reference>
          <reference field="1" count="1" selected="0">
            <x v="7"/>
          </reference>
          <reference field="3" count="1">
            <x v="19"/>
          </reference>
        </references>
      </pivotArea>
    </format>
    <format dxfId="471">
      <pivotArea dataOnly="0" labelOnly="1" outline="0" fieldPosition="0">
        <references count="3">
          <reference field="0" count="1" selected="0">
            <x v="45"/>
          </reference>
          <reference field="1" count="1" selected="0">
            <x v="7"/>
          </reference>
          <reference field="3" count="1">
            <x v="13"/>
          </reference>
        </references>
      </pivotArea>
    </format>
    <format dxfId="470">
      <pivotArea dataOnly="0" labelOnly="1" outline="0" fieldPosition="0">
        <references count="3">
          <reference field="0" count="1" selected="0">
            <x v="46"/>
          </reference>
          <reference field="1" count="1" selected="0">
            <x v="7"/>
          </reference>
          <reference field="3" count="1">
            <x v="28"/>
          </reference>
        </references>
      </pivotArea>
    </format>
    <format dxfId="469">
      <pivotArea dataOnly="0" labelOnly="1" outline="0" fieldPosition="0">
        <references count="3">
          <reference field="0" count="1" selected="0">
            <x v="47"/>
          </reference>
          <reference field="1" count="1" selected="0">
            <x v="7"/>
          </reference>
          <reference field="3" count="1">
            <x v="29"/>
          </reference>
        </references>
      </pivotArea>
    </format>
    <format dxfId="468">
      <pivotArea dataOnly="0" labelOnly="1" outline="0" fieldPosition="0">
        <references count="3">
          <reference field="0" count="1" selected="0">
            <x v="48"/>
          </reference>
          <reference field="1" count="1" selected="0">
            <x v="7"/>
          </reference>
          <reference field="3" count="1">
            <x v="30"/>
          </reference>
        </references>
      </pivotArea>
    </format>
    <format dxfId="467">
      <pivotArea dataOnly="0" labelOnly="1" outline="0" fieldPosition="0">
        <references count="3">
          <reference field="0" count="1" selected="0">
            <x v="49"/>
          </reference>
          <reference field="1" count="1" selected="0">
            <x v="10"/>
          </reference>
          <reference field="3" count="1">
            <x v="31"/>
          </reference>
        </references>
      </pivotArea>
    </format>
    <format dxfId="466">
      <pivotArea dataOnly="0" labelOnly="1" outline="0" fieldPosition="0">
        <references count="3">
          <reference field="0" count="1" selected="0">
            <x v="50"/>
          </reference>
          <reference field="1" count="1" selected="0">
            <x v="10"/>
          </reference>
          <reference field="3" count="1">
            <x v="32"/>
          </reference>
        </references>
      </pivotArea>
    </format>
    <format dxfId="465">
      <pivotArea dataOnly="0" labelOnly="1" outline="0" fieldPosition="0">
        <references count="3">
          <reference field="0" count="1" selected="0">
            <x v="51"/>
          </reference>
          <reference field="1" count="1" selected="0">
            <x v="10"/>
          </reference>
          <reference field="3" count="1">
            <x v="33"/>
          </reference>
        </references>
      </pivotArea>
    </format>
    <format dxfId="464">
      <pivotArea dataOnly="0" labelOnly="1" outline="0" fieldPosition="0">
        <references count="3">
          <reference field="0" count="1" selected="0">
            <x v="52"/>
          </reference>
          <reference field="1" count="1" selected="0">
            <x v="10"/>
          </reference>
          <reference field="3" count="1">
            <x v="34"/>
          </reference>
        </references>
      </pivotArea>
    </format>
    <format dxfId="463">
      <pivotArea dataOnly="0" labelOnly="1" outline="0" fieldPosition="0">
        <references count="3">
          <reference field="0" count="1" selected="0">
            <x v="53"/>
          </reference>
          <reference field="1" count="1" selected="0">
            <x v="6"/>
          </reference>
          <reference field="3" count="1">
            <x v="35"/>
          </reference>
        </references>
      </pivotArea>
    </format>
    <format dxfId="462">
      <pivotArea dataOnly="0" labelOnly="1" outline="0" fieldPosition="0">
        <references count="3">
          <reference field="0" count="1" selected="0">
            <x v="54"/>
          </reference>
          <reference field="1" count="1" selected="0">
            <x v="1"/>
          </reference>
          <reference field="3" count="1">
            <x v="36"/>
          </reference>
        </references>
      </pivotArea>
    </format>
    <format dxfId="461">
      <pivotArea dataOnly="0" labelOnly="1" outline="0" fieldPosition="0">
        <references count="3">
          <reference field="0" count="1" selected="0">
            <x v="55"/>
          </reference>
          <reference field="1" count="1" selected="0">
            <x v="6"/>
          </reference>
          <reference field="3" count="1">
            <x v="35"/>
          </reference>
        </references>
      </pivotArea>
    </format>
    <format dxfId="460">
      <pivotArea dataOnly="0" labelOnly="1" outline="0" fieldPosition="0">
        <references count="3">
          <reference field="0" count="1" selected="0">
            <x v="56"/>
          </reference>
          <reference field="1" count="1" selected="0">
            <x v="11"/>
          </reference>
          <reference field="3" count="1">
            <x v="37"/>
          </reference>
        </references>
      </pivotArea>
    </format>
    <format dxfId="459">
      <pivotArea dataOnly="0" labelOnly="1" outline="0" fieldPosition="0">
        <references count="3">
          <reference field="0" count="1" selected="0">
            <x v="57"/>
          </reference>
          <reference field="1" count="1" selected="0">
            <x v="6"/>
          </reference>
          <reference field="3" count="1">
            <x v="38"/>
          </reference>
        </references>
      </pivotArea>
    </format>
    <format dxfId="458">
      <pivotArea dataOnly="0" labelOnly="1" outline="0" fieldPosition="0">
        <references count="3">
          <reference field="0" count="1" selected="0">
            <x v="58"/>
          </reference>
          <reference field="1" count="1" selected="0">
            <x v="6"/>
          </reference>
          <reference field="3" count="1">
            <x v="24"/>
          </reference>
        </references>
      </pivotArea>
    </format>
    <format dxfId="457">
      <pivotArea dataOnly="0" labelOnly="1" outline="0" fieldPosition="0">
        <references count="3">
          <reference field="0" count="1" selected="0">
            <x v="59"/>
          </reference>
          <reference field="1" count="1" selected="0">
            <x v="6"/>
          </reference>
          <reference field="3" count="1">
            <x v="39"/>
          </reference>
        </references>
      </pivotArea>
    </format>
    <format dxfId="456">
      <pivotArea dataOnly="0" labelOnly="1" outline="0" fieldPosition="0">
        <references count="3">
          <reference field="0" count="1" selected="0">
            <x v="60"/>
          </reference>
          <reference field="1" count="1" selected="0">
            <x v="6"/>
          </reference>
          <reference field="3" count="1">
            <x v="40"/>
          </reference>
        </references>
      </pivotArea>
    </format>
    <format dxfId="455">
      <pivotArea dataOnly="0" labelOnly="1" outline="0" fieldPosition="0">
        <references count="3">
          <reference field="0" count="1" selected="0">
            <x v="61"/>
          </reference>
          <reference field="1" count="1" selected="0">
            <x v="1"/>
          </reference>
          <reference field="3" count="1">
            <x v="41"/>
          </reference>
        </references>
      </pivotArea>
    </format>
    <format dxfId="454">
      <pivotArea dataOnly="0" labelOnly="1" outline="0" fieldPosition="0">
        <references count="3">
          <reference field="0" count="1" selected="0">
            <x v="62"/>
          </reference>
          <reference field="1" count="1" selected="0">
            <x v="5"/>
          </reference>
          <reference field="3" count="1">
            <x v="42"/>
          </reference>
        </references>
      </pivotArea>
    </format>
    <format dxfId="453">
      <pivotArea dataOnly="0" labelOnly="1" outline="0" fieldPosition="0">
        <references count="3">
          <reference field="0" count="1" selected="0">
            <x v="63"/>
          </reference>
          <reference field="1" count="1" selected="0">
            <x v="6"/>
          </reference>
          <reference field="3" count="1">
            <x v="43"/>
          </reference>
        </references>
      </pivotArea>
    </format>
    <format dxfId="452">
      <pivotArea dataOnly="0" labelOnly="1" outline="0" fieldPosition="0">
        <references count="3">
          <reference field="0" count="1" selected="0">
            <x v="64"/>
          </reference>
          <reference field="1" count="1" selected="0">
            <x v="6"/>
          </reference>
          <reference field="3" count="1">
            <x v="38"/>
          </reference>
        </references>
      </pivotArea>
    </format>
    <format dxfId="451">
      <pivotArea dataOnly="0" labelOnly="1" outline="0" fieldPosition="0">
        <references count="3">
          <reference field="0" count="1" selected="0">
            <x v="65"/>
          </reference>
          <reference field="1" count="1" selected="0">
            <x v="12"/>
          </reference>
          <reference field="3" count="1">
            <x v="44"/>
          </reference>
        </references>
      </pivotArea>
    </format>
    <format dxfId="450">
      <pivotArea dataOnly="0" labelOnly="1" outline="0" fieldPosition="0">
        <references count="3">
          <reference field="0" count="1" selected="0">
            <x v="66"/>
          </reference>
          <reference field="1" count="1" selected="0">
            <x v="5"/>
          </reference>
          <reference field="3" count="1">
            <x v="45"/>
          </reference>
        </references>
      </pivotArea>
    </format>
    <format dxfId="449">
      <pivotArea dataOnly="0" labelOnly="1" outline="0" fieldPosition="0">
        <references count="3">
          <reference field="0" count="1" selected="0">
            <x v="67"/>
          </reference>
          <reference field="1" count="1" selected="0">
            <x v="6"/>
          </reference>
          <reference field="3" count="1">
            <x v="8"/>
          </reference>
        </references>
      </pivotArea>
    </format>
    <format dxfId="448">
      <pivotArea dataOnly="0" labelOnly="1" outline="0" fieldPosition="0">
        <references count="3">
          <reference field="0" count="1" selected="0">
            <x v="68"/>
          </reference>
          <reference field="1" count="1" selected="0">
            <x v="5"/>
          </reference>
          <reference field="3" count="1">
            <x v="46"/>
          </reference>
        </references>
      </pivotArea>
    </format>
    <format dxfId="447">
      <pivotArea dataOnly="0" labelOnly="1" outline="0" fieldPosition="0">
        <references count="3">
          <reference field="0" count="1" selected="0">
            <x v="69"/>
          </reference>
          <reference field="1" count="1" selected="0">
            <x v="6"/>
          </reference>
          <reference field="3" count="1">
            <x v="24"/>
          </reference>
        </references>
      </pivotArea>
    </format>
    <format dxfId="446">
      <pivotArea dataOnly="0" labelOnly="1" outline="0" fieldPosition="0">
        <references count="3">
          <reference field="0" count="1" selected="0">
            <x v="70"/>
          </reference>
          <reference field="1" count="1" selected="0">
            <x v="7"/>
          </reference>
          <reference field="3" count="1">
            <x v="47"/>
          </reference>
        </references>
      </pivotArea>
    </format>
    <format dxfId="445">
      <pivotArea dataOnly="0" labelOnly="1" outline="0" fieldPosition="0">
        <references count="3">
          <reference field="0" count="1" selected="0">
            <x v="71"/>
          </reference>
          <reference field="1" count="1" selected="0">
            <x v="1"/>
          </reference>
          <reference field="3" count="1">
            <x v="48"/>
          </reference>
        </references>
      </pivotArea>
    </format>
    <format dxfId="444">
      <pivotArea dataOnly="0" labelOnly="1" outline="0" fieldPosition="0">
        <references count="3">
          <reference field="0" count="1" selected="0">
            <x v="72"/>
          </reference>
          <reference field="1" count="1" selected="0">
            <x v="13"/>
          </reference>
          <reference field="3" count="1">
            <x v="49"/>
          </reference>
        </references>
      </pivotArea>
    </format>
    <format dxfId="443">
      <pivotArea dataOnly="0" labelOnly="1" outline="0" fieldPosition="0">
        <references count="3">
          <reference field="0" count="1" selected="0">
            <x v="73"/>
          </reference>
          <reference field="1" count="1" selected="0">
            <x v="14"/>
          </reference>
          <reference field="3" count="1">
            <x v="50"/>
          </reference>
        </references>
      </pivotArea>
    </format>
    <format dxfId="442">
      <pivotArea dataOnly="0" labelOnly="1" outline="0" fieldPosition="0">
        <references count="3">
          <reference field="0" count="1" selected="0">
            <x v="74"/>
          </reference>
          <reference field="1" count="1" selected="0">
            <x v="6"/>
          </reference>
          <reference field="3" count="1">
            <x v="51"/>
          </reference>
        </references>
      </pivotArea>
    </format>
    <format dxfId="441">
      <pivotArea dataOnly="0" labelOnly="1" outline="0" fieldPosition="0">
        <references count="3">
          <reference field="0" count="1" selected="0">
            <x v="75"/>
          </reference>
          <reference field="1" count="1" selected="0">
            <x v="5"/>
          </reference>
          <reference field="3" count="1">
            <x v="52"/>
          </reference>
        </references>
      </pivotArea>
    </format>
    <format dxfId="440">
      <pivotArea dataOnly="0" labelOnly="1" outline="0" fieldPosition="0">
        <references count="3">
          <reference field="0" count="1" selected="0">
            <x v="76"/>
          </reference>
          <reference field="1" count="1" selected="0">
            <x v="6"/>
          </reference>
          <reference field="3" count="1">
            <x v="53"/>
          </reference>
        </references>
      </pivotArea>
    </format>
    <format dxfId="439">
      <pivotArea dataOnly="0" labelOnly="1" outline="0" fieldPosition="0">
        <references count="3">
          <reference field="0" count="1" selected="0">
            <x v="77"/>
          </reference>
          <reference field="1" count="1" selected="0">
            <x v="7"/>
          </reference>
          <reference field="3" count="1">
            <x v="54"/>
          </reference>
        </references>
      </pivotArea>
    </format>
    <format dxfId="438">
      <pivotArea dataOnly="0" labelOnly="1" outline="0" fieldPosition="0">
        <references count="3">
          <reference field="0" count="1" selected="0">
            <x v="78"/>
          </reference>
          <reference field="1" count="1" selected="0">
            <x v="5"/>
          </reference>
          <reference field="3" count="1">
            <x v="55"/>
          </reference>
        </references>
      </pivotArea>
    </format>
    <format dxfId="437">
      <pivotArea dataOnly="0" labelOnly="1" outline="0" fieldPosition="0">
        <references count="3">
          <reference field="0" count="1" selected="0">
            <x v="79"/>
          </reference>
          <reference field="1" count="1" selected="0">
            <x v="7"/>
          </reference>
          <reference field="3" count="1">
            <x v="30"/>
          </reference>
        </references>
      </pivotArea>
    </format>
    <format dxfId="436">
      <pivotArea dataOnly="0" labelOnly="1" outline="0" fieldPosition="0">
        <references count="3">
          <reference field="0" count="1" selected="0">
            <x v="80"/>
          </reference>
          <reference field="1" count="1" selected="0">
            <x v="7"/>
          </reference>
          <reference field="3" count="1">
            <x v="56"/>
          </reference>
        </references>
      </pivotArea>
    </format>
    <format dxfId="435">
      <pivotArea dataOnly="0" labelOnly="1" outline="0" fieldPosition="0">
        <references count="3">
          <reference field="0" count="1" selected="0">
            <x v="81"/>
          </reference>
          <reference field="1" count="1" selected="0">
            <x v="2"/>
          </reference>
          <reference field="3" count="1">
            <x v="57"/>
          </reference>
        </references>
      </pivotArea>
    </format>
    <format dxfId="434">
      <pivotArea dataOnly="0" labelOnly="1" outline="0" fieldPosition="0">
        <references count="3">
          <reference field="0" count="1" selected="0">
            <x v="82"/>
          </reference>
          <reference field="1" count="1" selected="0">
            <x v="1"/>
          </reference>
          <reference field="3" count="1">
            <x v="58"/>
          </reference>
        </references>
      </pivotArea>
    </format>
    <format dxfId="433">
      <pivotArea dataOnly="0" labelOnly="1" outline="0" fieldPosition="0">
        <references count="3">
          <reference field="0" count="1" selected="0">
            <x v="83"/>
          </reference>
          <reference field="1" count="1" selected="0">
            <x v="7"/>
          </reference>
          <reference field="3" count="1">
            <x v="19"/>
          </reference>
        </references>
      </pivotArea>
    </format>
    <format dxfId="432">
      <pivotArea dataOnly="0" labelOnly="1" outline="0" fieldPosition="0">
        <references count="3">
          <reference field="0" count="1" selected="0">
            <x v="84"/>
          </reference>
          <reference field="1" count="1" selected="0">
            <x v="6"/>
          </reference>
          <reference field="3" count="1">
            <x v="59"/>
          </reference>
        </references>
      </pivotArea>
    </format>
    <format dxfId="431">
      <pivotArea dataOnly="0" labelOnly="1" outline="0" fieldPosition="0">
        <references count="3">
          <reference field="0" count="1" selected="0">
            <x v="85"/>
          </reference>
          <reference field="1" count="1" selected="0">
            <x v="15"/>
          </reference>
          <reference field="3" count="1">
            <x v="60"/>
          </reference>
        </references>
      </pivotArea>
    </format>
    <format dxfId="430">
      <pivotArea dataOnly="0" labelOnly="1" outline="0" fieldPosition="0">
        <references count="3">
          <reference field="0" count="1" selected="0">
            <x v="86"/>
          </reference>
          <reference field="1" count="1" selected="0">
            <x v="7"/>
          </reference>
          <reference field="3" count="1">
            <x v="11"/>
          </reference>
        </references>
      </pivotArea>
    </format>
    <format dxfId="429">
      <pivotArea dataOnly="0" labelOnly="1" outline="0" fieldPosition="0">
        <references count="3">
          <reference field="0" count="1" selected="0">
            <x v="87"/>
          </reference>
          <reference field="1" count="1" selected="0">
            <x v="16"/>
          </reference>
          <reference field="3" count="1">
            <x v="61"/>
          </reference>
        </references>
      </pivotArea>
    </format>
    <format dxfId="428">
      <pivotArea dataOnly="0" labelOnly="1" outline="0" fieldPosition="0">
        <references count="3">
          <reference field="0" count="1" selected="0">
            <x v="88"/>
          </reference>
          <reference field="1" count="1" selected="0">
            <x v="5"/>
          </reference>
          <reference field="3" count="1">
            <x v="62"/>
          </reference>
        </references>
      </pivotArea>
    </format>
    <format dxfId="427">
      <pivotArea dataOnly="0" labelOnly="1" outline="0" fieldPosition="0">
        <references count="3">
          <reference field="0" count="1" selected="0">
            <x v="89"/>
          </reference>
          <reference field="1" count="1" selected="0">
            <x v="6"/>
          </reference>
          <reference field="3" count="1">
            <x v="51"/>
          </reference>
        </references>
      </pivotArea>
    </format>
    <format dxfId="426">
      <pivotArea dataOnly="0" labelOnly="1" outline="0" fieldPosition="0">
        <references count="3">
          <reference field="0" count="1" selected="0">
            <x v="90"/>
          </reference>
          <reference field="1" count="1" selected="0">
            <x v="7"/>
          </reference>
          <reference field="3" count="1">
            <x v="63"/>
          </reference>
        </references>
      </pivotArea>
    </format>
    <format dxfId="425">
      <pivotArea dataOnly="0" labelOnly="1" outline="0" fieldPosition="0">
        <references count="3">
          <reference field="0" count="1" selected="0">
            <x v="91"/>
          </reference>
          <reference field="1" count="1" selected="0">
            <x v="1"/>
          </reference>
          <reference field="3" count="1">
            <x v="64"/>
          </reference>
        </references>
      </pivotArea>
    </format>
    <format dxfId="424">
      <pivotArea dataOnly="0" labelOnly="1" outline="0" fieldPosition="0">
        <references count="3">
          <reference field="0" count="1" selected="0">
            <x v="93"/>
          </reference>
          <reference field="1" count="1" selected="0">
            <x v="17"/>
          </reference>
          <reference field="3" count="1">
            <x v="66"/>
          </reference>
        </references>
      </pivotArea>
    </format>
    <format dxfId="423">
      <pivotArea dataOnly="0" labelOnly="1" outline="0" fieldPosition="0">
        <references count="3">
          <reference field="0" count="1" selected="0">
            <x v="94"/>
          </reference>
          <reference field="1" count="1" selected="0">
            <x v="17"/>
          </reference>
          <reference field="3" count="1">
            <x v="67"/>
          </reference>
        </references>
      </pivotArea>
    </format>
    <format dxfId="422">
      <pivotArea dataOnly="0" labelOnly="1" outline="0" fieldPosition="0">
        <references count="3">
          <reference field="0" count="1" selected="0">
            <x v="95"/>
          </reference>
          <reference field="1" count="1" selected="0">
            <x v="17"/>
          </reference>
          <reference field="3" count="1">
            <x v="68"/>
          </reference>
        </references>
      </pivotArea>
    </format>
    <format dxfId="421">
      <pivotArea dataOnly="0" labelOnly="1" outline="0" fieldPosition="0">
        <references count="3">
          <reference field="0" count="1" selected="0">
            <x v="96"/>
          </reference>
          <reference field="1" count="1" selected="0">
            <x v="18"/>
          </reference>
          <reference field="3" count="1">
            <x v="69"/>
          </reference>
        </references>
      </pivotArea>
    </format>
    <format dxfId="420">
      <pivotArea dataOnly="0" labelOnly="1" outline="0" fieldPosition="0">
        <references count="3">
          <reference field="0" count="1" selected="0">
            <x v="97"/>
          </reference>
          <reference field="1" count="1" selected="0">
            <x v="7"/>
          </reference>
          <reference field="3" count="1">
            <x v="14"/>
          </reference>
        </references>
      </pivotArea>
    </format>
    <format dxfId="419">
      <pivotArea dataOnly="0" labelOnly="1" outline="0" fieldPosition="0">
        <references count="3">
          <reference field="0" count="1" selected="0">
            <x v="98"/>
          </reference>
          <reference field="1" count="1" selected="0">
            <x v="6"/>
          </reference>
          <reference field="3" count="1">
            <x v="51"/>
          </reference>
        </references>
      </pivotArea>
    </format>
    <format dxfId="418">
      <pivotArea dataOnly="0" labelOnly="1" outline="0" fieldPosition="0">
        <references count="3">
          <reference field="0" count="1" selected="0">
            <x v="99"/>
          </reference>
          <reference field="1" count="1" selected="0">
            <x v="1"/>
          </reference>
          <reference field="3" count="1">
            <x v="41"/>
          </reference>
        </references>
      </pivotArea>
    </format>
    <format dxfId="417">
      <pivotArea dataOnly="0" labelOnly="1" outline="0" fieldPosition="0">
        <references count="3">
          <reference field="0" count="1" selected="0">
            <x v="100"/>
          </reference>
          <reference field="1" count="1" selected="0">
            <x v="7"/>
          </reference>
          <reference field="3" count="1">
            <x v="25"/>
          </reference>
        </references>
      </pivotArea>
    </format>
    <format dxfId="416">
      <pivotArea dataOnly="0" labelOnly="1" outline="0" fieldPosition="0">
        <references count="3">
          <reference field="0" count="1" selected="0">
            <x v="101"/>
          </reference>
          <reference field="1" count="1" selected="0">
            <x v="9"/>
          </reference>
          <reference field="3" count="1">
            <x v="27"/>
          </reference>
        </references>
      </pivotArea>
    </format>
    <format dxfId="415">
      <pivotArea dataOnly="0" labelOnly="1" outline="0" fieldPosition="0">
        <references count="3">
          <reference field="0" count="1" selected="0">
            <x v="102"/>
          </reference>
          <reference field="1" count="1" selected="0">
            <x v="6"/>
          </reference>
          <reference field="3" count="1">
            <x v="70"/>
          </reference>
        </references>
      </pivotArea>
    </format>
    <format dxfId="414">
      <pivotArea dataOnly="0" labelOnly="1" outline="0" fieldPosition="0">
        <references count="3">
          <reference field="0" count="1" selected="0">
            <x v="103"/>
          </reference>
          <reference field="1" count="1" selected="0">
            <x v="19"/>
          </reference>
          <reference field="3" count="1">
            <x v="71"/>
          </reference>
        </references>
      </pivotArea>
    </format>
    <format dxfId="413">
      <pivotArea dataOnly="0" labelOnly="1" outline="0" fieldPosition="0">
        <references count="3">
          <reference field="0" count="1" selected="0">
            <x v="104"/>
          </reference>
          <reference field="1" count="1" selected="0">
            <x v="7"/>
          </reference>
          <reference field="3" count="1">
            <x v="72"/>
          </reference>
        </references>
      </pivotArea>
    </format>
    <format dxfId="412">
      <pivotArea dataOnly="0" labelOnly="1" outline="0" fieldPosition="0">
        <references count="3">
          <reference field="0" count="1" selected="0">
            <x v="105"/>
          </reference>
          <reference field="1" count="1" selected="0">
            <x v="7"/>
          </reference>
          <reference field="3" count="1">
            <x v="73"/>
          </reference>
        </references>
      </pivotArea>
    </format>
    <format dxfId="411">
      <pivotArea dataOnly="0" labelOnly="1" outline="0" fieldPosition="0">
        <references count="3">
          <reference field="0" count="1" selected="0">
            <x v="106"/>
          </reference>
          <reference field="1" count="1" selected="0">
            <x v="1"/>
          </reference>
          <reference field="3" count="1">
            <x v="58"/>
          </reference>
        </references>
      </pivotArea>
    </format>
    <format dxfId="410">
      <pivotArea dataOnly="0" labelOnly="1" outline="0" fieldPosition="0">
        <references count="3">
          <reference field="0" count="1" selected="0">
            <x v="107"/>
          </reference>
          <reference field="1" count="1" selected="0">
            <x v="1"/>
          </reference>
          <reference field="3" count="1">
            <x v="64"/>
          </reference>
        </references>
      </pivotArea>
    </format>
    <format dxfId="409">
      <pivotArea dataOnly="0" labelOnly="1" outline="0" fieldPosition="0">
        <references count="4">
          <reference field="0" count="1" selected="0">
            <x v="0"/>
          </reference>
          <reference field="1" count="1" selected="0">
            <x v="0"/>
          </reference>
          <reference field="2" count="1">
            <x v="0"/>
          </reference>
          <reference field="3" count="1" selected="0">
            <x v="0"/>
          </reference>
        </references>
      </pivotArea>
    </format>
    <format dxfId="408">
      <pivotArea dataOnly="0" labelOnly="1" outline="0" fieldPosition="0">
        <references count="4">
          <reference field="0" count="1" selected="0">
            <x v="9"/>
          </reference>
          <reference field="1" count="1" selected="0">
            <x v="1"/>
          </reference>
          <reference field="2" count="1">
            <x v="1"/>
          </reference>
          <reference field="3" count="1" selected="0">
            <x v="1"/>
          </reference>
        </references>
      </pivotArea>
    </format>
    <format dxfId="407">
      <pivotArea dataOnly="0" labelOnly="1" outline="0" fieldPosition="0">
        <references count="4">
          <reference field="0" count="1" selected="0">
            <x v="10"/>
          </reference>
          <reference field="1" count="1" selected="0">
            <x v="2"/>
          </reference>
          <reference field="2" count="1">
            <x v="0"/>
          </reference>
          <reference field="3" count="1" selected="0">
            <x v="2"/>
          </reference>
        </references>
      </pivotArea>
    </format>
    <format dxfId="406">
      <pivotArea dataOnly="0" labelOnly="1" outline="0" fieldPosition="0">
        <references count="4">
          <reference field="0" count="1" selected="0">
            <x v="23"/>
          </reference>
          <reference field="1" count="1" selected="0">
            <x v="7"/>
          </reference>
          <reference field="2" count="1">
            <x v="1"/>
          </reference>
          <reference field="3" count="1" selected="0">
            <x v="11"/>
          </reference>
        </references>
      </pivotArea>
    </format>
    <format dxfId="405">
      <pivotArea dataOnly="0" labelOnly="1" outline="0" fieldPosition="0">
        <references count="4">
          <reference field="0" count="1" selected="0">
            <x v="24"/>
          </reference>
          <reference field="1" count="1" selected="0">
            <x v="7"/>
          </reference>
          <reference field="2" count="1">
            <x v="2"/>
          </reference>
          <reference field="3" count="1" selected="0">
            <x v="12"/>
          </reference>
        </references>
      </pivotArea>
    </format>
    <format dxfId="404">
      <pivotArea dataOnly="0" labelOnly="1" outline="0" fieldPosition="0">
        <references count="4">
          <reference field="0" count="1" selected="0">
            <x v="25"/>
          </reference>
          <reference field="1" count="1" selected="0">
            <x v="7"/>
          </reference>
          <reference field="2" count="1">
            <x v="0"/>
          </reference>
          <reference field="3" count="1" selected="0">
            <x v="13"/>
          </reference>
        </references>
      </pivotArea>
    </format>
    <format dxfId="403">
      <pivotArea dataOnly="0" labelOnly="1" outline="0" fieldPosition="0">
        <references count="4">
          <reference field="0" count="1" selected="0">
            <x v="27"/>
          </reference>
          <reference field="1" count="1" selected="0">
            <x v="7"/>
          </reference>
          <reference field="2" count="1">
            <x v="1"/>
          </reference>
          <reference field="3" count="1" selected="0">
            <x v="14"/>
          </reference>
        </references>
      </pivotArea>
    </format>
    <format dxfId="402">
      <pivotArea dataOnly="0" labelOnly="1" outline="0" fieldPosition="0">
        <references count="4">
          <reference field="0" count="1" selected="0">
            <x v="29"/>
          </reference>
          <reference field="1" count="1" selected="0">
            <x v="7"/>
          </reference>
          <reference field="2" count="1">
            <x v="0"/>
          </reference>
          <reference field="3" count="1" selected="0">
            <x v="16"/>
          </reference>
        </references>
      </pivotArea>
    </format>
    <format dxfId="401">
      <pivotArea dataOnly="0" labelOnly="1" outline="0" fieldPosition="0">
        <references count="4">
          <reference field="0" count="1" selected="0">
            <x v="32"/>
          </reference>
          <reference field="1" count="1" selected="0">
            <x v="7"/>
          </reference>
          <reference field="2" count="1">
            <x v="2"/>
          </reference>
          <reference field="3" count="1" selected="0">
            <x v="19"/>
          </reference>
        </references>
      </pivotArea>
    </format>
    <format dxfId="400">
      <pivotArea dataOnly="0" labelOnly="1" outline="0" fieldPosition="0">
        <references count="4">
          <reference field="0" count="1" selected="0">
            <x v="33"/>
          </reference>
          <reference field="1" count="1" selected="0">
            <x v="6"/>
          </reference>
          <reference field="2" count="1">
            <x v="0"/>
          </reference>
          <reference field="3" count="1" selected="0">
            <x v="20"/>
          </reference>
        </references>
      </pivotArea>
    </format>
    <format dxfId="399">
      <pivotArea dataOnly="0" labelOnly="1" outline="0" fieldPosition="0">
        <references count="4">
          <reference field="0" count="1" selected="0">
            <x v="35"/>
          </reference>
          <reference field="1" count="1" selected="0">
            <x v="7"/>
          </reference>
          <reference field="2" count="1">
            <x v="1"/>
          </reference>
          <reference field="3" count="1" selected="0">
            <x v="22"/>
          </reference>
        </references>
      </pivotArea>
    </format>
    <format dxfId="398">
      <pivotArea dataOnly="0" labelOnly="1" outline="0" fieldPosition="0">
        <references count="4">
          <reference field="0" count="1" selected="0">
            <x v="36"/>
          </reference>
          <reference field="1" count="1" selected="0">
            <x v="8"/>
          </reference>
          <reference field="2" count="1">
            <x v="0"/>
          </reference>
          <reference field="3" count="1" selected="0">
            <x v="23"/>
          </reference>
        </references>
      </pivotArea>
    </format>
    <format dxfId="397">
      <pivotArea dataOnly="0" labelOnly="1" outline="0" fieldPosition="0">
        <references count="4">
          <reference field="0" count="1" selected="0">
            <x v="41"/>
          </reference>
          <reference field="1" count="1" selected="0">
            <x v="7"/>
          </reference>
          <reference field="2" count="1">
            <x v="1"/>
          </reference>
          <reference field="3" count="1" selected="0">
            <x v="19"/>
          </reference>
        </references>
      </pivotArea>
    </format>
    <format dxfId="396">
      <pivotArea dataOnly="0" labelOnly="1" outline="0" fieldPosition="0">
        <references count="4">
          <reference field="0" count="1" selected="0">
            <x v="42"/>
          </reference>
          <reference field="1" count="1" selected="0">
            <x v="7"/>
          </reference>
          <reference field="2" count="1">
            <x v="0"/>
          </reference>
          <reference field="3" count="1" selected="0">
            <x v="26"/>
          </reference>
        </references>
      </pivotArea>
    </format>
    <format dxfId="395">
      <pivotArea dataOnly="0" labelOnly="1" outline="0" fieldPosition="0">
        <references count="4">
          <reference field="0" count="1" selected="0">
            <x v="43"/>
          </reference>
          <reference field="1" count="1" selected="0">
            <x v="9"/>
          </reference>
          <reference field="2" count="1">
            <x v="3"/>
          </reference>
          <reference field="3" count="1" selected="0">
            <x v="27"/>
          </reference>
        </references>
      </pivotArea>
    </format>
    <format dxfId="394">
      <pivotArea dataOnly="0" labelOnly="1" outline="0" fieldPosition="0">
        <references count="4">
          <reference field="0" count="1" selected="0">
            <x v="44"/>
          </reference>
          <reference field="1" count="1" selected="0">
            <x v="7"/>
          </reference>
          <reference field="2" count="1">
            <x v="0"/>
          </reference>
          <reference field="3" count="1" selected="0">
            <x v="19"/>
          </reference>
        </references>
      </pivotArea>
    </format>
    <format dxfId="393">
      <pivotArea dataOnly="0" labelOnly="1" outline="0" fieldPosition="0">
        <references count="4">
          <reference field="0" count="1" selected="0">
            <x v="45"/>
          </reference>
          <reference field="1" count="1" selected="0">
            <x v="7"/>
          </reference>
          <reference field="2" count="1">
            <x v="1"/>
          </reference>
          <reference field="3" count="1" selected="0">
            <x v="13"/>
          </reference>
        </references>
      </pivotArea>
    </format>
    <format dxfId="392">
      <pivotArea dataOnly="0" labelOnly="1" outline="0" fieldPosition="0">
        <references count="4">
          <reference field="0" count="1" selected="0">
            <x v="46"/>
          </reference>
          <reference field="1" count="1" selected="0">
            <x v="7"/>
          </reference>
          <reference field="2" count="1">
            <x v="0"/>
          </reference>
          <reference field="3" count="1" selected="0">
            <x v="28"/>
          </reference>
        </references>
      </pivotArea>
    </format>
    <format dxfId="391">
      <pivotArea dataOnly="0" labelOnly="1" outline="0" fieldPosition="0">
        <references count="4">
          <reference field="0" count="1" selected="0">
            <x v="50"/>
          </reference>
          <reference field="1" count="1" selected="0">
            <x v="10"/>
          </reference>
          <reference field="2" count="1">
            <x v="4"/>
          </reference>
          <reference field="3" count="1" selected="0">
            <x v="32"/>
          </reference>
        </references>
      </pivotArea>
    </format>
    <format dxfId="390">
      <pivotArea dataOnly="0" labelOnly="1" outline="0" fieldPosition="0">
        <references count="4">
          <reference field="0" count="1" selected="0">
            <x v="51"/>
          </reference>
          <reference field="1" count="1" selected="0">
            <x v="10"/>
          </reference>
          <reference field="2" count="1">
            <x v="2"/>
          </reference>
          <reference field="3" count="1" selected="0">
            <x v="33"/>
          </reference>
        </references>
      </pivotArea>
    </format>
    <format dxfId="389">
      <pivotArea dataOnly="0" labelOnly="1" outline="0" fieldPosition="0">
        <references count="4">
          <reference field="0" count="1" selected="0">
            <x v="52"/>
          </reference>
          <reference field="1" count="1" selected="0">
            <x v="10"/>
          </reference>
          <reference field="2" count="1">
            <x v="0"/>
          </reference>
          <reference field="3" count="1" selected="0">
            <x v="34"/>
          </reference>
        </references>
      </pivotArea>
    </format>
    <format dxfId="388">
      <pivotArea dataOnly="0" labelOnly="1" outline="0" fieldPosition="0">
        <references count="4">
          <reference field="0" count="1" selected="0">
            <x v="61"/>
          </reference>
          <reference field="1" count="1" selected="0">
            <x v="1"/>
          </reference>
          <reference field="2" count="1">
            <x v="1"/>
          </reference>
          <reference field="3" count="1" selected="0">
            <x v="41"/>
          </reference>
        </references>
      </pivotArea>
    </format>
    <format dxfId="387">
      <pivotArea dataOnly="0" labelOnly="1" outline="0" fieldPosition="0">
        <references count="4">
          <reference field="0" count="1" selected="0">
            <x v="62"/>
          </reference>
          <reference field="1" count="1" selected="0">
            <x v="5"/>
          </reference>
          <reference field="2" count="1">
            <x v="0"/>
          </reference>
          <reference field="3" count="1" selected="0">
            <x v="42"/>
          </reference>
        </references>
      </pivotArea>
    </format>
    <format dxfId="386">
      <pivotArea dataOnly="0" labelOnly="1" outline="0" fieldPosition="0">
        <references count="4">
          <reference field="0" count="1" selected="0">
            <x v="70"/>
          </reference>
          <reference field="1" count="1" selected="0">
            <x v="7"/>
          </reference>
          <reference field="2" count="1">
            <x v="2"/>
          </reference>
          <reference field="3" count="1" selected="0">
            <x v="47"/>
          </reference>
        </references>
      </pivotArea>
    </format>
    <format dxfId="385">
      <pivotArea dataOnly="0" labelOnly="1" outline="0" fieldPosition="0">
        <references count="4">
          <reference field="0" count="1" selected="0">
            <x v="71"/>
          </reference>
          <reference field="1" count="1" selected="0">
            <x v="1"/>
          </reference>
          <reference field="2" count="1">
            <x v="0"/>
          </reference>
          <reference field="3" count="1" selected="0">
            <x v="48"/>
          </reference>
        </references>
      </pivotArea>
    </format>
    <format dxfId="384">
      <pivotArea dataOnly="0" labelOnly="1" outline="0" fieldPosition="0">
        <references count="4">
          <reference field="0" count="1" selected="0">
            <x v="77"/>
          </reference>
          <reference field="1" count="1" selected="0">
            <x v="7"/>
          </reference>
          <reference field="2" count="1">
            <x v="1"/>
          </reference>
          <reference field="3" count="1" selected="0">
            <x v="54"/>
          </reference>
        </references>
      </pivotArea>
    </format>
    <format dxfId="383">
      <pivotArea dataOnly="0" labelOnly="1" outline="0" fieldPosition="0">
        <references count="4">
          <reference field="0" count="1" selected="0">
            <x v="78"/>
          </reference>
          <reference field="1" count="1" selected="0">
            <x v="5"/>
          </reference>
          <reference field="2" count="1">
            <x v="0"/>
          </reference>
          <reference field="3" count="1" selected="0">
            <x v="55"/>
          </reference>
        </references>
      </pivotArea>
    </format>
    <format dxfId="382">
      <pivotArea dataOnly="0" labelOnly="1" outline="0" fieldPosition="0">
        <references count="4">
          <reference field="0" count="1" selected="0">
            <x v="80"/>
          </reference>
          <reference field="1" count="1" selected="0">
            <x v="7"/>
          </reference>
          <reference field="2" count="1">
            <x v="2"/>
          </reference>
          <reference field="3" count="1" selected="0">
            <x v="56"/>
          </reference>
        </references>
      </pivotArea>
    </format>
    <format dxfId="381">
      <pivotArea dataOnly="0" labelOnly="1" outline="0" fieldPosition="0">
        <references count="4">
          <reference field="0" count="1" selected="0">
            <x v="81"/>
          </reference>
          <reference field="1" count="1" selected="0">
            <x v="2"/>
          </reference>
          <reference field="2" count="1">
            <x v="0"/>
          </reference>
          <reference field="3" count="1" selected="0">
            <x v="57"/>
          </reference>
        </references>
      </pivotArea>
    </format>
    <format dxfId="380">
      <pivotArea dataOnly="0" labelOnly="1" outline="0" fieldPosition="0">
        <references count="4">
          <reference field="0" count="1" selected="0">
            <x v="86"/>
          </reference>
          <reference field="1" count="1" selected="0">
            <x v="7"/>
          </reference>
          <reference field="2" count="1">
            <x v="2"/>
          </reference>
          <reference field="3" count="1" selected="0">
            <x v="11"/>
          </reference>
        </references>
      </pivotArea>
    </format>
    <format dxfId="379">
      <pivotArea dataOnly="0" labelOnly="1" outline="0" fieldPosition="0">
        <references count="4">
          <reference field="0" count="1" selected="0">
            <x v="87"/>
          </reference>
          <reference field="1" count="1" selected="0">
            <x v="16"/>
          </reference>
          <reference field="2" count="1">
            <x v="0"/>
          </reference>
          <reference field="3" count="1" selected="0">
            <x v="61"/>
          </reference>
        </references>
      </pivotArea>
    </format>
    <format dxfId="378">
      <pivotArea dataOnly="0" labelOnly="1" outline="0" fieldPosition="0">
        <references count="4">
          <reference field="0" count="1" selected="0">
            <x v="93"/>
          </reference>
          <reference field="1" count="1" selected="0">
            <x v="17"/>
          </reference>
          <reference field="2" count="1">
            <x v="1"/>
          </reference>
          <reference field="3" count="1" selected="0">
            <x v="66"/>
          </reference>
        </references>
      </pivotArea>
    </format>
    <format dxfId="377">
      <pivotArea dataOnly="0" labelOnly="1" outline="0" fieldPosition="0">
        <references count="4">
          <reference field="0" count="1" selected="0">
            <x v="94"/>
          </reference>
          <reference field="1" count="1" selected="0">
            <x v="17"/>
          </reference>
          <reference field="2" count="1">
            <x v="0"/>
          </reference>
          <reference field="3" count="1" selected="0">
            <x v="67"/>
          </reference>
        </references>
      </pivotArea>
    </format>
    <format dxfId="376">
      <pivotArea dataOnly="0" labelOnly="1" outline="0" fieldPosition="0">
        <references count="4">
          <reference field="0" count="1" selected="0">
            <x v="101"/>
          </reference>
          <reference field="1" count="1" selected="0">
            <x v="9"/>
          </reference>
          <reference field="2" count="1">
            <x v="1"/>
          </reference>
          <reference field="3" count="1" selected="0">
            <x v="27"/>
          </reference>
        </references>
      </pivotArea>
    </format>
    <format dxfId="375">
      <pivotArea dataOnly="0" labelOnly="1" outline="0" fieldPosition="0">
        <references count="4">
          <reference field="0" count="1" selected="0">
            <x v="102"/>
          </reference>
          <reference field="1" count="1" selected="0">
            <x v="6"/>
          </reference>
          <reference field="2" count="1">
            <x v="0"/>
          </reference>
          <reference field="3" count="1" selected="0">
            <x v="70"/>
          </reference>
        </references>
      </pivotArea>
    </format>
    <format dxfId="374">
      <pivotArea dataOnly="0" labelOnly="1" outline="0" fieldPosition="0">
        <references count="5">
          <reference field="0" count="1" selected="0">
            <x v="0"/>
          </reference>
          <reference field="1" count="1" selected="0">
            <x v="0"/>
          </reference>
          <reference field="2" count="1" selected="0">
            <x v="0"/>
          </reference>
          <reference field="3" count="1" selected="0">
            <x v="0"/>
          </reference>
          <reference field="6" count="1">
            <x v="0"/>
          </reference>
        </references>
      </pivotArea>
    </format>
    <format dxfId="373">
      <pivotArea dataOnly="0" labelOnly="1" outline="0" fieldPosition="0">
        <references count="5">
          <reference field="0" count="1" selected="0">
            <x v="6"/>
          </reference>
          <reference field="1" count="1" selected="0">
            <x v="0"/>
          </reference>
          <reference field="2" count="1" selected="0">
            <x v="0"/>
          </reference>
          <reference field="3" count="1" selected="0">
            <x v="0"/>
          </reference>
          <reference field="6" count="1">
            <x v="2"/>
          </reference>
        </references>
      </pivotArea>
    </format>
    <format dxfId="372">
      <pivotArea dataOnly="0" labelOnly="1" outline="0" fieldPosition="0">
        <references count="5">
          <reference field="0" count="1" selected="0">
            <x v="8"/>
          </reference>
          <reference field="1" count="1" selected="0">
            <x v="0"/>
          </reference>
          <reference field="2" count="1" selected="0">
            <x v="0"/>
          </reference>
          <reference field="3" count="1" selected="0">
            <x v="0"/>
          </reference>
          <reference field="6" count="1">
            <x v="0"/>
          </reference>
        </references>
      </pivotArea>
    </format>
    <format dxfId="371">
      <pivotArea dataOnly="0" labelOnly="1" outline="0" fieldPosition="0">
        <references count="5">
          <reference field="0" count="1" selected="0">
            <x v="12"/>
          </reference>
          <reference field="1" count="1" selected="0">
            <x v="3"/>
          </reference>
          <reference field="2" count="1" selected="0">
            <x v="0"/>
          </reference>
          <reference field="3" count="1" selected="0">
            <x v="3"/>
          </reference>
          <reference field="6" count="1">
            <x v="1"/>
          </reference>
        </references>
      </pivotArea>
    </format>
    <format dxfId="370">
      <pivotArea dataOnly="0" labelOnly="1" outline="0" fieldPosition="0">
        <references count="5">
          <reference field="0" count="1" selected="0">
            <x v="14"/>
          </reference>
          <reference field="1" count="1" selected="0">
            <x v="2"/>
          </reference>
          <reference field="2" count="1" selected="0">
            <x v="0"/>
          </reference>
          <reference field="3" count="1" selected="0">
            <x v="2"/>
          </reference>
          <reference field="6" count="1">
            <x v="0"/>
          </reference>
        </references>
      </pivotArea>
    </format>
    <format dxfId="369">
      <pivotArea dataOnly="0" labelOnly="1" outline="0" fieldPosition="0">
        <references count="5">
          <reference field="0" count="1" selected="0">
            <x v="27"/>
          </reference>
          <reference field="1" count="1" selected="0">
            <x v="7"/>
          </reference>
          <reference field="2" count="1" selected="0">
            <x v="1"/>
          </reference>
          <reference field="3" count="1" selected="0">
            <x v="14"/>
          </reference>
          <reference field="6" count="1">
            <x v="1"/>
          </reference>
        </references>
      </pivotArea>
    </format>
    <format dxfId="368">
      <pivotArea dataOnly="0" labelOnly="1" outline="0" fieldPosition="0">
        <references count="5">
          <reference field="0" count="1" selected="0">
            <x v="30"/>
          </reference>
          <reference field="1" count="1" selected="0">
            <x v="7"/>
          </reference>
          <reference field="2" count="1" selected="0">
            <x v="0"/>
          </reference>
          <reference field="3" count="1" selected="0">
            <x v="17"/>
          </reference>
          <reference field="6" count="1">
            <x v="0"/>
          </reference>
        </references>
      </pivotArea>
    </format>
    <format dxfId="367">
      <pivotArea dataOnly="0" labelOnly="1" outline="0" fieldPosition="0">
        <references count="5">
          <reference field="0" count="1" selected="0">
            <x v="45"/>
          </reference>
          <reference field="1" count="1" selected="0">
            <x v="7"/>
          </reference>
          <reference field="2" count="1" selected="0">
            <x v="1"/>
          </reference>
          <reference field="3" count="1" selected="0">
            <x v="13"/>
          </reference>
          <reference field="6" count="1">
            <x v="1"/>
          </reference>
        </references>
      </pivotArea>
    </format>
    <format dxfId="366">
      <pivotArea dataOnly="0" labelOnly="1" outline="0" fieldPosition="0">
        <references count="5">
          <reference field="0" count="1" selected="0">
            <x v="46"/>
          </reference>
          <reference field="1" count="1" selected="0">
            <x v="7"/>
          </reference>
          <reference field="2" count="1" selected="0">
            <x v="0"/>
          </reference>
          <reference field="3" count="1" selected="0">
            <x v="28"/>
          </reference>
          <reference field="6" count="1">
            <x v="0"/>
          </reference>
        </references>
      </pivotArea>
    </format>
    <format dxfId="365">
      <pivotArea dataOnly="0" labelOnly="1" outline="0" fieldPosition="0">
        <references count="5">
          <reference field="0" count="1" selected="0">
            <x v="47"/>
          </reference>
          <reference field="1" count="1" selected="0">
            <x v="7"/>
          </reference>
          <reference field="2" count="1" selected="0">
            <x v="0"/>
          </reference>
          <reference field="3" count="1" selected="0">
            <x v="29"/>
          </reference>
          <reference field="6" count="1">
            <x v="1"/>
          </reference>
        </references>
      </pivotArea>
    </format>
    <format dxfId="364">
      <pivotArea dataOnly="0" labelOnly="1" outline="0" fieldPosition="0">
        <references count="5">
          <reference field="0" count="1" selected="0">
            <x v="48"/>
          </reference>
          <reference field="1" count="1" selected="0">
            <x v="7"/>
          </reference>
          <reference field="2" count="1" selected="0">
            <x v="0"/>
          </reference>
          <reference field="3" count="1" selected="0">
            <x v="30"/>
          </reference>
          <reference field="6" count="1">
            <x v="0"/>
          </reference>
        </references>
      </pivotArea>
    </format>
    <format dxfId="363">
      <pivotArea dataOnly="0" labelOnly="1" outline="0" fieldPosition="0">
        <references count="5">
          <reference field="0" count="1" selected="0">
            <x v="62"/>
          </reference>
          <reference field="1" count="1" selected="0">
            <x v="5"/>
          </reference>
          <reference field="2" count="1" selected="0">
            <x v="0"/>
          </reference>
          <reference field="3" count="1" selected="0">
            <x v="42"/>
          </reference>
          <reference field="6" count="1">
            <x v="2"/>
          </reference>
        </references>
      </pivotArea>
    </format>
    <format dxfId="362">
      <pivotArea dataOnly="0" labelOnly="1" outline="0" fieldPosition="0">
        <references count="5">
          <reference field="0" count="1" selected="0">
            <x v="63"/>
          </reference>
          <reference field="1" count="1" selected="0">
            <x v="6"/>
          </reference>
          <reference field="2" count="1" selected="0">
            <x v="0"/>
          </reference>
          <reference field="3" count="1" selected="0">
            <x v="43"/>
          </reference>
          <reference field="6" count="1">
            <x v="0"/>
          </reference>
        </references>
      </pivotArea>
    </format>
    <format dxfId="361">
      <pivotArea dataOnly="0" labelOnly="1" outline="0" fieldPosition="0">
        <references count="5">
          <reference field="0" count="1" selected="0">
            <x v="66"/>
          </reference>
          <reference field="1" count="1" selected="0">
            <x v="5"/>
          </reference>
          <reference field="2" count="1" selected="0">
            <x v="0"/>
          </reference>
          <reference field="3" count="1" selected="0">
            <x v="45"/>
          </reference>
          <reference field="6" count="1">
            <x v="1"/>
          </reference>
        </references>
      </pivotArea>
    </format>
    <format dxfId="360">
      <pivotArea dataOnly="0" labelOnly="1" outline="0" fieldPosition="0">
        <references count="5">
          <reference field="0" count="1" selected="0">
            <x v="69"/>
          </reference>
          <reference field="1" count="1" selected="0">
            <x v="6"/>
          </reference>
          <reference field="2" count="1" selected="0">
            <x v="0"/>
          </reference>
          <reference field="3" count="1" selected="0">
            <x v="24"/>
          </reference>
          <reference field="6" count="1">
            <x v="0"/>
          </reference>
        </references>
      </pivotArea>
    </format>
    <format dxfId="359">
      <pivotArea dataOnly="0" labelOnly="1" outline="0" fieldPosition="0">
        <references count="5">
          <reference field="0" count="1" selected="0">
            <x v="72"/>
          </reference>
          <reference field="1" count="1" selected="0">
            <x v="13"/>
          </reference>
          <reference field="2" count="1" selected="0">
            <x v="0"/>
          </reference>
          <reference field="3" count="1" selected="0">
            <x v="49"/>
          </reference>
          <reference field="6" count="1">
            <x v="2"/>
          </reference>
        </references>
      </pivotArea>
    </format>
    <format dxfId="358">
      <pivotArea dataOnly="0" labelOnly="1" outline="0" fieldPosition="0">
        <references count="5">
          <reference field="0" count="1" selected="0">
            <x v="73"/>
          </reference>
          <reference field="1" count="1" selected="0">
            <x v="14"/>
          </reference>
          <reference field="2" count="1" selected="0">
            <x v="0"/>
          </reference>
          <reference field="3" count="1" selected="0">
            <x v="50"/>
          </reference>
          <reference field="6" count="1">
            <x v="0"/>
          </reference>
        </references>
      </pivotArea>
    </format>
    <format dxfId="357">
      <pivotArea dataOnly="0" labelOnly="1" outline="0" fieldPosition="0">
        <references count="5">
          <reference field="0" count="1" selected="0">
            <x v="75"/>
          </reference>
          <reference field="1" count="1" selected="0">
            <x v="5"/>
          </reference>
          <reference field="2" count="1" selected="0">
            <x v="0"/>
          </reference>
          <reference field="3" count="1" selected="0">
            <x v="52"/>
          </reference>
          <reference field="6" count="1">
            <x v="2"/>
          </reference>
        </references>
      </pivotArea>
    </format>
    <format dxfId="356">
      <pivotArea dataOnly="0" labelOnly="1" outline="0" fieldPosition="0">
        <references count="5">
          <reference field="0" count="1" selected="0">
            <x v="76"/>
          </reference>
          <reference field="1" count="1" selected="0">
            <x v="6"/>
          </reference>
          <reference field="2" count="1" selected="0">
            <x v="0"/>
          </reference>
          <reference field="3" count="1" selected="0">
            <x v="53"/>
          </reference>
          <reference field="6" count="1">
            <x v="0"/>
          </reference>
        </references>
      </pivotArea>
    </format>
    <format dxfId="355">
      <pivotArea dataOnly="0" labelOnly="1" outline="0" fieldPosition="0">
        <references count="5">
          <reference field="0" count="1" selected="0">
            <x v="88"/>
          </reference>
          <reference field="1" count="1" selected="0">
            <x v="5"/>
          </reference>
          <reference field="2" count="1" selected="0">
            <x v="0"/>
          </reference>
          <reference field="3" count="1" selected="0">
            <x v="62"/>
          </reference>
          <reference field="6" count="1">
            <x v="2"/>
          </reference>
        </references>
      </pivotArea>
    </format>
    <format dxfId="354">
      <pivotArea dataOnly="0" labelOnly="1" outline="0" fieldPosition="0">
        <references count="5">
          <reference field="0" count="1" selected="0">
            <x v="89"/>
          </reference>
          <reference field="1" count="1" selected="0">
            <x v="6"/>
          </reference>
          <reference field="2" count="1" selected="0">
            <x v="0"/>
          </reference>
          <reference field="3" count="1" selected="0">
            <x v="51"/>
          </reference>
          <reference field="6" count="1">
            <x v="1"/>
          </reference>
        </references>
      </pivotArea>
    </format>
    <format dxfId="353">
      <pivotArea dataOnly="0" labelOnly="1" outline="0" fieldPosition="0">
        <references count="5">
          <reference field="0" count="1" selected="0">
            <x v="90"/>
          </reference>
          <reference field="1" count="1" selected="0">
            <x v="7"/>
          </reference>
          <reference field="2" count="1" selected="0">
            <x v="0"/>
          </reference>
          <reference field="3" count="1" selected="0">
            <x v="63"/>
          </reference>
          <reference field="6" count="1">
            <x v="0"/>
          </reference>
        </references>
      </pivotArea>
    </format>
    <format dxfId="352">
      <pivotArea dataOnly="0" labelOnly="1" outline="0" fieldPosition="0">
        <references count="5">
          <reference field="0" count="1" selected="0">
            <x v="96"/>
          </reference>
          <reference field="1" count="1" selected="0">
            <x v="18"/>
          </reference>
          <reference field="2" count="1" selected="0">
            <x v="0"/>
          </reference>
          <reference field="3" count="1" selected="0">
            <x v="69"/>
          </reference>
          <reference field="6" count="1">
            <x v="0"/>
          </reference>
        </references>
      </pivotArea>
    </format>
    <format dxfId="351">
      <pivotArea dataOnly="0" labelOnly="1" outline="0" fieldPosition="0">
        <references count="5">
          <reference field="0" count="1" selected="0">
            <x v="99"/>
          </reference>
          <reference field="1" count="1" selected="0">
            <x v="1"/>
          </reference>
          <reference field="2" count="1" selected="0">
            <x v="0"/>
          </reference>
          <reference field="3" count="1" selected="0">
            <x v="41"/>
          </reference>
          <reference field="6" count="1">
            <x v="2"/>
          </reference>
        </references>
      </pivotArea>
    </format>
    <format dxfId="350">
      <pivotArea dataOnly="0" labelOnly="1" outline="0" fieldPosition="0">
        <references count="5">
          <reference field="0" count="1" selected="0">
            <x v="100"/>
          </reference>
          <reference field="1" count="1" selected="0">
            <x v="7"/>
          </reference>
          <reference field="2" count="1" selected="0">
            <x v="0"/>
          </reference>
          <reference field="3" count="1" selected="0">
            <x v="25"/>
          </reference>
          <reference field="6" count="1">
            <x v="0"/>
          </reference>
        </references>
      </pivotArea>
    </format>
    <format dxfId="349">
      <pivotArea dataOnly="0" labelOnly="1" outline="0" fieldPosition="0">
        <references count="5">
          <reference field="0" count="1" selected="0">
            <x v="101"/>
          </reference>
          <reference field="1" count="1" selected="0">
            <x v="9"/>
          </reference>
          <reference field="2" count="1" selected="0">
            <x v="1"/>
          </reference>
          <reference field="3" count="1" selected="0">
            <x v="27"/>
          </reference>
          <reference field="6" count="1">
            <x v="1"/>
          </reference>
        </references>
      </pivotArea>
    </format>
    <format dxfId="348">
      <pivotArea dataOnly="0" labelOnly="1" outline="0" fieldPosition="0">
        <references count="5">
          <reference field="0" count="1" selected="0">
            <x v="102"/>
          </reference>
          <reference field="1" count="1" selected="0">
            <x v="6"/>
          </reference>
          <reference field="2" count="1" selected="0">
            <x v="0"/>
          </reference>
          <reference field="3" count="1" selected="0">
            <x v="70"/>
          </reference>
          <reference field="6" count="1">
            <x v="0"/>
          </reference>
        </references>
      </pivotArea>
    </format>
    <format dxfId="347">
      <pivotArea dataOnly="0" labelOnly="1" outline="0" fieldPosition="0">
        <references count="5">
          <reference field="0" count="1" selected="0">
            <x v="103"/>
          </reference>
          <reference field="1" count="1" selected="0">
            <x v="19"/>
          </reference>
          <reference field="2" count="1" selected="0">
            <x v="0"/>
          </reference>
          <reference field="3" count="1" selected="0">
            <x v="71"/>
          </reference>
          <reference field="6" count="1">
            <x v="1"/>
          </reference>
        </references>
      </pivotArea>
    </format>
    <format dxfId="346">
      <pivotArea dataOnly="0" labelOnly="1" outline="0" fieldPosition="0">
        <references count="5">
          <reference field="0" count="1" selected="0">
            <x v="106"/>
          </reference>
          <reference field="1" count="1" selected="0">
            <x v="1"/>
          </reference>
          <reference field="2" count="1" selected="0">
            <x v="0"/>
          </reference>
          <reference field="3" count="1" selected="0">
            <x v="58"/>
          </reference>
          <reference field="6" count="1">
            <x v="2"/>
          </reference>
        </references>
      </pivotArea>
    </format>
    <format dxfId="345">
      <pivotArea dataOnly="0" labelOnly="1" outline="0" fieldPosition="0">
        <references count="6">
          <reference field="0" count="1" selected="0">
            <x v="0"/>
          </reference>
          <reference field="1" count="1" selected="0">
            <x v="0"/>
          </reference>
          <reference field="2" count="1" selected="0">
            <x v="0"/>
          </reference>
          <reference field="3" count="1" selected="0">
            <x v="0"/>
          </reference>
          <reference field="6" count="1" selected="0">
            <x v="0"/>
          </reference>
          <reference field="7" count="1">
            <x v="0"/>
          </reference>
        </references>
      </pivotArea>
    </format>
    <format dxfId="344">
      <pivotArea dataOnly="0" labelOnly="1" outline="0" fieldPosition="0">
        <references count="6">
          <reference field="0" count="1" selected="0">
            <x v="1"/>
          </reference>
          <reference field="1" count="1" selected="0">
            <x v="0"/>
          </reference>
          <reference field="2" count="1" selected="0">
            <x v="0"/>
          </reference>
          <reference field="3" count="1" selected="0">
            <x v="0"/>
          </reference>
          <reference field="6" count="1" selected="0">
            <x v="0"/>
          </reference>
          <reference field="7" count="1">
            <x v="0"/>
          </reference>
        </references>
      </pivotArea>
    </format>
    <format dxfId="343">
      <pivotArea dataOnly="0" labelOnly="1" outline="0" fieldPosition="0">
        <references count="6">
          <reference field="0" count="1" selected="0">
            <x v="2"/>
          </reference>
          <reference field="1" count="1" selected="0">
            <x v="0"/>
          </reference>
          <reference field="2" count="1" selected="0">
            <x v="0"/>
          </reference>
          <reference field="3" count="1" selected="0">
            <x v="0"/>
          </reference>
          <reference field="6" count="1" selected="0">
            <x v="0"/>
          </reference>
          <reference field="7" count="1">
            <x v="0"/>
          </reference>
        </references>
      </pivotArea>
    </format>
    <format dxfId="342">
      <pivotArea dataOnly="0" labelOnly="1" outline="0" fieldPosition="0">
        <references count="6">
          <reference field="0" count="1" selected="0">
            <x v="3"/>
          </reference>
          <reference field="1" count="1" selected="0">
            <x v="0"/>
          </reference>
          <reference field="2" count="1" selected="0">
            <x v="0"/>
          </reference>
          <reference field="3" count="1" selected="0">
            <x v="0"/>
          </reference>
          <reference field="6" count="1" selected="0">
            <x v="0"/>
          </reference>
          <reference field="7" count="1">
            <x v="0"/>
          </reference>
        </references>
      </pivotArea>
    </format>
    <format dxfId="341">
      <pivotArea dataOnly="0" labelOnly="1" outline="0" fieldPosition="0">
        <references count="6">
          <reference field="0" count="1" selected="0">
            <x v="4"/>
          </reference>
          <reference field="1" count="1" selected="0">
            <x v="0"/>
          </reference>
          <reference field="2" count="1" selected="0">
            <x v="0"/>
          </reference>
          <reference field="3" count="1" selected="0">
            <x v="0"/>
          </reference>
          <reference field="6" count="1" selected="0">
            <x v="0"/>
          </reference>
          <reference field="7" count="1">
            <x v="0"/>
          </reference>
        </references>
      </pivotArea>
    </format>
    <format dxfId="340">
      <pivotArea dataOnly="0" labelOnly="1" outline="0" fieldPosition="0">
        <references count="6">
          <reference field="0" count="1" selected="0">
            <x v="5"/>
          </reference>
          <reference field="1" count="1" selected="0">
            <x v="0"/>
          </reference>
          <reference field="2" count="1" selected="0">
            <x v="0"/>
          </reference>
          <reference field="3" count="1" selected="0">
            <x v="0"/>
          </reference>
          <reference field="6" count="1" selected="0">
            <x v="0"/>
          </reference>
          <reference field="7" count="1">
            <x v="0"/>
          </reference>
        </references>
      </pivotArea>
    </format>
    <format dxfId="339">
      <pivotArea dataOnly="0" labelOnly="1" outline="0" fieldPosition="0">
        <references count="6">
          <reference field="0" count="1" selected="0">
            <x v="8"/>
          </reference>
          <reference field="1" count="1" selected="0">
            <x v="0"/>
          </reference>
          <reference field="2" count="1" selected="0">
            <x v="0"/>
          </reference>
          <reference field="3" count="1" selected="0">
            <x v="0"/>
          </reference>
          <reference field="6" count="1" selected="0">
            <x v="0"/>
          </reference>
          <reference field="7" count="1">
            <x v="0"/>
          </reference>
        </references>
      </pivotArea>
    </format>
    <format dxfId="338">
      <pivotArea dataOnly="0" labelOnly="1" outline="0" fieldPosition="0">
        <references count="6">
          <reference field="0" count="1" selected="0">
            <x v="9"/>
          </reference>
          <reference field="1" count="1" selected="0">
            <x v="1"/>
          </reference>
          <reference field="2" count="1" selected="0">
            <x v="1"/>
          </reference>
          <reference field="3" count="1" selected="0">
            <x v="1"/>
          </reference>
          <reference field="6" count="1" selected="0">
            <x v="0"/>
          </reference>
          <reference field="7" count="1">
            <x v="0"/>
          </reference>
        </references>
      </pivotArea>
    </format>
    <format dxfId="337">
      <pivotArea dataOnly="0" labelOnly="1" outline="0" fieldPosition="0">
        <references count="6">
          <reference field="0" count="1" selected="0">
            <x v="10"/>
          </reference>
          <reference field="1" count="1" selected="0">
            <x v="2"/>
          </reference>
          <reference field="2" count="1" selected="0">
            <x v="0"/>
          </reference>
          <reference field="3" count="1" selected="0">
            <x v="2"/>
          </reference>
          <reference field="6" count="1" selected="0">
            <x v="0"/>
          </reference>
          <reference field="7" count="1">
            <x v="0"/>
          </reference>
        </references>
      </pivotArea>
    </format>
    <format dxfId="336">
      <pivotArea dataOnly="0" labelOnly="1" outline="0" fieldPosition="0">
        <references count="6">
          <reference field="0" count="1" selected="0">
            <x v="11"/>
          </reference>
          <reference field="1" count="1" selected="0">
            <x v="2"/>
          </reference>
          <reference field="2" count="1" selected="0">
            <x v="0"/>
          </reference>
          <reference field="3" count="1" selected="0">
            <x v="2"/>
          </reference>
          <reference field="6" count="1" selected="0">
            <x v="0"/>
          </reference>
          <reference field="7" count="1">
            <x v="0"/>
          </reference>
        </references>
      </pivotArea>
    </format>
    <format dxfId="335">
      <pivotArea dataOnly="0" labelOnly="1" outline="0" fieldPosition="0">
        <references count="6">
          <reference field="0" count="1" selected="0">
            <x v="12"/>
          </reference>
          <reference field="1" count="1" selected="0">
            <x v="3"/>
          </reference>
          <reference field="2" count="1" selected="0">
            <x v="0"/>
          </reference>
          <reference field="3" count="1" selected="0">
            <x v="3"/>
          </reference>
          <reference field="6" count="1" selected="0">
            <x v="1"/>
          </reference>
          <reference field="7" count="1">
            <x v="0"/>
          </reference>
        </references>
      </pivotArea>
    </format>
    <format dxfId="334">
      <pivotArea dataOnly="0" labelOnly="1" outline="0" fieldPosition="0">
        <references count="6">
          <reference field="0" count="1" selected="0">
            <x v="13"/>
          </reference>
          <reference field="1" count="1" selected="0">
            <x v="4"/>
          </reference>
          <reference field="2" count="1" selected="0">
            <x v="0"/>
          </reference>
          <reference field="3" count="1" selected="0">
            <x v="4"/>
          </reference>
          <reference field="6" count="1" selected="0">
            <x v="1"/>
          </reference>
          <reference field="7" count="1">
            <x v="0"/>
          </reference>
        </references>
      </pivotArea>
    </format>
    <format dxfId="333">
      <pivotArea dataOnly="0" labelOnly="1" outline="0" fieldPosition="0">
        <references count="6">
          <reference field="0" count="1" selected="0">
            <x v="14"/>
          </reference>
          <reference field="1" count="1" selected="0">
            <x v="2"/>
          </reference>
          <reference field="2" count="1" selected="0">
            <x v="0"/>
          </reference>
          <reference field="3" count="1" selected="0">
            <x v="2"/>
          </reference>
          <reference field="6" count="1" selected="0">
            <x v="0"/>
          </reference>
          <reference field="7" count="1">
            <x v="0"/>
          </reference>
        </references>
      </pivotArea>
    </format>
    <format dxfId="332">
      <pivotArea dataOnly="0" labelOnly="1" outline="0" fieldPosition="0">
        <references count="6">
          <reference field="0" count="1" selected="0">
            <x v="15"/>
          </reference>
          <reference field="1" count="1" selected="0">
            <x v="2"/>
          </reference>
          <reference field="2" count="1" selected="0">
            <x v="0"/>
          </reference>
          <reference field="3" count="1" selected="0">
            <x v="2"/>
          </reference>
          <reference field="6" count="1" selected="0">
            <x v="0"/>
          </reference>
          <reference field="7" count="1">
            <x v="0"/>
          </reference>
        </references>
      </pivotArea>
    </format>
    <format dxfId="331">
      <pivotArea dataOnly="0" labelOnly="1" outline="0" fieldPosition="0">
        <references count="6">
          <reference field="0" count="1" selected="0">
            <x v="16"/>
          </reference>
          <reference field="1" count="1" selected="0">
            <x v="2"/>
          </reference>
          <reference field="2" count="1" selected="0">
            <x v="0"/>
          </reference>
          <reference field="3" count="1" selected="0">
            <x v="2"/>
          </reference>
          <reference field="6" count="1" selected="0">
            <x v="0"/>
          </reference>
          <reference field="7" count="1">
            <x v="0"/>
          </reference>
        </references>
      </pivotArea>
    </format>
    <format dxfId="330">
      <pivotArea dataOnly="0" labelOnly="1" outline="0" fieldPosition="0">
        <references count="6">
          <reference field="0" count="1" selected="0">
            <x v="17"/>
          </reference>
          <reference field="1" count="1" selected="0">
            <x v="5"/>
          </reference>
          <reference field="2" count="1" selected="0">
            <x v="0"/>
          </reference>
          <reference field="3" count="1" selected="0">
            <x v="5"/>
          </reference>
          <reference field="6" count="1" selected="0">
            <x v="0"/>
          </reference>
          <reference field="7" count="1">
            <x v="0"/>
          </reference>
        </references>
      </pivotArea>
    </format>
    <format dxfId="329">
      <pivotArea dataOnly="0" labelOnly="1" outline="0" fieldPosition="0">
        <references count="6">
          <reference field="0" count="1" selected="0">
            <x v="18"/>
          </reference>
          <reference field="1" count="1" selected="0">
            <x v="6"/>
          </reference>
          <reference field="2" count="1" selected="0">
            <x v="0"/>
          </reference>
          <reference field="3" count="1" selected="0">
            <x v="6"/>
          </reference>
          <reference field="6" count="1" selected="0">
            <x v="0"/>
          </reference>
          <reference field="7" count="1">
            <x v="0"/>
          </reference>
        </references>
      </pivotArea>
    </format>
    <format dxfId="328">
      <pivotArea dataOnly="0" labelOnly="1" outline="0" fieldPosition="0">
        <references count="6">
          <reference field="0" count="1" selected="0">
            <x v="19"/>
          </reference>
          <reference field="1" count="1" selected="0">
            <x v="7"/>
          </reference>
          <reference field="2" count="1" selected="0">
            <x v="0"/>
          </reference>
          <reference field="3" count="1" selected="0">
            <x v="7"/>
          </reference>
          <reference field="6" count="1" selected="0">
            <x v="0"/>
          </reference>
          <reference field="7" count="1">
            <x v="0"/>
          </reference>
        </references>
      </pivotArea>
    </format>
    <format dxfId="327">
      <pivotArea dataOnly="0" labelOnly="1" outline="0" fieldPosition="0">
        <references count="6">
          <reference field="0" count="1" selected="0">
            <x v="20"/>
          </reference>
          <reference field="1" count="1" selected="0">
            <x v="6"/>
          </reference>
          <reference field="2" count="1" selected="0">
            <x v="0"/>
          </reference>
          <reference field="3" count="1" selected="0">
            <x v="8"/>
          </reference>
          <reference field="6" count="1" selected="0">
            <x v="0"/>
          </reference>
          <reference field="7" count="1">
            <x v="0"/>
          </reference>
        </references>
      </pivotArea>
    </format>
    <format dxfId="326">
      <pivotArea dataOnly="0" labelOnly="1" outline="0" fieldPosition="0">
        <references count="6">
          <reference field="0" count="1" selected="0">
            <x v="21"/>
          </reference>
          <reference field="1" count="1" selected="0">
            <x v="6"/>
          </reference>
          <reference field="2" count="1" selected="0">
            <x v="0"/>
          </reference>
          <reference field="3" count="1" selected="0">
            <x v="9"/>
          </reference>
          <reference field="6" count="1" selected="0">
            <x v="0"/>
          </reference>
          <reference field="7" count="1">
            <x v="0"/>
          </reference>
        </references>
      </pivotArea>
    </format>
    <format dxfId="325">
      <pivotArea dataOnly="0" labelOnly="1" outline="0" fieldPosition="0">
        <references count="6">
          <reference field="0" count="1" selected="0">
            <x v="22"/>
          </reference>
          <reference field="1" count="1" selected="0">
            <x v="7"/>
          </reference>
          <reference field="2" count="1" selected="0">
            <x v="0"/>
          </reference>
          <reference field="3" count="1" selected="0">
            <x v="10"/>
          </reference>
          <reference field="6" count="1" selected="0">
            <x v="0"/>
          </reference>
          <reference field="7" count="1">
            <x v="0"/>
          </reference>
        </references>
      </pivotArea>
    </format>
    <format dxfId="324">
      <pivotArea dataOnly="0" labelOnly="1" outline="0" fieldPosition="0">
        <references count="6">
          <reference field="0" count="1" selected="0">
            <x v="23"/>
          </reference>
          <reference field="1" count="1" selected="0">
            <x v="7"/>
          </reference>
          <reference field="2" count="1" selected="0">
            <x v="1"/>
          </reference>
          <reference field="3" count="1" selected="0">
            <x v="11"/>
          </reference>
          <reference field="6" count="1" selected="0">
            <x v="0"/>
          </reference>
          <reference field="7" count="1">
            <x v="0"/>
          </reference>
        </references>
      </pivotArea>
    </format>
    <format dxfId="323">
      <pivotArea dataOnly="0" labelOnly="1" outline="0" fieldPosition="0">
        <references count="6">
          <reference field="0" count="1" selected="0">
            <x v="24"/>
          </reference>
          <reference field="1" count="1" selected="0">
            <x v="7"/>
          </reference>
          <reference field="2" count="1" selected="0">
            <x v="2"/>
          </reference>
          <reference field="3" count="1" selected="0">
            <x v="12"/>
          </reference>
          <reference field="6" count="1" selected="0">
            <x v="0"/>
          </reference>
          <reference field="7" count="1">
            <x v="0"/>
          </reference>
        </references>
      </pivotArea>
    </format>
    <format dxfId="322">
      <pivotArea dataOnly="0" labelOnly="1" outline="0" fieldPosition="0">
        <references count="6">
          <reference field="0" count="1" selected="0">
            <x v="25"/>
          </reference>
          <reference field="1" count="1" selected="0">
            <x v="7"/>
          </reference>
          <reference field="2" count="1" selected="0">
            <x v="0"/>
          </reference>
          <reference field="3" count="1" selected="0">
            <x v="13"/>
          </reference>
          <reference field="6" count="1" selected="0">
            <x v="0"/>
          </reference>
          <reference field="7" count="1">
            <x v="0"/>
          </reference>
        </references>
      </pivotArea>
    </format>
    <format dxfId="321">
      <pivotArea dataOnly="0" labelOnly="1" outline="0" fieldPosition="0">
        <references count="6">
          <reference field="0" count="1" selected="0">
            <x v="26"/>
          </reference>
          <reference field="1" count="1" selected="0">
            <x v="7"/>
          </reference>
          <reference field="2" count="1" selected="0">
            <x v="0"/>
          </reference>
          <reference field="3" count="1" selected="0">
            <x v="0"/>
          </reference>
          <reference field="6" count="1" selected="0">
            <x v="0"/>
          </reference>
          <reference field="7" count="1">
            <x v="0"/>
          </reference>
        </references>
      </pivotArea>
    </format>
    <format dxfId="320">
      <pivotArea dataOnly="0" labelOnly="1" outline="0" fieldPosition="0">
        <references count="6">
          <reference field="0" count="1" selected="0">
            <x v="27"/>
          </reference>
          <reference field="1" count="1" selected="0">
            <x v="7"/>
          </reference>
          <reference field="2" count="1" selected="0">
            <x v="1"/>
          </reference>
          <reference field="3" count="1" selected="0">
            <x v="14"/>
          </reference>
          <reference field="6" count="1" selected="0">
            <x v="1"/>
          </reference>
          <reference field="7" count="1">
            <x v="1"/>
          </reference>
        </references>
      </pivotArea>
    </format>
    <format dxfId="319">
      <pivotArea dataOnly="0" labelOnly="1" outline="0" fieldPosition="0">
        <references count="6">
          <reference field="0" count="1" selected="0">
            <x v="28"/>
          </reference>
          <reference field="1" count="1" selected="0">
            <x v="7"/>
          </reference>
          <reference field="2" count="1" selected="0">
            <x v="1"/>
          </reference>
          <reference field="3" count="1" selected="0">
            <x v="15"/>
          </reference>
          <reference field="6" count="1" selected="0">
            <x v="1"/>
          </reference>
          <reference field="7" count="1">
            <x v="1"/>
          </reference>
        </references>
      </pivotArea>
    </format>
    <format dxfId="318">
      <pivotArea dataOnly="0" labelOnly="1" outline="0" fieldPosition="0">
        <references count="6">
          <reference field="0" count="1" selected="0">
            <x v="29"/>
          </reference>
          <reference field="1" count="1" selected="0">
            <x v="7"/>
          </reference>
          <reference field="2" count="1" selected="0">
            <x v="0"/>
          </reference>
          <reference field="3" count="1" selected="0">
            <x v="16"/>
          </reference>
          <reference field="6" count="1" selected="0">
            <x v="1"/>
          </reference>
          <reference field="7" count="1">
            <x v="1"/>
          </reference>
        </references>
      </pivotArea>
    </format>
    <format dxfId="317">
      <pivotArea dataOnly="0" labelOnly="1" outline="0" fieldPosition="0">
        <references count="6">
          <reference field="0" count="1" selected="0">
            <x v="30"/>
          </reference>
          <reference field="1" count="1" selected="0">
            <x v="7"/>
          </reference>
          <reference field="2" count="1" selected="0">
            <x v="0"/>
          </reference>
          <reference field="3" count="1" selected="0">
            <x v="17"/>
          </reference>
          <reference field="6" count="1" selected="0">
            <x v="0"/>
          </reference>
          <reference field="7" count="1">
            <x v="0"/>
          </reference>
        </references>
      </pivotArea>
    </format>
    <format dxfId="316">
      <pivotArea dataOnly="0" labelOnly="1" outline="0" fieldPosition="0">
        <references count="6">
          <reference field="0" count="1" selected="0">
            <x v="31"/>
          </reference>
          <reference field="1" count="1" selected="0">
            <x v="7"/>
          </reference>
          <reference field="2" count="1" selected="0">
            <x v="0"/>
          </reference>
          <reference field="3" count="1" selected="0">
            <x v="18"/>
          </reference>
          <reference field="6" count="1" selected="0">
            <x v="0"/>
          </reference>
          <reference field="7" count="1">
            <x v="0"/>
          </reference>
        </references>
      </pivotArea>
    </format>
    <format dxfId="315">
      <pivotArea dataOnly="0" labelOnly="1" outline="0" fieldPosition="0">
        <references count="6">
          <reference field="0" count="1" selected="0">
            <x v="32"/>
          </reference>
          <reference field="1" count="1" selected="0">
            <x v="7"/>
          </reference>
          <reference field="2" count="1" selected="0">
            <x v="2"/>
          </reference>
          <reference field="3" count="1" selected="0">
            <x v="19"/>
          </reference>
          <reference field="6" count="1" selected="0">
            <x v="0"/>
          </reference>
          <reference field="7" count="1">
            <x v="0"/>
          </reference>
        </references>
      </pivotArea>
    </format>
    <format dxfId="314">
      <pivotArea dataOnly="0" labelOnly="1" outline="0" fieldPosition="0">
        <references count="6">
          <reference field="0" count="1" selected="0">
            <x v="33"/>
          </reference>
          <reference field="1" count="1" selected="0">
            <x v="6"/>
          </reference>
          <reference field="2" count="1" selected="0">
            <x v="0"/>
          </reference>
          <reference field="3" count="1" selected="0">
            <x v="20"/>
          </reference>
          <reference field="6" count="1" selected="0">
            <x v="0"/>
          </reference>
          <reference field="7" count="1">
            <x v="0"/>
          </reference>
        </references>
      </pivotArea>
    </format>
    <format dxfId="313">
      <pivotArea dataOnly="0" labelOnly="1" outline="0" fieldPosition="0">
        <references count="6">
          <reference field="0" count="1" selected="0">
            <x v="34"/>
          </reference>
          <reference field="1" count="1" selected="0">
            <x v="7"/>
          </reference>
          <reference field="2" count="1" selected="0">
            <x v="0"/>
          </reference>
          <reference field="3" count="1" selected="0">
            <x v="21"/>
          </reference>
          <reference field="6" count="1" selected="0">
            <x v="0"/>
          </reference>
          <reference field="7" count="1">
            <x v="0"/>
          </reference>
        </references>
      </pivotArea>
    </format>
    <format dxfId="312">
      <pivotArea dataOnly="0" labelOnly="1" outline="0" fieldPosition="0">
        <references count="6">
          <reference field="0" count="1" selected="0">
            <x v="35"/>
          </reference>
          <reference field="1" count="1" selected="0">
            <x v="7"/>
          </reference>
          <reference field="2" count="1" selected="0">
            <x v="1"/>
          </reference>
          <reference field="3" count="1" selected="0">
            <x v="22"/>
          </reference>
          <reference field="6" count="1" selected="0">
            <x v="0"/>
          </reference>
          <reference field="7" count="1">
            <x v="0"/>
          </reference>
        </references>
      </pivotArea>
    </format>
    <format dxfId="311">
      <pivotArea dataOnly="0" labelOnly="1" outline="0" fieldPosition="0">
        <references count="6">
          <reference field="0" count="1" selected="0">
            <x v="36"/>
          </reference>
          <reference field="1" count="1" selected="0">
            <x v="8"/>
          </reference>
          <reference field="2" count="1" selected="0">
            <x v="0"/>
          </reference>
          <reference field="3" count="1" selected="0">
            <x v="23"/>
          </reference>
          <reference field="6" count="1" selected="0">
            <x v="0"/>
          </reference>
          <reference field="7" count="1">
            <x v="0"/>
          </reference>
        </references>
      </pivotArea>
    </format>
    <format dxfId="310">
      <pivotArea dataOnly="0" labelOnly="1" outline="0" fieldPosition="0">
        <references count="6">
          <reference field="0" count="1" selected="0">
            <x v="37"/>
          </reference>
          <reference field="1" count="1" selected="0">
            <x v="7"/>
          </reference>
          <reference field="2" count="1" selected="0">
            <x v="0"/>
          </reference>
          <reference field="3" count="1" selected="0">
            <x v="19"/>
          </reference>
          <reference field="6" count="1" selected="0">
            <x v="0"/>
          </reference>
          <reference field="7" count="1">
            <x v="0"/>
          </reference>
        </references>
      </pivotArea>
    </format>
    <format dxfId="309">
      <pivotArea dataOnly="0" labelOnly="1" outline="0" fieldPosition="0">
        <references count="6">
          <reference field="0" count="1" selected="0">
            <x v="38"/>
          </reference>
          <reference field="1" count="1" selected="0">
            <x v="6"/>
          </reference>
          <reference field="2" count="1" selected="0">
            <x v="0"/>
          </reference>
          <reference field="3" count="1" selected="0">
            <x v="24"/>
          </reference>
          <reference field="6" count="1" selected="0">
            <x v="0"/>
          </reference>
          <reference field="7" count="1">
            <x v="0"/>
          </reference>
        </references>
      </pivotArea>
    </format>
    <format dxfId="308">
      <pivotArea dataOnly="0" labelOnly="1" outline="0" fieldPosition="0">
        <references count="6">
          <reference field="0" count="1" selected="0">
            <x v="39"/>
          </reference>
          <reference field="1" count="1" selected="0">
            <x v="7"/>
          </reference>
          <reference field="2" count="1" selected="0">
            <x v="0"/>
          </reference>
          <reference field="3" count="1" selected="0">
            <x v="0"/>
          </reference>
          <reference field="6" count="1" selected="0">
            <x v="0"/>
          </reference>
          <reference field="7" count="1">
            <x v="0"/>
          </reference>
        </references>
      </pivotArea>
    </format>
    <format dxfId="307">
      <pivotArea dataOnly="0" labelOnly="1" outline="0" fieldPosition="0">
        <references count="6">
          <reference field="0" count="1" selected="0">
            <x v="40"/>
          </reference>
          <reference field="1" count="1" selected="0">
            <x v="7"/>
          </reference>
          <reference field="2" count="1" selected="0">
            <x v="0"/>
          </reference>
          <reference field="3" count="1" selected="0">
            <x v="25"/>
          </reference>
          <reference field="6" count="1" selected="0">
            <x v="0"/>
          </reference>
          <reference field="7" count="1">
            <x v="0"/>
          </reference>
        </references>
      </pivotArea>
    </format>
    <format dxfId="306">
      <pivotArea dataOnly="0" labelOnly="1" outline="0" fieldPosition="0">
        <references count="6">
          <reference field="0" count="1" selected="0">
            <x v="41"/>
          </reference>
          <reference field="1" count="1" selected="0">
            <x v="7"/>
          </reference>
          <reference field="2" count="1" selected="0">
            <x v="1"/>
          </reference>
          <reference field="3" count="1" selected="0">
            <x v="19"/>
          </reference>
          <reference field="6" count="1" selected="0">
            <x v="0"/>
          </reference>
          <reference field="7" count="1">
            <x v="0"/>
          </reference>
        </references>
      </pivotArea>
    </format>
    <format dxfId="305">
      <pivotArea dataOnly="0" labelOnly="1" outline="0" fieldPosition="0">
        <references count="6">
          <reference field="0" count="1" selected="0">
            <x v="42"/>
          </reference>
          <reference field="1" count="1" selected="0">
            <x v="7"/>
          </reference>
          <reference field="2" count="1" selected="0">
            <x v="0"/>
          </reference>
          <reference field="3" count="1" selected="0">
            <x v="26"/>
          </reference>
          <reference field="6" count="1" selected="0">
            <x v="0"/>
          </reference>
          <reference field="7" count="1">
            <x v="0"/>
          </reference>
        </references>
      </pivotArea>
    </format>
    <format dxfId="304">
      <pivotArea dataOnly="0" labelOnly="1" outline="0" fieldPosition="0">
        <references count="6">
          <reference field="0" count="1" selected="0">
            <x v="43"/>
          </reference>
          <reference field="1" count="1" selected="0">
            <x v="9"/>
          </reference>
          <reference field="2" count="1" selected="0">
            <x v="3"/>
          </reference>
          <reference field="3" count="1" selected="0">
            <x v="27"/>
          </reference>
          <reference field="6" count="1" selected="0">
            <x v="0"/>
          </reference>
          <reference field="7" count="1">
            <x v="0"/>
          </reference>
        </references>
      </pivotArea>
    </format>
    <format dxfId="303">
      <pivotArea dataOnly="0" labelOnly="1" outline="0" fieldPosition="0">
        <references count="6">
          <reference field="0" count="1" selected="0">
            <x v="44"/>
          </reference>
          <reference field="1" count="1" selected="0">
            <x v="7"/>
          </reference>
          <reference field="2" count="1" selected="0">
            <x v="0"/>
          </reference>
          <reference field="3" count="1" selected="0">
            <x v="19"/>
          </reference>
          <reference field="6" count="1" selected="0">
            <x v="0"/>
          </reference>
          <reference field="7" count="1">
            <x v="0"/>
          </reference>
        </references>
      </pivotArea>
    </format>
    <format dxfId="302">
      <pivotArea dataOnly="0" labelOnly="1" outline="0" fieldPosition="0">
        <references count="6">
          <reference field="0" count="1" selected="0">
            <x v="45"/>
          </reference>
          <reference field="1" count="1" selected="0">
            <x v="7"/>
          </reference>
          <reference field="2" count="1" selected="0">
            <x v="1"/>
          </reference>
          <reference field="3" count="1" selected="0">
            <x v="13"/>
          </reference>
          <reference field="6" count="1" selected="0">
            <x v="1"/>
          </reference>
          <reference field="7" count="1">
            <x v="1"/>
          </reference>
        </references>
      </pivotArea>
    </format>
    <format dxfId="301">
      <pivotArea dataOnly="0" labelOnly="1" outline="0" fieldPosition="0">
        <references count="6">
          <reference field="0" count="1" selected="0">
            <x v="46"/>
          </reference>
          <reference field="1" count="1" selected="0">
            <x v="7"/>
          </reference>
          <reference field="2" count="1" selected="0">
            <x v="0"/>
          </reference>
          <reference field="3" count="1" selected="0">
            <x v="28"/>
          </reference>
          <reference field="6" count="1" selected="0">
            <x v="0"/>
          </reference>
          <reference field="7" count="1">
            <x v="0"/>
          </reference>
        </references>
      </pivotArea>
    </format>
    <format dxfId="300">
      <pivotArea dataOnly="0" labelOnly="1" outline="0" fieldPosition="0">
        <references count="6">
          <reference field="0" count="1" selected="0">
            <x v="47"/>
          </reference>
          <reference field="1" count="1" selected="0">
            <x v="7"/>
          </reference>
          <reference field="2" count="1" selected="0">
            <x v="0"/>
          </reference>
          <reference field="3" count="1" selected="0">
            <x v="29"/>
          </reference>
          <reference field="6" count="1" selected="0">
            <x v="1"/>
          </reference>
          <reference field="7" count="1">
            <x v="1"/>
          </reference>
        </references>
      </pivotArea>
    </format>
    <format dxfId="299">
      <pivotArea dataOnly="0" labelOnly="1" outline="0" fieldPosition="0">
        <references count="6">
          <reference field="0" count="1" selected="0">
            <x v="48"/>
          </reference>
          <reference field="1" count="1" selected="0">
            <x v="7"/>
          </reference>
          <reference field="2" count="1" selected="0">
            <x v="0"/>
          </reference>
          <reference field="3" count="1" selected="0">
            <x v="30"/>
          </reference>
          <reference field="6" count="1" selected="0">
            <x v="0"/>
          </reference>
          <reference field="7" count="1">
            <x v="0"/>
          </reference>
        </references>
      </pivotArea>
    </format>
    <format dxfId="298">
      <pivotArea dataOnly="0" labelOnly="1" outline="0" fieldPosition="0">
        <references count="6">
          <reference field="0" count="1" selected="0">
            <x v="49"/>
          </reference>
          <reference field="1" count="1" selected="0">
            <x v="10"/>
          </reference>
          <reference field="2" count="1" selected="0">
            <x v="0"/>
          </reference>
          <reference field="3" count="1" selected="0">
            <x v="31"/>
          </reference>
          <reference field="6" count="1" selected="0">
            <x v="0"/>
          </reference>
          <reference field="7" count="1">
            <x v="0"/>
          </reference>
        </references>
      </pivotArea>
    </format>
    <format dxfId="297">
      <pivotArea dataOnly="0" labelOnly="1" outline="0" fieldPosition="0">
        <references count="6">
          <reference field="0" count="1" selected="0">
            <x v="50"/>
          </reference>
          <reference field="1" count="1" selected="0">
            <x v="10"/>
          </reference>
          <reference field="2" count="1" selected="0">
            <x v="4"/>
          </reference>
          <reference field="3" count="1" selected="0">
            <x v="32"/>
          </reference>
          <reference field="6" count="1" selected="0">
            <x v="0"/>
          </reference>
          <reference field="7" count="1">
            <x v="0"/>
          </reference>
        </references>
      </pivotArea>
    </format>
    <format dxfId="296">
      <pivotArea dataOnly="0" labelOnly="1" outline="0" fieldPosition="0">
        <references count="6">
          <reference field="0" count="1" selected="0">
            <x v="51"/>
          </reference>
          <reference field="1" count="1" selected="0">
            <x v="10"/>
          </reference>
          <reference field="2" count="1" selected="0">
            <x v="2"/>
          </reference>
          <reference field="3" count="1" selected="0">
            <x v="33"/>
          </reference>
          <reference field="6" count="1" selected="0">
            <x v="0"/>
          </reference>
          <reference field="7" count="1">
            <x v="0"/>
          </reference>
        </references>
      </pivotArea>
    </format>
    <format dxfId="295">
      <pivotArea dataOnly="0" labelOnly="1" outline="0" fieldPosition="0">
        <references count="6">
          <reference field="0" count="1" selected="0">
            <x v="52"/>
          </reference>
          <reference field="1" count="1" selected="0">
            <x v="10"/>
          </reference>
          <reference field="2" count="1" selected="0">
            <x v="0"/>
          </reference>
          <reference field="3" count="1" selected="0">
            <x v="34"/>
          </reference>
          <reference field="6" count="1" selected="0">
            <x v="0"/>
          </reference>
          <reference field="7" count="1">
            <x v="0"/>
          </reference>
        </references>
      </pivotArea>
    </format>
    <format dxfId="294">
      <pivotArea dataOnly="0" labelOnly="1" outline="0" fieldPosition="0">
        <references count="6">
          <reference field="0" count="1" selected="0">
            <x v="53"/>
          </reference>
          <reference field="1" count="1" selected="0">
            <x v="6"/>
          </reference>
          <reference field="2" count="1" selected="0">
            <x v="0"/>
          </reference>
          <reference field="3" count="1" selected="0">
            <x v="35"/>
          </reference>
          <reference field="6" count="1" selected="0">
            <x v="0"/>
          </reference>
          <reference field="7" count="1">
            <x v="0"/>
          </reference>
        </references>
      </pivotArea>
    </format>
    <format dxfId="293">
      <pivotArea dataOnly="0" labelOnly="1" outline="0" fieldPosition="0">
        <references count="6">
          <reference field="0" count="1" selected="0">
            <x v="54"/>
          </reference>
          <reference field="1" count="1" selected="0">
            <x v="1"/>
          </reference>
          <reference field="2" count="1" selected="0">
            <x v="0"/>
          </reference>
          <reference field="3" count="1" selected="0">
            <x v="36"/>
          </reference>
          <reference field="6" count="1" selected="0">
            <x v="0"/>
          </reference>
          <reference field="7" count="1">
            <x v="0"/>
          </reference>
        </references>
      </pivotArea>
    </format>
    <format dxfId="292">
      <pivotArea dataOnly="0" labelOnly="1" outline="0" fieldPosition="0">
        <references count="6">
          <reference field="0" count="1" selected="0">
            <x v="55"/>
          </reference>
          <reference field="1" count="1" selected="0">
            <x v="6"/>
          </reference>
          <reference field="2" count="1" selected="0">
            <x v="0"/>
          </reference>
          <reference field="3" count="1" selected="0">
            <x v="35"/>
          </reference>
          <reference field="6" count="1" selected="0">
            <x v="0"/>
          </reference>
          <reference field="7" count="1">
            <x v="0"/>
          </reference>
        </references>
      </pivotArea>
    </format>
    <format dxfId="291">
      <pivotArea dataOnly="0" labelOnly="1" outline="0" fieldPosition="0">
        <references count="6">
          <reference field="0" count="1" selected="0">
            <x v="56"/>
          </reference>
          <reference field="1" count="1" selected="0">
            <x v="11"/>
          </reference>
          <reference field="2" count="1" selected="0">
            <x v="0"/>
          </reference>
          <reference field="3" count="1" selected="0">
            <x v="37"/>
          </reference>
          <reference field="6" count="1" selected="0">
            <x v="0"/>
          </reference>
          <reference field="7" count="1">
            <x v="0"/>
          </reference>
        </references>
      </pivotArea>
    </format>
    <format dxfId="290">
      <pivotArea dataOnly="0" labelOnly="1" outline="0" fieldPosition="0">
        <references count="6">
          <reference field="0" count="1" selected="0">
            <x v="57"/>
          </reference>
          <reference field="1" count="1" selected="0">
            <x v="6"/>
          </reference>
          <reference field="2" count="1" selected="0">
            <x v="0"/>
          </reference>
          <reference field="3" count="1" selected="0">
            <x v="38"/>
          </reference>
          <reference field="6" count="1" selected="0">
            <x v="0"/>
          </reference>
          <reference field="7" count="1">
            <x v="0"/>
          </reference>
        </references>
      </pivotArea>
    </format>
    <format dxfId="289">
      <pivotArea dataOnly="0" labelOnly="1" outline="0" fieldPosition="0">
        <references count="6">
          <reference field="0" count="1" selected="0">
            <x v="58"/>
          </reference>
          <reference field="1" count="1" selected="0">
            <x v="6"/>
          </reference>
          <reference field="2" count="1" selected="0">
            <x v="0"/>
          </reference>
          <reference field="3" count="1" selected="0">
            <x v="24"/>
          </reference>
          <reference field="6" count="1" selected="0">
            <x v="0"/>
          </reference>
          <reference field="7" count="1">
            <x v="0"/>
          </reference>
        </references>
      </pivotArea>
    </format>
    <format dxfId="288">
      <pivotArea dataOnly="0" labelOnly="1" outline="0" fieldPosition="0">
        <references count="6">
          <reference field="0" count="1" selected="0">
            <x v="59"/>
          </reference>
          <reference field="1" count="1" selected="0">
            <x v="6"/>
          </reference>
          <reference field="2" count="1" selected="0">
            <x v="0"/>
          </reference>
          <reference field="3" count="1" selected="0">
            <x v="39"/>
          </reference>
          <reference field="6" count="1" selected="0">
            <x v="0"/>
          </reference>
          <reference field="7" count="1">
            <x v="0"/>
          </reference>
        </references>
      </pivotArea>
    </format>
    <format dxfId="287">
      <pivotArea dataOnly="0" labelOnly="1" outline="0" fieldPosition="0">
        <references count="6">
          <reference field="0" count="1" selected="0">
            <x v="60"/>
          </reference>
          <reference field="1" count="1" selected="0">
            <x v="6"/>
          </reference>
          <reference field="2" count="1" selected="0">
            <x v="0"/>
          </reference>
          <reference field="3" count="1" selected="0">
            <x v="40"/>
          </reference>
          <reference field="6" count="1" selected="0">
            <x v="0"/>
          </reference>
          <reference field="7" count="1">
            <x v="0"/>
          </reference>
        </references>
      </pivotArea>
    </format>
    <format dxfId="286">
      <pivotArea dataOnly="0" labelOnly="1" outline="0" fieldPosition="0">
        <references count="6">
          <reference field="0" count="1" selected="0">
            <x v="61"/>
          </reference>
          <reference field="1" count="1" selected="0">
            <x v="1"/>
          </reference>
          <reference field="2" count="1" selected="0">
            <x v="1"/>
          </reference>
          <reference field="3" count="1" selected="0">
            <x v="41"/>
          </reference>
          <reference field="6" count="1" selected="0">
            <x v="0"/>
          </reference>
          <reference field="7" count="1">
            <x v="0"/>
          </reference>
        </references>
      </pivotArea>
    </format>
    <format dxfId="285">
      <pivotArea dataOnly="0" labelOnly="1" outline="0" fieldPosition="0">
        <references count="6">
          <reference field="0" count="1" selected="0">
            <x v="63"/>
          </reference>
          <reference field="1" count="1" selected="0">
            <x v="6"/>
          </reference>
          <reference field="2" count="1" selected="0">
            <x v="0"/>
          </reference>
          <reference field="3" count="1" selected="0">
            <x v="43"/>
          </reference>
          <reference field="6" count="1" selected="0">
            <x v="0"/>
          </reference>
          <reference field="7" count="1">
            <x v="0"/>
          </reference>
        </references>
      </pivotArea>
    </format>
    <format dxfId="284">
      <pivotArea dataOnly="0" labelOnly="1" outline="0" fieldPosition="0">
        <references count="6">
          <reference field="0" count="1" selected="0">
            <x v="64"/>
          </reference>
          <reference field="1" count="1" selected="0">
            <x v="6"/>
          </reference>
          <reference field="2" count="1" selected="0">
            <x v="0"/>
          </reference>
          <reference field="3" count="1" selected="0">
            <x v="38"/>
          </reference>
          <reference field="6" count="1" selected="0">
            <x v="0"/>
          </reference>
          <reference field="7" count="1">
            <x v="0"/>
          </reference>
        </references>
      </pivotArea>
    </format>
    <format dxfId="283">
      <pivotArea dataOnly="0" labelOnly="1" outline="0" fieldPosition="0">
        <references count="6">
          <reference field="0" count="1" selected="0">
            <x v="65"/>
          </reference>
          <reference field="1" count="1" selected="0">
            <x v="12"/>
          </reference>
          <reference field="2" count="1" selected="0">
            <x v="0"/>
          </reference>
          <reference field="3" count="1" selected="0">
            <x v="44"/>
          </reference>
          <reference field="6" count="1" selected="0">
            <x v="0"/>
          </reference>
          <reference field="7" count="1">
            <x v="0"/>
          </reference>
        </references>
      </pivotArea>
    </format>
    <format dxfId="282">
      <pivotArea dataOnly="0" labelOnly="1" outline="0" fieldPosition="0">
        <references count="6">
          <reference field="0" count="1" selected="0">
            <x v="66"/>
          </reference>
          <reference field="1" count="1" selected="0">
            <x v="5"/>
          </reference>
          <reference field="2" count="1" selected="0">
            <x v="0"/>
          </reference>
          <reference field="3" count="1" selected="0">
            <x v="45"/>
          </reference>
          <reference field="6" count="1" selected="0">
            <x v="1"/>
          </reference>
          <reference field="7" count="1">
            <x v="1"/>
          </reference>
        </references>
      </pivotArea>
    </format>
    <format dxfId="281">
      <pivotArea dataOnly="0" labelOnly="1" outline="0" fieldPosition="0">
        <references count="6">
          <reference field="0" count="1" selected="0">
            <x v="67"/>
          </reference>
          <reference field="1" count="1" selected="0">
            <x v="6"/>
          </reference>
          <reference field="2" count="1" selected="0">
            <x v="0"/>
          </reference>
          <reference field="3" count="1" selected="0">
            <x v="8"/>
          </reference>
          <reference field="6" count="1" selected="0">
            <x v="1"/>
          </reference>
          <reference field="7" count="1">
            <x v="1"/>
          </reference>
        </references>
      </pivotArea>
    </format>
    <format dxfId="280">
      <pivotArea dataOnly="0" labelOnly="1" outline="0" fieldPosition="0">
        <references count="6">
          <reference field="0" count="1" selected="0">
            <x v="68"/>
          </reference>
          <reference field="1" count="1" selected="0">
            <x v="5"/>
          </reference>
          <reference field="2" count="1" selected="0">
            <x v="0"/>
          </reference>
          <reference field="3" count="1" selected="0">
            <x v="46"/>
          </reference>
          <reference field="6" count="1" selected="0">
            <x v="1"/>
          </reference>
          <reference field="7" count="1">
            <x v="1"/>
          </reference>
        </references>
      </pivotArea>
    </format>
    <format dxfId="279">
      <pivotArea dataOnly="0" labelOnly="1" outline="0" fieldPosition="0">
        <references count="6">
          <reference field="0" count="1" selected="0">
            <x v="69"/>
          </reference>
          <reference field="1" count="1" selected="0">
            <x v="6"/>
          </reference>
          <reference field="2" count="1" selected="0">
            <x v="0"/>
          </reference>
          <reference field="3" count="1" selected="0">
            <x v="24"/>
          </reference>
          <reference field="6" count="1" selected="0">
            <x v="0"/>
          </reference>
          <reference field="7" count="1">
            <x v="0"/>
          </reference>
        </references>
      </pivotArea>
    </format>
    <format dxfId="278">
      <pivotArea dataOnly="0" labelOnly="1" outline="0" fieldPosition="0">
        <references count="6">
          <reference field="0" count="1" selected="0">
            <x v="70"/>
          </reference>
          <reference field="1" count="1" selected="0">
            <x v="7"/>
          </reference>
          <reference field="2" count="1" selected="0">
            <x v="2"/>
          </reference>
          <reference field="3" count="1" selected="0">
            <x v="47"/>
          </reference>
          <reference field="6" count="1" selected="0">
            <x v="0"/>
          </reference>
          <reference field="7" count="1">
            <x v="0"/>
          </reference>
        </references>
      </pivotArea>
    </format>
    <format dxfId="277">
      <pivotArea dataOnly="0" labelOnly="1" outline="0" fieldPosition="0">
        <references count="6">
          <reference field="0" count="1" selected="0">
            <x v="71"/>
          </reference>
          <reference field="1" count="1" selected="0">
            <x v="1"/>
          </reference>
          <reference field="2" count="1" selected="0">
            <x v="0"/>
          </reference>
          <reference field="3" count="1" selected="0">
            <x v="48"/>
          </reference>
          <reference field="6" count="1" selected="0">
            <x v="0"/>
          </reference>
          <reference field="7" count="1">
            <x v="0"/>
          </reference>
        </references>
      </pivotArea>
    </format>
    <format dxfId="276">
      <pivotArea dataOnly="0" labelOnly="1" outline="0" fieldPosition="0">
        <references count="6">
          <reference field="0" count="1" selected="0">
            <x v="73"/>
          </reference>
          <reference field="1" count="1" selected="0">
            <x v="14"/>
          </reference>
          <reference field="2" count="1" selected="0">
            <x v="0"/>
          </reference>
          <reference field="3" count="1" selected="0">
            <x v="50"/>
          </reference>
          <reference field="6" count="1" selected="0">
            <x v="0"/>
          </reference>
          <reference field="7" count="1">
            <x v="0"/>
          </reference>
        </references>
      </pivotArea>
    </format>
    <format dxfId="275">
      <pivotArea dataOnly="0" labelOnly="1" outline="0" fieldPosition="0">
        <references count="6">
          <reference field="0" count="1" selected="0">
            <x v="74"/>
          </reference>
          <reference field="1" count="1" selected="0">
            <x v="6"/>
          </reference>
          <reference field="2" count="1" selected="0">
            <x v="0"/>
          </reference>
          <reference field="3" count="1" selected="0">
            <x v="51"/>
          </reference>
          <reference field="6" count="1" selected="0">
            <x v="0"/>
          </reference>
          <reference field="7" count="1">
            <x v="0"/>
          </reference>
        </references>
      </pivotArea>
    </format>
    <format dxfId="274">
      <pivotArea dataOnly="0" labelOnly="1" outline="0" fieldPosition="0">
        <references count="6">
          <reference field="0" count="1" selected="0">
            <x v="76"/>
          </reference>
          <reference field="1" count="1" selected="0">
            <x v="6"/>
          </reference>
          <reference field="2" count="1" selected="0">
            <x v="0"/>
          </reference>
          <reference field="3" count="1" selected="0">
            <x v="53"/>
          </reference>
          <reference field="6" count="1" selected="0">
            <x v="0"/>
          </reference>
          <reference field="7" count="1">
            <x v="0"/>
          </reference>
        </references>
      </pivotArea>
    </format>
    <format dxfId="273">
      <pivotArea dataOnly="0" labelOnly="1" outline="0" fieldPosition="0">
        <references count="6">
          <reference field="0" count="1" selected="0">
            <x v="77"/>
          </reference>
          <reference field="1" count="1" selected="0">
            <x v="7"/>
          </reference>
          <reference field="2" count="1" selected="0">
            <x v="1"/>
          </reference>
          <reference field="3" count="1" selected="0">
            <x v="54"/>
          </reference>
          <reference field="6" count="1" selected="0">
            <x v="0"/>
          </reference>
          <reference field="7" count="1">
            <x v="0"/>
          </reference>
        </references>
      </pivotArea>
    </format>
    <format dxfId="272">
      <pivotArea dataOnly="0" labelOnly="1" outline="0" fieldPosition="0">
        <references count="6">
          <reference field="0" count="1" selected="0">
            <x v="78"/>
          </reference>
          <reference field="1" count="1" selected="0">
            <x v="5"/>
          </reference>
          <reference field="2" count="1" selected="0">
            <x v="0"/>
          </reference>
          <reference field="3" count="1" selected="0">
            <x v="55"/>
          </reference>
          <reference field="6" count="1" selected="0">
            <x v="0"/>
          </reference>
          <reference field="7" count="1">
            <x v="0"/>
          </reference>
        </references>
      </pivotArea>
    </format>
    <format dxfId="271">
      <pivotArea dataOnly="0" labelOnly="1" outline="0" fieldPosition="0">
        <references count="6">
          <reference field="0" count="1" selected="0">
            <x v="79"/>
          </reference>
          <reference field="1" count="1" selected="0">
            <x v="7"/>
          </reference>
          <reference field="2" count="1" selected="0">
            <x v="0"/>
          </reference>
          <reference field="3" count="1" selected="0">
            <x v="30"/>
          </reference>
          <reference field="6" count="1" selected="0">
            <x v="0"/>
          </reference>
          <reference field="7" count="1">
            <x v="0"/>
          </reference>
        </references>
      </pivotArea>
    </format>
    <format dxfId="270">
      <pivotArea dataOnly="0" labelOnly="1" outline="0" fieldPosition="0">
        <references count="6">
          <reference field="0" count="1" selected="0">
            <x v="80"/>
          </reference>
          <reference field="1" count="1" selected="0">
            <x v="7"/>
          </reference>
          <reference field="2" count="1" selected="0">
            <x v="2"/>
          </reference>
          <reference field="3" count="1" selected="0">
            <x v="56"/>
          </reference>
          <reference field="6" count="1" selected="0">
            <x v="0"/>
          </reference>
          <reference field="7" count="1">
            <x v="0"/>
          </reference>
        </references>
      </pivotArea>
    </format>
    <format dxfId="269">
      <pivotArea dataOnly="0" labelOnly="1" outline="0" fieldPosition="0">
        <references count="6">
          <reference field="0" count="1" selected="0">
            <x v="81"/>
          </reference>
          <reference field="1" count="1" selected="0">
            <x v="2"/>
          </reference>
          <reference field="2" count="1" selected="0">
            <x v="0"/>
          </reference>
          <reference field="3" count="1" selected="0">
            <x v="57"/>
          </reference>
          <reference field="6" count="1" selected="0">
            <x v="0"/>
          </reference>
          <reference field="7" count="1">
            <x v="0"/>
          </reference>
        </references>
      </pivotArea>
    </format>
    <format dxfId="268">
      <pivotArea dataOnly="0" labelOnly="1" outline="0" fieldPosition="0">
        <references count="6">
          <reference field="0" count="1" selected="0">
            <x v="82"/>
          </reference>
          <reference field="1" count="1" selected="0">
            <x v="1"/>
          </reference>
          <reference field="2" count="1" selected="0">
            <x v="0"/>
          </reference>
          <reference field="3" count="1" selected="0">
            <x v="58"/>
          </reference>
          <reference field="6" count="1" selected="0">
            <x v="0"/>
          </reference>
          <reference field="7" count="1">
            <x v="0"/>
          </reference>
        </references>
      </pivotArea>
    </format>
    <format dxfId="267">
      <pivotArea dataOnly="0" labelOnly="1" outline="0" fieldPosition="0">
        <references count="6">
          <reference field="0" count="1" selected="0">
            <x v="83"/>
          </reference>
          <reference field="1" count="1" selected="0">
            <x v="7"/>
          </reference>
          <reference field="2" count="1" selected="0">
            <x v="0"/>
          </reference>
          <reference field="3" count="1" selected="0">
            <x v="19"/>
          </reference>
          <reference field="6" count="1" selected="0">
            <x v="0"/>
          </reference>
          <reference field="7" count="1">
            <x v="0"/>
          </reference>
        </references>
      </pivotArea>
    </format>
    <format dxfId="266">
      <pivotArea dataOnly="0" labelOnly="1" outline="0" fieldPosition="0">
        <references count="6">
          <reference field="0" count="1" selected="0">
            <x v="84"/>
          </reference>
          <reference field="1" count="1" selected="0">
            <x v="6"/>
          </reference>
          <reference field="2" count="1" selected="0">
            <x v="0"/>
          </reference>
          <reference field="3" count="1" selected="0">
            <x v="59"/>
          </reference>
          <reference field="6" count="1" selected="0">
            <x v="0"/>
          </reference>
          <reference field="7" count="1">
            <x v="0"/>
          </reference>
        </references>
      </pivotArea>
    </format>
    <format dxfId="265">
      <pivotArea dataOnly="0" labelOnly="1" outline="0" fieldPosition="0">
        <references count="6">
          <reference field="0" count="1" selected="0">
            <x v="85"/>
          </reference>
          <reference field="1" count="1" selected="0">
            <x v="15"/>
          </reference>
          <reference field="2" count="1" selected="0">
            <x v="0"/>
          </reference>
          <reference field="3" count="1" selected="0">
            <x v="60"/>
          </reference>
          <reference field="6" count="1" selected="0">
            <x v="0"/>
          </reference>
          <reference field="7" count="1">
            <x v="0"/>
          </reference>
        </references>
      </pivotArea>
    </format>
    <format dxfId="264">
      <pivotArea dataOnly="0" labelOnly="1" outline="0" fieldPosition="0">
        <references count="6">
          <reference field="0" count="1" selected="0">
            <x v="86"/>
          </reference>
          <reference field="1" count="1" selected="0">
            <x v="7"/>
          </reference>
          <reference field="2" count="1" selected="0">
            <x v="2"/>
          </reference>
          <reference field="3" count="1" selected="0">
            <x v="11"/>
          </reference>
          <reference field="6" count="1" selected="0">
            <x v="0"/>
          </reference>
          <reference field="7" count="1">
            <x v="0"/>
          </reference>
        </references>
      </pivotArea>
    </format>
    <format dxfId="263">
      <pivotArea dataOnly="0" labelOnly="1" outline="0" fieldPosition="0">
        <references count="6">
          <reference field="0" count="1" selected="0">
            <x v="87"/>
          </reference>
          <reference field="1" count="1" selected="0">
            <x v="16"/>
          </reference>
          <reference field="2" count="1" selected="0">
            <x v="0"/>
          </reference>
          <reference field="3" count="1" selected="0">
            <x v="61"/>
          </reference>
          <reference field="6" count="1" selected="0">
            <x v="0"/>
          </reference>
          <reference field="7" count="1">
            <x v="0"/>
          </reference>
        </references>
      </pivotArea>
    </format>
    <format dxfId="262">
      <pivotArea dataOnly="0" labelOnly="1" outline="0" fieldPosition="0">
        <references count="6">
          <reference field="0" count="1" selected="0">
            <x v="89"/>
          </reference>
          <reference field="1" count="1" selected="0">
            <x v="6"/>
          </reference>
          <reference field="2" count="1" selected="0">
            <x v="0"/>
          </reference>
          <reference field="3" count="1" selected="0">
            <x v="51"/>
          </reference>
          <reference field="6" count="1" selected="0">
            <x v="1"/>
          </reference>
          <reference field="7" count="1">
            <x v="1"/>
          </reference>
        </references>
      </pivotArea>
    </format>
    <format dxfId="261">
      <pivotArea dataOnly="0" labelOnly="1" outline="0" fieldPosition="0">
        <references count="6">
          <reference field="0" count="1" selected="0">
            <x v="90"/>
          </reference>
          <reference field="1" count="1" selected="0">
            <x v="7"/>
          </reference>
          <reference field="2" count="1" selected="0">
            <x v="0"/>
          </reference>
          <reference field="3" count="1" selected="0">
            <x v="63"/>
          </reference>
          <reference field="6" count="1" selected="0">
            <x v="0"/>
          </reference>
          <reference field="7" count="1">
            <x v="0"/>
          </reference>
        </references>
      </pivotArea>
    </format>
    <format dxfId="260">
      <pivotArea dataOnly="0" labelOnly="1" outline="0" fieldPosition="0">
        <references count="6">
          <reference field="0" count="1" selected="0">
            <x v="91"/>
          </reference>
          <reference field="1" count="1" selected="0">
            <x v="1"/>
          </reference>
          <reference field="2" count="1" selected="0">
            <x v="0"/>
          </reference>
          <reference field="3" count="1" selected="0">
            <x v="64"/>
          </reference>
          <reference field="6" count="1" selected="0">
            <x v="0"/>
          </reference>
          <reference field="7" count="1">
            <x v="0"/>
          </reference>
        </references>
      </pivotArea>
    </format>
    <format dxfId="259">
      <pivotArea dataOnly="0" labelOnly="1" outline="0" fieldPosition="0">
        <references count="6">
          <reference field="0" count="1" selected="0">
            <x v="96"/>
          </reference>
          <reference field="1" count="1" selected="0">
            <x v="18"/>
          </reference>
          <reference field="2" count="1" selected="0">
            <x v="0"/>
          </reference>
          <reference field="3" count="1" selected="0">
            <x v="69"/>
          </reference>
          <reference field="6" count="1" selected="0">
            <x v="0"/>
          </reference>
          <reference field="7" count="1">
            <x v="0"/>
          </reference>
        </references>
      </pivotArea>
    </format>
    <format dxfId="258">
      <pivotArea dataOnly="0" labelOnly="1" outline="0" fieldPosition="0">
        <references count="6">
          <reference field="0" count="1" selected="0">
            <x v="97"/>
          </reference>
          <reference field="1" count="1" selected="0">
            <x v="7"/>
          </reference>
          <reference field="2" count="1" selected="0">
            <x v="0"/>
          </reference>
          <reference field="3" count="1" selected="0">
            <x v="14"/>
          </reference>
          <reference field="6" count="1" selected="0">
            <x v="0"/>
          </reference>
          <reference field="7" count="1">
            <x v="0"/>
          </reference>
        </references>
      </pivotArea>
    </format>
    <format dxfId="257">
      <pivotArea dataOnly="0" labelOnly="1" outline="0" fieldPosition="0">
        <references count="6">
          <reference field="0" count="1" selected="0">
            <x v="98"/>
          </reference>
          <reference field="1" count="1" selected="0">
            <x v="6"/>
          </reference>
          <reference field="2" count="1" selected="0">
            <x v="0"/>
          </reference>
          <reference field="3" count="1" selected="0">
            <x v="51"/>
          </reference>
          <reference field="6" count="1" selected="0">
            <x v="0"/>
          </reference>
          <reference field="7" count="1">
            <x v="0"/>
          </reference>
        </references>
      </pivotArea>
    </format>
    <format dxfId="256">
      <pivotArea dataOnly="0" labelOnly="1" outline="0" fieldPosition="0">
        <references count="6">
          <reference field="0" count="1" selected="0">
            <x v="100"/>
          </reference>
          <reference field="1" count="1" selected="0">
            <x v="7"/>
          </reference>
          <reference field="2" count="1" selected="0">
            <x v="0"/>
          </reference>
          <reference field="3" count="1" selected="0">
            <x v="25"/>
          </reference>
          <reference field="6" count="1" selected="0">
            <x v="0"/>
          </reference>
          <reference field="7" count="1">
            <x v="0"/>
          </reference>
        </references>
      </pivotArea>
    </format>
    <format dxfId="255">
      <pivotArea dataOnly="0" labelOnly="1" outline="0" fieldPosition="0">
        <references count="6">
          <reference field="0" count="1" selected="0">
            <x v="101"/>
          </reference>
          <reference field="1" count="1" selected="0">
            <x v="9"/>
          </reference>
          <reference field="2" count="1" selected="0">
            <x v="1"/>
          </reference>
          <reference field="3" count="1" selected="0">
            <x v="27"/>
          </reference>
          <reference field="6" count="1" selected="0">
            <x v="1"/>
          </reference>
          <reference field="7" count="1">
            <x v="1"/>
          </reference>
        </references>
      </pivotArea>
    </format>
    <format dxfId="254">
      <pivotArea dataOnly="0" labelOnly="1" outline="0" fieldPosition="0">
        <references count="6">
          <reference field="0" count="1" selected="0">
            <x v="102"/>
          </reference>
          <reference field="1" count="1" selected="0">
            <x v="6"/>
          </reference>
          <reference field="2" count="1" selected="0">
            <x v="0"/>
          </reference>
          <reference field="3" count="1" selected="0">
            <x v="70"/>
          </reference>
          <reference field="6" count="1" selected="0">
            <x v="0"/>
          </reference>
          <reference field="7" count="1">
            <x v="0"/>
          </reference>
        </references>
      </pivotArea>
    </format>
    <format dxfId="253">
      <pivotArea dataOnly="0" labelOnly="1" outline="0" fieldPosition="0">
        <references count="6">
          <reference field="0" count="1" selected="0">
            <x v="103"/>
          </reference>
          <reference field="1" count="1" selected="0">
            <x v="19"/>
          </reference>
          <reference field="2" count="1" selected="0">
            <x v="0"/>
          </reference>
          <reference field="3" count="1" selected="0">
            <x v="71"/>
          </reference>
          <reference field="6" count="1" selected="0">
            <x v="1"/>
          </reference>
          <reference field="7" count="1">
            <x v="1"/>
          </reference>
        </references>
      </pivotArea>
    </format>
    <format dxfId="252">
      <pivotArea dataOnly="0" labelOnly="1" outline="0" fieldPosition="0">
        <references count="6">
          <reference field="0" count="1" selected="0">
            <x v="108"/>
          </reference>
          <reference field="1" count="1" selected="0">
            <x v="7"/>
          </reference>
          <reference field="2" count="1" selected="0">
            <x v="0"/>
          </reference>
          <reference field="3" count="1" selected="0">
            <x v="19"/>
          </reference>
          <reference field="6" count="1" selected="0">
            <x v="0"/>
          </reference>
          <reference field="7" count="1">
            <x v="0"/>
          </reference>
        </references>
      </pivotArea>
    </format>
    <format dxfId="251">
      <pivotArea dataOnly="0" labelOnly="1" outline="0" fieldPosition="0">
        <references count="1">
          <reference field="7" count="0"/>
        </references>
      </pivotArea>
    </format>
    <format dxfId="250">
      <pivotArea dataOnly="0" labelOnly="1" outline="0" fieldPosition="0">
        <references count="1">
          <reference field="7" count="0"/>
        </references>
      </pivotArea>
    </format>
    <format dxfId="249">
      <pivotArea outline="0" fieldPosition="0">
        <references count="7">
          <reference field="4294967294" count="1" selected="0">
            <x v="1"/>
          </reference>
          <reference field="0" count="0" selected="0"/>
          <reference field="1" count="0" selected="0"/>
          <reference field="2" count="0" selected="0"/>
          <reference field="3" count="0" selected="0"/>
          <reference field="6" count="0" selected="0"/>
          <reference field="7" count="0" selected="0"/>
        </references>
      </pivotArea>
    </format>
    <format dxfId="248">
      <pivotArea outline="0" fieldPosition="0">
        <references count="7">
          <reference field="4294967294" count="1" selected="0">
            <x v="1"/>
          </reference>
          <reference field="0" count="0" selected="0"/>
          <reference field="1" count="0" selected="0"/>
          <reference field="2" count="0" selected="0"/>
          <reference field="3" count="0" selected="0"/>
          <reference field="6" count="0" selected="0"/>
          <reference field="7" count="0" selected="0"/>
        </references>
      </pivotArea>
    </format>
    <format dxfId="247">
      <pivotArea outline="0" fieldPosition="0">
        <references count="7">
          <reference field="4294967294" count="1" selected="0">
            <x v="1"/>
          </reference>
          <reference field="0" count="0" selected="0"/>
          <reference field="1" count="0" selected="0"/>
          <reference field="2" count="0" selected="0"/>
          <reference field="3" count="0" selected="0"/>
          <reference field="6" count="0" selected="0"/>
          <reference field="7" count="0" selected="0"/>
        </references>
      </pivotArea>
    </format>
    <format dxfId="246">
      <pivotArea outline="0" fieldPosition="0">
        <references count="7">
          <reference field="4294967294" count="1" selected="0">
            <x v="1"/>
          </reference>
          <reference field="0" count="12" selected="0">
            <x v="7"/>
            <x v="62"/>
            <x v="75"/>
            <x v="88"/>
            <x v="92"/>
            <x v="93"/>
            <x v="94"/>
            <x v="95"/>
            <x v="110"/>
            <x v="111"/>
            <x v="112"/>
            <x v="115"/>
          </reference>
          <reference field="1" count="5" selected="0">
            <x v="0"/>
            <x v="1"/>
            <x v="5"/>
            <x v="6"/>
            <x v="17"/>
          </reference>
          <reference field="2" count="2" selected="0">
            <x v="0"/>
            <x v="1"/>
          </reference>
          <reference field="3" count="12" selected="0">
            <x v="0"/>
            <x v="8"/>
            <x v="42"/>
            <x v="52"/>
            <x v="58"/>
            <x v="62"/>
            <x v="65"/>
            <x v="66"/>
            <x v="67"/>
            <x v="68"/>
            <x v="74"/>
            <x v="75"/>
          </reference>
          <reference field="6" count="1" selected="0">
            <x v="2"/>
          </reference>
          <reference field="7" count="1" selected="0">
            <x v="0"/>
          </reference>
        </references>
      </pivotArea>
    </format>
    <format dxfId="245">
      <pivotArea outline="0" fieldPosition="0">
        <references count="6">
          <reference field="0" count="2" selected="0">
            <x v="12"/>
            <x v="13"/>
          </reference>
          <reference field="1" count="2" selected="0">
            <x v="3"/>
            <x v="4"/>
          </reference>
          <reference field="2" count="1" selected="0">
            <x v="0"/>
          </reference>
          <reference field="3" count="2" selected="0">
            <x v="3"/>
            <x v="4"/>
          </reference>
          <reference field="6" count="1" selected="0">
            <x v="1"/>
          </reference>
          <reference field="7" count="1" selected="0">
            <x v="0"/>
          </reference>
        </references>
      </pivotArea>
    </format>
    <format dxfId="244">
      <pivotArea dataOnly="0" labelOnly="1" outline="0" fieldPosition="0">
        <references count="2">
          <reference field="0" count="1" selected="0">
            <x v="12"/>
          </reference>
          <reference field="1" count="1">
            <x v="3"/>
          </reference>
        </references>
      </pivotArea>
    </format>
    <format dxfId="243">
      <pivotArea dataOnly="0" labelOnly="1" outline="0" fieldPosition="0">
        <references count="2">
          <reference field="0" count="1" selected="0">
            <x v="13"/>
          </reference>
          <reference field="1" count="1">
            <x v="4"/>
          </reference>
        </references>
      </pivotArea>
    </format>
    <format dxfId="242">
      <pivotArea dataOnly="0" labelOnly="1" outline="0" fieldPosition="0">
        <references count="3">
          <reference field="0" count="1" selected="0">
            <x v="12"/>
          </reference>
          <reference field="1" count="1" selected="0">
            <x v="3"/>
          </reference>
          <reference field="3" count="1">
            <x v="3"/>
          </reference>
        </references>
      </pivotArea>
    </format>
    <format dxfId="241">
      <pivotArea dataOnly="0" labelOnly="1" outline="0" fieldPosition="0">
        <references count="3">
          <reference field="0" count="1" selected="0">
            <x v="13"/>
          </reference>
          <reference field="1" count="1" selected="0">
            <x v="4"/>
          </reference>
          <reference field="3" count="1">
            <x v="4"/>
          </reference>
        </references>
      </pivotArea>
    </format>
    <format dxfId="240">
      <pivotArea outline="0" fieldPosition="0">
        <references count="6">
          <reference field="0" count="1" selected="0">
            <x v="45"/>
          </reference>
          <reference field="1" count="1" selected="0">
            <x v="7"/>
          </reference>
          <reference field="2" count="1" selected="0">
            <x v="1"/>
          </reference>
          <reference field="3" count="1" selected="0">
            <x v="13"/>
          </reference>
          <reference field="6" count="1" selected="0">
            <x v="1"/>
          </reference>
          <reference field="7" count="1" selected="0">
            <x v="1"/>
          </reference>
        </references>
      </pivotArea>
    </format>
    <format dxfId="239">
      <pivotArea dataOnly="0" labelOnly="1" outline="0" fieldPosition="0">
        <references count="1">
          <reference field="0" count="1">
            <x v="45"/>
          </reference>
        </references>
      </pivotArea>
    </format>
    <format dxfId="238">
      <pivotArea outline="0" fieldPosition="0">
        <references count="6">
          <reference field="0" count="1" selected="0">
            <x v="47"/>
          </reference>
          <reference field="1" count="1" selected="0">
            <x v="7"/>
          </reference>
          <reference field="2" count="1" selected="0">
            <x v="0"/>
          </reference>
          <reference field="3" count="1" selected="0">
            <x v="29"/>
          </reference>
          <reference field="6" count="1" selected="0">
            <x v="1"/>
          </reference>
          <reference field="7" count="1" selected="0">
            <x v="1"/>
          </reference>
        </references>
      </pivotArea>
    </format>
    <format dxfId="237">
      <pivotArea dataOnly="0" labelOnly="1" outline="0" fieldPosition="0">
        <references count="1">
          <reference field="0" count="1">
            <x v="47"/>
          </reference>
        </references>
      </pivotArea>
    </format>
  </formats>
  <pivotHierarchies count="10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Sum of Total Berat _x000a_(Kg)"/>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Medium18" showRowHeaders="1" showColHeaders="1" showRowStripes="0" showColStripes="0" showLastColumn="1"/>
  <rowHierarchiesUsage count="6">
    <rowHierarchyUsage hierarchyUsage="13"/>
    <rowHierarchyUsage hierarchyUsage="14"/>
    <rowHierarchyUsage hierarchyUsage="16"/>
    <rowHierarchyUsage hierarchyUsage="15"/>
    <rowHierarchyUsage hierarchyUsage="21"/>
    <rowHierarchyUsage hierarchyUsage="2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ontrolled Project 2023_by Jonal.xlsx!Table2">
        <x15:activeTabTopLevelEntity name="[Table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7E988CA-92A5-4F01-BEFF-8599FAC411EC}" name="PivotTable6" cacheId="8"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3">
  <location ref="B4:C27" firstHeaderRow="1" firstDataRow="1" firstDataCol="1"/>
  <pivotFields count="2">
    <pivotField axis="axisRow" allDrilled="1" subtotalTop="0" showAll="0" dataSourceSort="1" defaultSubtotal="0" defaultAttributeDrillState="1">
      <items count="22">
        <item x="0"/>
        <item x="1"/>
        <item x="2"/>
        <item x="3"/>
        <item x="4"/>
        <item x="5"/>
        <item x="6"/>
        <item x="7"/>
        <item x="8"/>
        <item x="9"/>
        <item x="10"/>
        <item x="11"/>
        <item x="12"/>
        <item x="13"/>
        <item x="14"/>
        <item x="15"/>
        <item x="16"/>
        <item x="17"/>
        <item x="18"/>
        <item x="19"/>
        <item x="20"/>
        <item x="21"/>
      </items>
    </pivotField>
    <pivotField dataField="1" subtotalTop="0" showAll="0" defaultSubtotal="0"/>
  </pivotFields>
  <rowFields count="1">
    <field x="0"/>
  </rowFields>
  <rowItems count="23">
    <i>
      <x/>
    </i>
    <i>
      <x v="1"/>
    </i>
    <i>
      <x v="2"/>
    </i>
    <i>
      <x v="3"/>
    </i>
    <i>
      <x v="4"/>
    </i>
    <i>
      <x v="5"/>
    </i>
    <i>
      <x v="6"/>
    </i>
    <i>
      <x v="7"/>
    </i>
    <i>
      <x v="8"/>
    </i>
    <i>
      <x v="9"/>
    </i>
    <i>
      <x v="10"/>
    </i>
    <i>
      <x v="11"/>
    </i>
    <i>
      <x v="12"/>
    </i>
    <i>
      <x v="13"/>
    </i>
    <i>
      <x v="14"/>
    </i>
    <i>
      <x v="15"/>
    </i>
    <i>
      <x v="16"/>
    </i>
    <i>
      <x v="17"/>
    </i>
    <i>
      <x v="18"/>
    </i>
    <i>
      <x v="19"/>
    </i>
    <i>
      <x v="20"/>
    </i>
    <i>
      <x v="21"/>
    </i>
    <i t="grand">
      <x/>
    </i>
  </rowItems>
  <colItems count="1">
    <i/>
  </colItems>
  <dataFields count="1">
    <dataField name="Sum of Total Berat (Kg)" fld="1" baseField="0" baseItem="0" numFmtId="165"/>
  </dataFields>
  <formats count="3">
    <format dxfId="214">
      <pivotArea dataOnly="0" outline="0" axis="axisValues" fieldPosition="0"/>
    </format>
    <format dxfId="213">
      <pivotArea outline="0" collapsedLevelsAreSubtotals="1" fieldPosition="0"/>
    </format>
    <format dxfId="212">
      <pivotArea dataOnly="0" labelOnly="1" outline="0" axis="axisValues" fieldPosition="0"/>
    </format>
  </formats>
  <chartFormats count="1">
    <chartFormat chart="2" format="2" series="1">
      <pivotArea type="data" outline="0" fieldPosition="0">
        <references count="1">
          <reference field="4294967294" count="1" selected="0">
            <x v="0"/>
          </reference>
        </references>
      </pivotArea>
    </chartFormat>
  </chartFormats>
  <pivotHierarchies count="10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ontrolled Project 2023_by Jonal.xlsx!Table2">
        <x15:activeTabTopLevelEntity name="[Table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F31B169-43E5-4A80-9C41-4AC4983ECC1D}" name="PivotTable8" cacheId="11"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8">
  <location ref="B32:C36" firstHeaderRow="1" firstDataRow="1" firstDataCol="1"/>
  <pivotFields count="2">
    <pivotField axis="axisRow" allDrilled="1" subtotalTop="0" showAll="0" dataSourceSort="1" defaultSubtotal="0" defaultAttributeDrillState="1">
      <items count="3">
        <item x="0"/>
        <item x="1"/>
        <item x="2"/>
      </items>
    </pivotField>
    <pivotField dataField="1" subtotalTop="0" showAll="0" defaultSubtotal="0"/>
  </pivotFields>
  <rowFields count="1">
    <field x="0"/>
  </rowFields>
  <rowItems count="4">
    <i>
      <x/>
    </i>
    <i>
      <x v="1"/>
    </i>
    <i>
      <x v="2"/>
    </i>
    <i t="grand">
      <x/>
    </i>
  </rowItems>
  <colItems count="1">
    <i/>
  </colItems>
  <dataFields count="1">
    <dataField name="Sum of Total Berat (Kg)" fld="1" baseField="0" baseItem="0"/>
  </dataFields>
  <formats count="3">
    <format dxfId="217">
      <pivotArea dataOnly="0" outline="0" axis="axisValues" fieldPosition="0"/>
    </format>
    <format dxfId="216">
      <pivotArea outline="0" collapsedLevelsAreSubtotals="1" fieldPosition="0"/>
    </format>
    <format dxfId="215">
      <pivotArea dataOnly="0" labelOnly="1" outline="0" axis="axisValues" fieldPosition="0"/>
    </format>
  </formats>
  <chartFormats count="4">
    <chartFormat chart="4" format="8" series="1">
      <pivotArea type="data" outline="0" fieldPosition="0">
        <references count="1">
          <reference field="4294967294" count="1" selected="0">
            <x v="0"/>
          </reference>
        </references>
      </pivotArea>
    </chartFormat>
    <chartFormat chart="4" format="9">
      <pivotArea type="data" outline="0" fieldPosition="0">
        <references count="2">
          <reference field="4294967294" count="1" selected="0">
            <x v="0"/>
          </reference>
          <reference field="0" count="1" selected="0">
            <x v="0"/>
          </reference>
        </references>
      </pivotArea>
    </chartFormat>
    <chartFormat chart="4" format="10">
      <pivotArea type="data" outline="0" fieldPosition="0">
        <references count="2">
          <reference field="4294967294" count="1" selected="0">
            <x v="0"/>
          </reference>
          <reference field="0" count="1" selected="0">
            <x v="1"/>
          </reference>
        </references>
      </pivotArea>
    </chartFormat>
    <chartFormat chart="4" format="11">
      <pivotArea type="data" outline="0" fieldPosition="0">
        <references count="2">
          <reference field="4294967294" count="1" selected="0">
            <x v="0"/>
          </reference>
          <reference field="0" count="1" selected="0">
            <x v="2"/>
          </reference>
        </references>
      </pivotArea>
    </chartFormat>
  </chartFormats>
  <pivotHierarchies count="10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ontrolled Project 2023_by Jonal.xlsx!Table2">
        <x15:activeTabTopLevelEntity name="[Table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B5ADDFF-6591-421D-9563-B9050B2341B7}" name="PivotTable2" cacheId="12" applyNumberFormats="0" applyBorderFormats="0" applyFontFormats="0" applyPatternFormats="0" applyAlignmentFormats="0" applyWidthHeightFormats="1" dataCaption="Values" updatedVersion="8" minRefreshableVersion="3" useAutoFormatting="1" subtotalHiddenItems="1" rowGrandTotals="0" itemPrintTitles="1" createdVersion="8" indent="0" compact="0" compactData="0" multipleFieldFilters="0" chartFormat="3">
  <location ref="F24:I98" firstHeaderRow="1" firstDataRow="1" firstDataCol="3"/>
  <pivotFields count="4">
    <pivotField dataField="1" compact="0" outline="0" showAll="0" defaultSubtotal="0">
      <extLst>
        <ext xmlns:x14="http://schemas.microsoft.com/office/spreadsheetml/2009/9/main" uri="{2946ED86-A175-432a-8AC1-64E0C546D7DE}">
          <x14:pivotField fillDownLabels="1"/>
        </ext>
      </extLst>
    </pivotField>
    <pivotField axis="axisRow" compact="0" allDrilled="1" outline="0" showAll="0" dataSourceSort="1" defaultSubtotal="0" defaultAttributeDrillState="1">
      <items count="6">
        <item x="0" e="0"/>
        <item x="1" e="0"/>
        <item x="2" e="0"/>
        <item x="3"/>
        <item x="4"/>
        <item x="5"/>
      </items>
      <extLst>
        <ext xmlns:x14="http://schemas.microsoft.com/office/spreadsheetml/2009/9/main" uri="{2946ED86-A175-432a-8AC1-64E0C546D7DE}">
          <x14:pivotField fillDownLabels="1"/>
        </ext>
      </extLst>
    </pivotField>
    <pivotField axis="axisRow" compact="0" allDrilled="1" outline="0" showAll="0" dataSourceSort="1" defaultSubtotal="0" defaultAttributeDrillState="1">
      <items count="5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s>
      <extLst>
        <ext xmlns:x14="http://schemas.microsoft.com/office/spreadsheetml/2009/9/main" uri="{2946ED86-A175-432a-8AC1-64E0C546D7DE}">
          <x14:pivotField fillDownLabels="1"/>
        </ext>
      </extLst>
    </pivotField>
    <pivotField axis="axisRow" compact="0" allDrilled="1" outline="0" showAll="0" dataSourceSort="1" defaultSubtotal="0" defaultAttributeDrillState="1">
      <items count="5">
        <item x="0"/>
        <item x="1"/>
        <item x="2"/>
        <item x="3"/>
        <item x="4"/>
      </items>
      <extLst>
        <ext xmlns:x14="http://schemas.microsoft.com/office/spreadsheetml/2009/9/main" uri="{2946ED86-A175-432a-8AC1-64E0C546D7DE}">
          <x14:pivotField fillDownLabels="1"/>
        </ext>
      </extLst>
    </pivotField>
  </pivotFields>
  <rowFields count="3">
    <field x="1"/>
    <field x="2"/>
    <field x="3"/>
  </rowFields>
  <rowItems count="74">
    <i>
      <x/>
    </i>
    <i>
      <x v="1"/>
    </i>
    <i>
      <x v="2"/>
    </i>
    <i>
      <x v="3"/>
      <x/>
      <x/>
    </i>
    <i r="2">
      <x v="1"/>
    </i>
    <i r="2">
      <x v="2"/>
    </i>
    <i r="1">
      <x v="1"/>
      <x v="2"/>
    </i>
    <i r="1">
      <x v="2"/>
      <x/>
    </i>
    <i r="1">
      <x v="3"/>
      <x/>
    </i>
    <i r="1">
      <x v="4"/>
      <x/>
    </i>
    <i r="1">
      <x v="5"/>
      <x/>
    </i>
    <i r="1">
      <x v="6"/>
      <x v="1"/>
    </i>
    <i r="1">
      <x v="7"/>
      <x/>
    </i>
    <i r="2">
      <x v="1"/>
    </i>
    <i r="1">
      <x v="8"/>
      <x/>
    </i>
    <i r="2">
      <x v="1"/>
    </i>
    <i r="1">
      <x v="9"/>
      <x/>
    </i>
    <i r="1">
      <x v="10"/>
      <x/>
    </i>
    <i r="1">
      <x v="11"/>
      <x/>
    </i>
    <i r="1">
      <x v="12"/>
      <x/>
    </i>
    <i r="2">
      <x v="2"/>
    </i>
    <i r="1">
      <x v="13"/>
      <x/>
    </i>
    <i r="1">
      <x v="14"/>
      <x/>
    </i>
    <i r="1">
      <x v="15"/>
      <x/>
    </i>
    <i r="1">
      <x v="16"/>
      <x/>
    </i>
    <i r="1">
      <x v="17"/>
      <x/>
    </i>
    <i r="1">
      <x v="18"/>
      <x v="1"/>
    </i>
    <i r="1">
      <x v="19"/>
      <x v="2"/>
    </i>
    <i r="1">
      <x v="20"/>
      <x v="1"/>
    </i>
    <i r="1">
      <x v="21"/>
      <x/>
    </i>
    <i r="1">
      <x v="22"/>
      <x/>
    </i>
    <i r="1">
      <x v="23"/>
      <x/>
    </i>
    <i r="1">
      <x v="24"/>
      <x/>
    </i>
    <i r="1">
      <x v="25"/>
      <x/>
    </i>
    <i r="1">
      <x v="26"/>
      <x/>
    </i>
    <i r="1">
      <x v="27"/>
      <x/>
    </i>
    <i r="1">
      <x v="28"/>
      <x/>
    </i>
    <i r="1">
      <x v="29"/>
      <x/>
    </i>
    <i r="1">
      <x v="30"/>
      <x/>
    </i>
    <i r="1">
      <x v="31"/>
      <x/>
    </i>
    <i r="1">
      <x v="32"/>
      <x/>
    </i>
    <i r="1">
      <x v="33"/>
      <x/>
    </i>
    <i r="1">
      <x v="34"/>
      <x v="3"/>
    </i>
    <i r="1">
      <x v="35"/>
      <x v="2"/>
    </i>
    <i r="1">
      <x v="36"/>
      <x/>
    </i>
    <i r="1">
      <x v="37"/>
      <x/>
    </i>
    <i r="1">
      <x v="38"/>
      <x/>
    </i>
    <i r="1">
      <x v="39"/>
      <x/>
    </i>
    <i r="1">
      <x v="40"/>
      <x/>
    </i>
    <i r="1">
      <x v="41"/>
      <x/>
    </i>
    <i r="1">
      <x v="42"/>
      <x/>
    </i>
    <i r="1">
      <x v="43"/>
      <x v="1"/>
    </i>
    <i r="1">
      <x v="44"/>
      <x/>
    </i>
    <i r="1">
      <x v="45"/>
      <x/>
    </i>
    <i r="1">
      <x v="46"/>
      <x/>
    </i>
    <i r="1">
      <x v="47"/>
      <x/>
    </i>
    <i r="1">
      <x v="48"/>
      <x/>
    </i>
    <i r="1">
      <x v="49"/>
      <x v="1"/>
    </i>
    <i r="1">
      <x v="50"/>
      <x/>
    </i>
    <i r="1">
      <x v="51"/>
      <x/>
    </i>
    <i r="1">
      <x v="52"/>
      <x/>
    </i>
    <i r="1">
      <x v="53"/>
      <x/>
    </i>
    <i>
      <x v="4"/>
      <x v="54"/>
      <x/>
    </i>
    <i>
      <x v="5"/>
      <x v="12"/>
      <x/>
    </i>
    <i r="2">
      <x v="1"/>
    </i>
    <i r="1">
      <x v="14"/>
      <x/>
    </i>
    <i r="2">
      <x v="1"/>
    </i>
    <i r="1">
      <x v="15"/>
      <x/>
    </i>
    <i r="2">
      <x v="1"/>
    </i>
    <i r="1">
      <x v="55"/>
      <x/>
    </i>
    <i r="1">
      <x v="56"/>
      <x/>
    </i>
    <i r="1">
      <x v="57"/>
      <x/>
    </i>
    <i r="1">
      <x v="43"/>
      <x v="4"/>
    </i>
    <i r="1">
      <x v="58"/>
      <x/>
    </i>
  </rowItems>
  <colItems count="1">
    <i/>
  </colItems>
  <dataFields count="1">
    <dataField name="Sum of Total Berat (Kg)" fld="0" baseField="0" baseItem="0" numFmtId="165"/>
  </dataFields>
  <formats count="13">
    <format dxfId="230">
      <pivotArea dataOnly="0" outline="0" axis="axisValues" fieldPosition="0"/>
    </format>
    <format dxfId="229">
      <pivotArea outline="0" collapsedLevelsAreSubtotals="1" fieldPosition="0"/>
    </format>
    <format dxfId="228">
      <pivotArea dataOnly="0" labelOnly="1" outline="0" axis="axisValues" fieldPosition="0"/>
    </format>
    <format dxfId="227">
      <pivotArea collapsedLevelsAreSubtotals="1" fieldPosition="0">
        <references count="1">
          <reference field="1" count="1">
            <x v="3"/>
          </reference>
        </references>
      </pivotArea>
    </format>
    <format dxfId="226">
      <pivotArea dataOnly="0" labelOnly="1" fieldPosition="0">
        <references count="1">
          <reference field="1" count="1">
            <x v="3"/>
          </reference>
        </references>
      </pivotArea>
    </format>
    <format dxfId="225">
      <pivotArea collapsedLevelsAreSubtotals="1" fieldPosition="0">
        <references count="1">
          <reference field="1" count="1">
            <x v="5"/>
          </reference>
        </references>
      </pivotArea>
    </format>
    <format dxfId="224">
      <pivotArea dataOnly="0" labelOnly="1" fieldPosition="0">
        <references count="1">
          <reference field="1" count="1">
            <x v="5"/>
          </reference>
        </references>
      </pivotArea>
    </format>
    <format dxfId="223">
      <pivotArea collapsedLevelsAreSubtotals="1" fieldPosition="0">
        <references count="1">
          <reference field="1" count="1">
            <x v="5"/>
          </reference>
        </references>
      </pivotArea>
    </format>
    <format dxfId="222">
      <pivotArea collapsedLevelsAreSubtotals="1" fieldPosition="0">
        <references count="1">
          <reference field="1" count="1">
            <x v="3"/>
          </reference>
        </references>
      </pivotArea>
    </format>
    <format dxfId="221">
      <pivotArea collapsedLevelsAreSubtotals="1" fieldPosition="0">
        <references count="1">
          <reference field="1" count="1">
            <x v="3"/>
          </reference>
        </references>
      </pivotArea>
    </format>
    <format dxfId="220">
      <pivotArea collapsedLevelsAreSubtotals="1" fieldPosition="0">
        <references count="1">
          <reference field="1" count="1">
            <x v="5"/>
          </reference>
        </references>
      </pivotArea>
    </format>
    <format dxfId="219">
      <pivotArea field="2" type="button" dataOnly="0" labelOnly="1" outline="0" axis="axisRow" fieldPosition="1"/>
    </format>
    <format dxfId="218">
      <pivotArea field="2" type="button" dataOnly="0" labelOnly="1" outline="0" axis="axisRow" fieldPosition="1"/>
    </format>
  </formats>
  <chartFormats count="1">
    <chartFormat chart="2" format="2" series="1">
      <pivotArea type="data" outline="0" fieldPosition="0">
        <references count="1">
          <reference field="4294967294" count="1" selected="0">
            <x v="0"/>
          </reference>
        </references>
      </pivotArea>
    </chartFormat>
  </chartFormats>
  <pivotHierarchies count="10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3">
    <rowHierarchyUsage hierarchyUsage="22"/>
    <rowHierarchyUsage hierarchyUsage="16"/>
    <rowHierarchyUsage hierarchyUsage="15"/>
  </rowHierarchiesUsage>
  <extLst>
    <ext xmlns:x14="http://schemas.microsoft.com/office/spreadsheetml/2009/9/main" uri="{962EF5D1-5CA2-4c93-8EF4-DBF5C05439D2}">
      <x14:pivotTableDefinition xmlns:xm="http://schemas.microsoft.com/office/excel/2006/main" fillDownLabelsDefault="1" calculatedMembersInFilters="1" hideValuesRow="1"/>
    </ext>
    <ext xmlns:x15="http://schemas.microsoft.com/office/spreadsheetml/2010/11/main" uri="{E67621CE-5B39-4880-91FE-76760E9C1902}">
      <x15:pivotTableUISettings sourceDataName="WorksheetConnection_Controlled Project 2023_by Jonal.xlsx!Table2">
        <x15:activeTabTopLevelEntity name="[Table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2BE6D79-FED5-4987-8AE4-15AB93B8C82D}" name="PivotTable1" cacheId="10"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23">
  <location ref="F15:G22" firstHeaderRow="1" firstDataRow="1" firstDataCol="1"/>
  <pivotFields count="2">
    <pivotField axis="axisRow" allDrilled="1" subtotalTop="0" showAll="0" dataSourceSort="1" defaultSubtotal="0" defaultAttributeDrillState="1">
      <items count="6">
        <item x="0"/>
        <item x="1"/>
        <item x="2"/>
        <item x="3"/>
        <item x="4"/>
        <item x="5"/>
      </items>
    </pivotField>
    <pivotField dataField="1" subtotalTop="0" showAll="0" defaultSubtotal="0"/>
  </pivotFields>
  <rowFields count="1">
    <field x="0"/>
  </rowFields>
  <rowItems count="7">
    <i>
      <x/>
    </i>
    <i>
      <x v="1"/>
    </i>
    <i>
      <x v="2"/>
    </i>
    <i>
      <x v="3"/>
    </i>
    <i>
      <x v="4"/>
    </i>
    <i>
      <x v="5"/>
    </i>
    <i t="grand">
      <x/>
    </i>
  </rowItems>
  <colItems count="1">
    <i/>
  </colItems>
  <dataFields count="1">
    <dataField name="Sum of Total Berat (Kg)" fld="1" showDataAs="percentOfTotal" baseField="0" baseItem="0" numFmtId="9"/>
  </dataFields>
  <formats count="3">
    <format dxfId="233">
      <pivotArea dataOnly="0" outline="0" axis="axisValues" fieldPosition="0"/>
    </format>
    <format dxfId="232">
      <pivotArea outline="0" collapsedLevelsAreSubtotals="1" fieldPosition="0"/>
    </format>
    <format dxfId="231">
      <pivotArea dataOnly="0" labelOnly="1" outline="0" axis="axisValues" fieldPosition="0"/>
    </format>
  </formats>
  <chartFormats count="4">
    <chartFormat chart="11" format="6" series="1">
      <pivotArea type="data" outline="0" fieldPosition="0">
        <references count="1">
          <reference field="4294967294" count="1" selected="0">
            <x v="0"/>
          </reference>
        </references>
      </pivotArea>
    </chartFormat>
    <chartFormat chart="13" format="6" series="1">
      <pivotArea type="data" outline="0" fieldPosition="0">
        <references count="1">
          <reference field="4294967294" count="1" selected="0">
            <x v="0"/>
          </reference>
        </references>
      </pivotArea>
    </chartFormat>
    <chartFormat chart="15" format="8" series="1">
      <pivotArea type="data" outline="0" fieldPosition="0">
        <references count="1">
          <reference field="4294967294" count="1" selected="0">
            <x v="0"/>
          </reference>
        </references>
      </pivotArea>
    </chartFormat>
    <chartFormat chart="5" format="31" series="1">
      <pivotArea type="data" outline="0" fieldPosition="0">
        <references count="1">
          <reference field="4294967294" count="1" selected="0">
            <x v="0"/>
          </reference>
        </references>
      </pivotArea>
    </chartFormat>
  </chartFormats>
  <pivotHierarchies count="10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Sum of Total Berat (Kg)"/>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Total Berat (Kg)"/>
    <pivotHierarchy dragToData="1" caption="Count of Total Berat (Kg)"/>
  </pivotHierarchies>
  <pivotTableStyleInfo name="PivotStyleLight16" showRowHeaders="1" showColHeaders="1" showRowStripes="0" showColStripes="0" showLastColumn="1"/>
  <rowHierarchiesUsage count="1">
    <rowHierarchyUsage hierarchyUsage="2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ontrolled Project 2023_by Jonal.xlsx!Table2">
        <x15:activeTabTopLevelEntity name="[Table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E49D0B7-692C-4E18-A28D-0B3907D9B6D2}" name="PivotTable7" cacheId="9"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24">
  <location ref="F4:G8" firstHeaderRow="1" firstDataRow="1" firstDataCol="1"/>
  <pivotFields count="2">
    <pivotField axis="axisRow" allDrilled="1" subtotalTop="0" showAll="0" dataSourceSort="1" defaultSubtotal="0" defaultAttributeDrillState="1">
      <items count="3">
        <item x="0"/>
        <item x="1"/>
        <item x="2"/>
      </items>
    </pivotField>
    <pivotField dataField="1" subtotalTop="0" showAll="0" defaultSubtotal="0"/>
  </pivotFields>
  <rowFields count="1">
    <field x="0"/>
  </rowFields>
  <rowItems count="4">
    <i>
      <x/>
    </i>
    <i>
      <x v="1"/>
    </i>
    <i>
      <x v="2"/>
    </i>
    <i t="grand">
      <x/>
    </i>
  </rowItems>
  <colItems count="1">
    <i/>
  </colItems>
  <dataFields count="1">
    <dataField name="Count of Total Berat (Kg)" fld="1" subtotal="count" showDataAs="percentOfTotal" baseField="0" baseItem="0" numFmtId="9"/>
  </dataFields>
  <formats count="3">
    <format dxfId="236">
      <pivotArea dataOnly="0" outline="0" axis="axisValues" fieldPosition="0"/>
    </format>
    <format dxfId="235">
      <pivotArea outline="0" collapsedLevelsAreSubtotals="1" fieldPosition="0"/>
    </format>
    <format dxfId="234">
      <pivotArea dataOnly="0" labelOnly="1" outline="0" axis="axisValues" fieldPosition="0"/>
    </format>
  </formats>
  <chartFormats count="13">
    <chartFormat chart="11" format="6" series="1">
      <pivotArea type="data" outline="0" fieldPosition="0">
        <references count="1">
          <reference field="4294967294" count="1" selected="0">
            <x v="0"/>
          </reference>
        </references>
      </pivotArea>
    </chartFormat>
    <chartFormat chart="11" format="7">
      <pivotArea type="data" outline="0" fieldPosition="0">
        <references count="2">
          <reference field="4294967294" count="1" selected="0">
            <x v="0"/>
          </reference>
          <reference field="0" count="1" selected="0">
            <x v="0"/>
          </reference>
        </references>
      </pivotArea>
    </chartFormat>
    <chartFormat chart="11" format="8">
      <pivotArea type="data" outline="0" fieldPosition="0">
        <references count="2">
          <reference field="4294967294" count="1" selected="0">
            <x v="0"/>
          </reference>
          <reference field="0" count="1" selected="0">
            <x v="2"/>
          </reference>
        </references>
      </pivotArea>
    </chartFormat>
    <chartFormat chart="11" format="9">
      <pivotArea type="data" outline="0" fieldPosition="0">
        <references count="2">
          <reference field="4294967294" count="1" selected="0">
            <x v="0"/>
          </reference>
          <reference field="0" count="1" selected="0">
            <x v="1"/>
          </reference>
        </references>
      </pivotArea>
    </chartFormat>
    <chartFormat chart="13" format="6" series="1">
      <pivotArea type="data" outline="0" fieldPosition="0">
        <references count="1">
          <reference field="4294967294" count="1" selected="0">
            <x v="0"/>
          </reference>
        </references>
      </pivotArea>
    </chartFormat>
    <chartFormat chart="13" format="7">
      <pivotArea type="data" outline="0" fieldPosition="0">
        <references count="2">
          <reference field="4294967294" count="1" selected="0">
            <x v="0"/>
          </reference>
          <reference field="0" count="1" selected="0">
            <x v="0"/>
          </reference>
        </references>
      </pivotArea>
    </chartFormat>
    <chartFormat chart="13" format="8">
      <pivotArea type="data" outline="0" fieldPosition="0">
        <references count="2">
          <reference field="4294967294" count="1" selected="0">
            <x v="0"/>
          </reference>
          <reference field="0" count="1" selected="0">
            <x v="2"/>
          </reference>
        </references>
      </pivotArea>
    </chartFormat>
    <chartFormat chart="15" format="8" series="1">
      <pivotArea type="data" outline="0" fieldPosition="0">
        <references count="1">
          <reference field="4294967294" count="1" selected="0">
            <x v="0"/>
          </reference>
        </references>
      </pivotArea>
    </chartFormat>
    <chartFormat chart="15" format="9">
      <pivotArea type="data" outline="0" fieldPosition="0">
        <references count="2">
          <reference field="4294967294" count="1" selected="0">
            <x v="0"/>
          </reference>
          <reference field="0" count="1" selected="0">
            <x v="0"/>
          </reference>
        </references>
      </pivotArea>
    </chartFormat>
    <chartFormat chart="15" format="10">
      <pivotArea type="data" outline="0" fieldPosition="0">
        <references count="2">
          <reference field="4294967294" count="1" selected="0">
            <x v="0"/>
          </reference>
          <reference field="0" count="1" selected="0">
            <x v="1"/>
          </reference>
        </references>
      </pivotArea>
    </chartFormat>
    <chartFormat chart="15" format="11">
      <pivotArea type="data" outline="0" fieldPosition="0">
        <references count="2">
          <reference field="4294967294" count="1" selected="0">
            <x v="0"/>
          </reference>
          <reference field="0" count="1" selected="0">
            <x v="2"/>
          </reference>
        </references>
      </pivotArea>
    </chartFormat>
    <chartFormat chart="5" format="31" series="1">
      <pivotArea type="data" outline="0" fieldPosition="0">
        <references count="1">
          <reference field="4294967294" count="1" selected="0">
            <x v="0"/>
          </reference>
        </references>
      </pivotArea>
    </chartFormat>
    <chartFormat chart="5" format="32">
      <pivotArea type="data" outline="0" fieldPosition="0">
        <references count="2">
          <reference field="4294967294" count="1" selected="0">
            <x v="0"/>
          </reference>
          <reference field="0" count="1" selected="0">
            <x v="0"/>
          </reference>
        </references>
      </pivotArea>
    </chartFormat>
  </chartFormats>
  <pivotHierarchies count="10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Total Berat (Kg)"/>
    <pivotHierarchy dragToData="1" caption="Count of Total Berat (Kg)"/>
  </pivotHierarchies>
  <pivotTableStyleInfo name="PivotStyleLight16" showRowHeaders="1" showColHeaders="1" showRowStripes="0" showColStripes="0" showLastColumn="1"/>
  <rowHierarchiesUsage count="1">
    <rowHierarchyUsage hierarchyUsage="2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ontrolled Project 2023_by Jonal.xlsx!Table2">
        <x15:activeTabTopLevelEntity name="[Table2]"/>
      </x15:pivotTableUISettings>
    </ext>
    <ext xmlns:xpdl="http://schemas.microsoft.com/office/spreadsheetml/2016/pivotdefaultlayout" uri="{747A6164-185A-40DC-8AA5-F01512510D54}">
      <xpdl:pivotTableDefinition16 EnabledSubtotalsDefault="0" SubtotalsOnTopDefault="0"/>
    </ext>
  </extLst>
</pivotTableDefinition>
</file>

<file path=xl/richData/_rels/rdRichValueWebImage.xml.rels><?xml version="1.0" encoding="UTF-8" standalone="yes"?>
<Relationships xmlns="http://schemas.openxmlformats.org/package/2006/relationships"><Relationship Id="rId26" Type="http://schemas.openxmlformats.org/officeDocument/2006/relationships/hyperlink" Target="https://www.bing.com/images/search?form=xlimg&amp;q=Central%20Kalimantan" TargetMode="External"/><Relationship Id="rId21" Type="http://schemas.openxmlformats.org/officeDocument/2006/relationships/hyperlink" Target="https://www.bing.com/th?id=OSK.a02e8db9908c9b6bb3155f424f6c3e7c&amp;qlt=95" TargetMode="External"/><Relationship Id="rId42" Type="http://schemas.openxmlformats.org/officeDocument/2006/relationships/hyperlink" Target="https://www.bing.com/images/search?form=xlimg&amp;q=Banda%20Aceh" TargetMode="External"/><Relationship Id="rId47" Type="http://schemas.openxmlformats.org/officeDocument/2006/relationships/hyperlink" Target="https://www.bing.com/th?id=OSK.c2b481cd56850712d4e5a6a8ff19c07b&amp;qlt=95" TargetMode="External"/><Relationship Id="rId63" Type="http://schemas.openxmlformats.org/officeDocument/2006/relationships/hyperlink" Target="https://www.bing.com/th?id=OSK.66ddf09a84e05c5948a80f9a07320683&amp;qlt=95" TargetMode="External"/><Relationship Id="rId68" Type="http://schemas.openxmlformats.org/officeDocument/2006/relationships/hyperlink" Target="https://www.bing.com/images/search?form=xlimg&amp;q=Semarang" TargetMode="External"/><Relationship Id="rId16" Type="http://schemas.openxmlformats.org/officeDocument/2006/relationships/hyperlink" Target="https://www.bing.com/images/search?form=xlimg&amp;q=Samarinda" TargetMode="External"/><Relationship Id="rId11" Type="http://schemas.openxmlformats.org/officeDocument/2006/relationships/hyperlink" Target="https://www.bing.com/th?id=OSK.ff8beede0262b4a0e3b7ba0aea229be8&amp;qlt=95" TargetMode="External"/><Relationship Id="rId24" Type="http://schemas.openxmlformats.org/officeDocument/2006/relationships/hyperlink" Target="https://www.bing.com/images/search?form=xlimg&amp;q=Sampit" TargetMode="External"/><Relationship Id="rId32" Type="http://schemas.openxmlformats.org/officeDocument/2006/relationships/hyperlink" Target="https://www.bing.com/images/search?form=xlimg&amp;q=West%20Java" TargetMode="External"/><Relationship Id="rId37" Type="http://schemas.openxmlformats.org/officeDocument/2006/relationships/hyperlink" Target="https://www.bing.com/th?id=OSK.978ab0d5340110856180e4d451bc49ad&amp;qlt=95" TargetMode="External"/><Relationship Id="rId40" Type="http://schemas.openxmlformats.org/officeDocument/2006/relationships/hyperlink" Target="https://www.bing.com/images/search?form=xlimg&amp;q=Jambi" TargetMode="External"/><Relationship Id="rId45" Type="http://schemas.openxmlformats.org/officeDocument/2006/relationships/hyperlink" Target="https://www.bing.com/th?id=OSK.0d4852c45e1b0cad1fc610c4ee01a6c7&amp;qlt=95" TargetMode="External"/><Relationship Id="rId53" Type="http://schemas.openxmlformats.org/officeDocument/2006/relationships/hyperlink" Target="https://www.bing.com/th?id=OSK.183afcffffceac8a585cc74035a28cb1&amp;qlt=95" TargetMode="External"/><Relationship Id="rId58" Type="http://schemas.openxmlformats.org/officeDocument/2006/relationships/hyperlink" Target="https://www.bing.com/images/search?form=xlimg&amp;q=North%20Sulawesi" TargetMode="External"/><Relationship Id="rId66" Type="http://schemas.openxmlformats.org/officeDocument/2006/relationships/hyperlink" Target="https://www.bing.com/images/search?form=xlimg&amp;q=Central%20Java" TargetMode="External"/><Relationship Id="rId74" Type="http://schemas.openxmlformats.org/officeDocument/2006/relationships/hyperlink" Target="https://www.bing.com/images/search?form=xlimg&amp;q=South%20Sulawesi" TargetMode="External"/><Relationship Id="rId5" Type="http://schemas.openxmlformats.org/officeDocument/2006/relationships/hyperlink" Target="https://www.bing.com/th?id=OSK.e9e045149ef206e69588c29837c2cdef&amp;qlt=95" TargetMode="External"/><Relationship Id="rId61" Type="http://schemas.openxmlformats.org/officeDocument/2006/relationships/hyperlink" Target="https://www.bing.com/th?id=OSK.c3a73728a0ce5a04fccae4527438ad46&amp;qlt=95" TargetMode="External"/><Relationship Id="rId19" Type="http://schemas.openxmlformats.org/officeDocument/2006/relationships/hyperlink" Target="https://www.bing.com/th?id=OSK.7832e7fa8475b16e475bd83c127d1f66&amp;qlt=95" TargetMode="External"/><Relationship Id="rId14" Type="http://schemas.openxmlformats.org/officeDocument/2006/relationships/hyperlink" Target="https://www.bing.com/images/search?form=xlimg&amp;q=East%20Kalimantan" TargetMode="External"/><Relationship Id="rId22" Type="http://schemas.openxmlformats.org/officeDocument/2006/relationships/hyperlink" Target="https://www.bing.com/images/search?form=xlimg&amp;q=Tanjung%20Selor" TargetMode="External"/><Relationship Id="rId27" Type="http://schemas.openxmlformats.org/officeDocument/2006/relationships/hyperlink" Target="https://www.bing.com/th?id=OSK.3cf425030fba1738c0163b12656bf28f&amp;qlt=95" TargetMode="External"/><Relationship Id="rId30" Type="http://schemas.openxmlformats.org/officeDocument/2006/relationships/hyperlink" Target="https://www.bing.com/images/search?form=xlimg&amp;q=Bogor" TargetMode="External"/><Relationship Id="rId35" Type="http://schemas.openxmlformats.org/officeDocument/2006/relationships/hyperlink" Target="https://www.bing.com/th?id=OSK.06e6e9c073e8943117c9f1db7a11e817&amp;qlt=95" TargetMode="External"/><Relationship Id="rId43" Type="http://schemas.openxmlformats.org/officeDocument/2006/relationships/hyperlink" Target="https://www.bing.com/th?id=OSK.3bb9d5b2ccdd3ba297592ef6827fe2bd&amp;qlt=95" TargetMode="External"/><Relationship Id="rId48" Type="http://schemas.openxmlformats.org/officeDocument/2006/relationships/hyperlink" Target="https://www.bing.com/images/search?form=xlimg&amp;q=Surabaya" TargetMode="External"/><Relationship Id="rId56" Type="http://schemas.openxmlformats.org/officeDocument/2006/relationships/hyperlink" Target="https://www.bing.com/images/search?form=xlimg&amp;q=Manado" TargetMode="External"/><Relationship Id="rId64" Type="http://schemas.openxmlformats.org/officeDocument/2006/relationships/hyperlink" Target="https://www.bing.com/images/search?form=xlimg&amp;q=Balikpapan" TargetMode="External"/><Relationship Id="rId69" Type="http://schemas.openxmlformats.org/officeDocument/2006/relationships/hyperlink" Target="https://www.bing.com/th?id=OSK.01ed3710be1a408e1c1b1f0cc9693015&amp;qlt=95" TargetMode="External"/><Relationship Id="rId77" Type="http://schemas.openxmlformats.org/officeDocument/2006/relationships/hyperlink" Target="https://www.bing.com/th?id=OSK.8ae0e3542361920e454c6f6b22f6e658&amp;qlt=95" TargetMode="External"/><Relationship Id="rId8" Type="http://schemas.openxmlformats.org/officeDocument/2006/relationships/hyperlink" Target="https://www.bing.com/images/search?form=xlimg&amp;q=Gorontalo" TargetMode="External"/><Relationship Id="rId51" Type="http://schemas.openxmlformats.org/officeDocument/2006/relationships/hyperlink" Target="https://www.bing.com/th?id=OSK.1a6aa0bb86fbeb85b63491e7ddb32e29&amp;qlt=95" TargetMode="External"/><Relationship Id="rId72" Type="http://schemas.openxmlformats.org/officeDocument/2006/relationships/hyperlink" Target="https://www.bing.com/images/search?form=xlimg&amp;q=Palu" TargetMode="External"/><Relationship Id="rId3" Type="http://schemas.openxmlformats.org/officeDocument/2006/relationships/hyperlink" Target="https://www.bing.com/th?id=OSK.316f9166e660abe5abc1e0d838ca77d7&amp;qlt=95" TargetMode="External"/><Relationship Id="rId12" Type="http://schemas.openxmlformats.org/officeDocument/2006/relationships/hyperlink" Target="https://www.bing.com/images/search?form=xlimg&amp;q=North%20Maluku" TargetMode="External"/><Relationship Id="rId17" Type="http://schemas.openxmlformats.org/officeDocument/2006/relationships/hyperlink" Target="https://www.bing.com/th?id=OSK.96f2639b5628d941fce4fd9cd66133c9&amp;qlt=95" TargetMode="External"/><Relationship Id="rId25" Type="http://schemas.openxmlformats.org/officeDocument/2006/relationships/hyperlink" Target="https://www.bing.com/th?id=OSK.8a2ed092d39c8abb9df3612b58aa8fa6&amp;qlt=95" TargetMode="External"/><Relationship Id="rId33" Type="http://schemas.openxmlformats.org/officeDocument/2006/relationships/hyperlink" Target="https://www.bing.com/th?id=OSK.7c5c4fa0992ffca032a7d11db82c4cfa&amp;qlt=95" TargetMode="External"/><Relationship Id="rId38" Type="http://schemas.openxmlformats.org/officeDocument/2006/relationships/hyperlink" Target="https://www.bing.com/images/search?form=xlimg&amp;q=Palembang" TargetMode="External"/><Relationship Id="rId46" Type="http://schemas.openxmlformats.org/officeDocument/2006/relationships/hyperlink" Target="https://www.bing.com/images/search?form=xlimg&amp;q=East%20Java" TargetMode="External"/><Relationship Id="rId59" Type="http://schemas.openxmlformats.org/officeDocument/2006/relationships/hyperlink" Target="https://www.bing.com/th?id=OSK.901ba7df493d7cb143978aef07c4df7e&amp;qlt=95" TargetMode="External"/><Relationship Id="rId67" Type="http://schemas.openxmlformats.org/officeDocument/2006/relationships/hyperlink" Target="https://www.bing.com/th?id=OSK.8fb20ae961b38d95f11eb87cfeee3bd1&amp;qlt=95" TargetMode="External"/><Relationship Id="rId20" Type="http://schemas.openxmlformats.org/officeDocument/2006/relationships/hyperlink" Target="https://www.bing.com/images/search?form=xlimg&amp;q=North%20Kalimantan" TargetMode="External"/><Relationship Id="rId41" Type="http://schemas.openxmlformats.org/officeDocument/2006/relationships/hyperlink" Target="https://www.bing.com/th?id=OSK.c69fa5befc2eefc16b7ca30922743e71&amp;qlt=95" TargetMode="External"/><Relationship Id="rId54" Type="http://schemas.openxmlformats.org/officeDocument/2006/relationships/hyperlink" Target="https://www.bing.com/images/search?form=xlimg&amp;q=Batam" TargetMode="External"/><Relationship Id="rId62" Type="http://schemas.openxmlformats.org/officeDocument/2006/relationships/hyperlink" Target="https://www.bing.com/images/search?form=xlimg&amp;q=Padang" TargetMode="External"/><Relationship Id="rId70" Type="http://schemas.openxmlformats.org/officeDocument/2006/relationships/hyperlink" Target="https://www.bing.com/images/search?form=xlimg&amp;q=Central%20Sulawesi" TargetMode="External"/><Relationship Id="rId75" Type="http://schemas.openxmlformats.org/officeDocument/2006/relationships/hyperlink" Target="https://www.bing.com/th?id=OSK.84b91b958a296fc5537553bac282224a&amp;qlt=95" TargetMode="External"/><Relationship Id="rId1" Type="http://schemas.openxmlformats.org/officeDocument/2006/relationships/hyperlink" Target="https://www.bing.com/th?id=OSK.6df1cdc773c890dad00bda97d140cb91&amp;qlt=95" TargetMode="External"/><Relationship Id="rId6" Type="http://schemas.openxmlformats.org/officeDocument/2006/relationships/hyperlink" Target="https://www.bing.com/images/search?form=xlimg&amp;q=Jakarta" TargetMode="External"/><Relationship Id="rId15" Type="http://schemas.openxmlformats.org/officeDocument/2006/relationships/hyperlink" Target="https://www.bing.com/th?id=OSK.19896baffff3c87c24d99c5fc6492367&amp;qlt=95" TargetMode="External"/><Relationship Id="rId23" Type="http://schemas.openxmlformats.org/officeDocument/2006/relationships/hyperlink" Target="https://www.bing.com/th?id=OSK.3e1b3265d8fe001b0341fa7aa383d722&amp;qlt=95" TargetMode="External"/><Relationship Id="rId28" Type="http://schemas.openxmlformats.org/officeDocument/2006/relationships/hyperlink" Target="https://www.bing.com/images/search?form=xlimg&amp;q=Palangka%20Raya" TargetMode="External"/><Relationship Id="rId36" Type="http://schemas.openxmlformats.org/officeDocument/2006/relationships/hyperlink" Target="https://www.bing.com/images/search?form=xlimg&amp;q=South%20Sumatra" TargetMode="External"/><Relationship Id="rId49" Type="http://schemas.openxmlformats.org/officeDocument/2006/relationships/hyperlink" Target="https://www.bing.com/th?id=OSK.5d806be46e1e5e9d311f8d67c7d9e81c&amp;qlt=95" TargetMode="External"/><Relationship Id="rId57" Type="http://schemas.openxmlformats.org/officeDocument/2006/relationships/hyperlink" Target="https://www.bing.com/th?id=OSK.e2c97d04fcec08662eff7935b204060a&amp;qlt=95" TargetMode="External"/><Relationship Id="rId10" Type="http://schemas.openxmlformats.org/officeDocument/2006/relationships/hyperlink" Target="https://www.bing.com/images/search?form=xlimg&amp;q=Gorontalo%20(city)" TargetMode="External"/><Relationship Id="rId31" Type="http://schemas.openxmlformats.org/officeDocument/2006/relationships/hyperlink" Target="https://www.bing.com/th?id=OSK.2b6d3c3ce24780730533a90bbaff2ef2&amp;qlt=95" TargetMode="External"/><Relationship Id="rId44" Type="http://schemas.openxmlformats.org/officeDocument/2006/relationships/hyperlink" Target="https://www.bing.com/images/search?form=xlimg&amp;q=Aceh" TargetMode="External"/><Relationship Id="rId52" Type="http://schemas.openxmlformats.org/officeDocument/2006/relationships/hyperlink" Target="https://www.bing.com/images/search?form=xlimg&amp;q=Tanjungpinang" TargetMode="External"/><Relationship Id="rId60" Type="http://schemas.openxmlformats.org/officeDocument/2006/relationships/hyperlink" Target="https://www.bing.com/images/search?form=xlimg&amp;q=West%20Sumatra" TargetMode="External"/><Relationship Id="rId65" Type="http://schemas.openxmlformats.org/officeDocument/2006/relationships/hyperlink" Target="https://www.bing.com/th?id=OSK.134a7c135af8dfae2c537a1b97e28ea2&amp;qlt=95" TargetMode="External"/><Relationship Id="rId73" Type="http://schemas.openxmlformats.org/officeDocument/2006/relationships/hyperlink" Target="https://www.bing.com/th?id=OSK.02f7b9daf73f8a8bf08864621a34323b&amp;qlt=95" TargetMode="External"/><Relationship Id="rId78" Type="http://schemas.openxmlformats.org/officeDocument/2006/relationships/hyperlink" Target="https://www.bing.com/images/search?form=xlimg&amp;q=Purwakarta" TargetMode="External"/><Relationship Id="rId4" Type="http://schemas.openxmlformats.org/officeDocument/2006/relationships/hyperlink" Target="https://www.bing.com/images/search?form=xlimg&amp;q=Special%20Region%20of%20Yogyakarta" TargetMode="External"/><Relationship Id="rId9" Type="http://schemas.openxmlformats.org/officeDocument/2006/relationships/hyperlink" Target="https://www.bing.com/th?id=OSK.e33a71d457c153e95d64f575ec6755e2&amp;qlt=95" TargetMode="External"/><Relationship Id="rId13" Type="http://schemas.openxmlformats.org/officeDocument/2006/relationships/hyperlink" Target="https://www.bing.com/th?id=OSK.0bbdc60139cb77fee6581e5f17f4a6f0&amp;qlt=95" TargetMode="External"/><Relationship Id="rId18" Type="http://schemas.openxmlformats.org/officeDocument/2006/relationships/hyperlink" Target="https://www.bing.com/images/search?form=xlimg&amp;q=Kalimantan" TargetMode="External"/><Relationship Id="rId39" Type="http://schemas.openxmlformats.org/officeDocument/2006/relationships/hyperlink" Target="https://www.bing.com/th?id=OSK.742ebb50a81a45c95a581618b303c11e&amp;qlt=95" TargetMode="External"/><Relationship Id="rId34" Type="http://schemas.openxmlformats.org/officeDocument/2006/relationships/hyperlink" Target="https://www.bing.com/images/search?form=xlimg&amp;q=Lubuklinggau" TargetMode="External"/><Relationship Id="rId50" Type="http://schemas.openxmlformats.org/officeDocument/2006/relationships/hyperlink" Target="https://www.bing.com/images/search?form=xlimg&amp;q=Riau%20Islands" TargetMode="External"/><Relationship Id="rId55" Type="http://schemas.openxmlformats.org/officeDocument/2006/relationships/hyperlink" Target="https://www.bing.com/th?id=OSK.4604a929236c9359303a9369548d4a2f&amp;qlt=95" TargetMode="External"/><Relationship Id="rId76" Type="http://schemas.openxmlformats.org/officeDocument/2006/relationships/hyperlink" Target="https://www.bing.com/images/search?form=xlimg&amp;q=Makassar" TargetMode="External"/><Relationship Id="rId7" Type="http://schemas.openxmlformats.org/officeDocument/2006/relationships/hyperlink" Target="https://www.bing.com/th?id=OSK.f6057b9ec56fa1097a660771be3b8e0e&amp;qlt=95" TargetMode="External"/><Relationship Id="rId71" Type="http://schemas.openxmlformats.org/officeDocument/2006/relationships/hyperlink" Target="https://www.bing.com/th?id=OSK.849970a7226cdc77ad77a4ce110dbf87&amp;qlt=95" TargetMode="External"/><Relationship Id="rId2" Type="http://schemas.openxmlformats.org/officeDocument/2006/relationships/hyperlink" Target="https://www.bing.com/images/search?form=xlimg&amp;q=Yogyakarta" TargetMode="External"/><Relationship Id="rId29" Type="http://schemas.openxmlformats.org/officeDocument/2006/relationships/hyperlink" Target="https://www.bing.com/th?id=OSK.c115dc835fadbdbee7f369e36117fb70&amp;qlt=95" TargetMode="External"/></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types>
    <type name="_linkedentity2">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cvi">
          <flag name="ShowInCardView" value="0"/>
          <flag name="ShowInDotNotation" value="0"/>
          <flag name="ShowInAutoComplete" value="0"/>
          <flag name="ExcludeFromCalcComparison" value="1"/>
        </key>
      </keyFlags>
    </type>
    <type name="_linkedentity2core">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IsRefreshable">
          <flag name="ShowInCardView" value="0"/>
          <flag name="ShowInAutoComplete" value="0"/>
          <flag name="ExcludeFromCalcComparison" value="1"/>
        </key>
        <key name="%ProviderInfo">
          <flag name="ShowInCardView" value="0"/>
          <flag name="ShowInDotNotation" value="0"/>
          <flag name="ShowInAutoComplete" value="0"/>
        </key>
        <key name="%DataProviderExternalLinkLogo">
          <flag name="ShowInCardView" value="0"/>
          <flag name="ShowInDotNotation" value="0"/>
          <flag name="ShowInAutoComplete" value="0"/>
        </key>
        <key name="%DataProviderExternalLink">
          <flag name="ShowInCardView" value="0"/>
          <flag name="ShowInDotNotation" value="0"/>
          <flag name="ShowInAutoComplete" value="0"/>
        </key>
        <key name="%DataRetrievedTime">
          <flag name="ShowInCardView" value="0"/>
          <flag name="ShowInDotNotation" value="0"/>
          <flag name="ShowInAutoComplete" value="0"/>
          <flag name="ExcludeFromCalcComparison" value="1"/>
        </key>
        <key name="%EntityDomainIdString">
          <flag name="ShowInCardView" value="0"/>
          <flag name="ShowInDotNotation" value="0"/>
          <flag name="ShowInAutoComplete" value="0"/>
        </key>
        <key name="%InfoToolTipLabelNames">
          <flag name="ShowInCardView" value="0"/>
          <flag name="ShowInDotNotation" value="0"/>
          <flag name="ShowInAutoComplete" value="0"/>
        </key>
        <key name="%InfoToolTipLabelValues">
          <flag name="ShowInCardView" value="0"/>
          <flag name="ShowInDotNotation" value="0"/>
          <flag name="ShowInAutoComplete" value="0"/>
        </key>
        <key name="%InfoToolTipLabelValuesType">
          <flag name="ShowInCardView" value="0"/>
          <flag name="ShowInDotNotation" value="0"/>
          <flag name="ShowInAutoComplete" value="0"/>
        </key>
        <key name="%DataProviderString">
          <flag name="ShowInCardView" value="0"/>
          <flag name="ShowInDotNotation" value="0"/>
          <flag name="ShowInAutoComplete" value="0"/>
        </key>
        <key name="%ClassificationId">
          <flag name="ShowInCardView" value="0"/>
          <flag name="ShowInDotNotation" value="0"/>
          <flag name="ShowInAutoComplete" value="0"/>
        </key>
        <key name="%OutdatedReason">
          <flag name="ShowInCardView" value="0"/>
          <flag name="ShowInDotNotation" value="0"/>
          <flag name="ShowInAutoComplete" value="0"/>
          <flag name="ExcludeFromCalcComparison" value="1"/>
        </key>
      </keyFlags>
    </type>
    <type name="_webimage">
      <keyFlags>
        <key name="WebImageIdentifier">
          <flag name="ShowInCardView" value="0"/>
        </key>
      </keyFlags>
    </type>
  </types>
</rvTypesInfo>
</file>

<file path=xl/richData/rdRichValueWebImage.xml><?xml version="1.0" encoding="utf-8"?>
<webImagesSrd xmlns="http://schemas.microsoft.com/office/spreadsheetml/2020/richdatawebimage" xmlns:r="http://schemas.openxmlformats.org/officeDocument/2006/relationships">
  <webImageSrd>
    <address r:id="rId1"/>
    <moreImagesAddress r:id="rId2"/>
  </webImageSrd>
  <webImageSrd>
    <address r:id="rId3"/>
    <moreImagesAddress r:id="rId4"/>
  </webImageSrd>
  <webImageSrd>
    <address r:id="rId5"/>
    <moreImagesAddress r:id="rId6"/>
  </webImageSrd>
  <webImageSrd>
    <address r:id="rId7"/>
    <moreImagesAddress r:id="rId8"/>
  </webImageSrd>
  <webImageSrd>
    <address r:id="rId9"/>
    <moreImagesAddress r:id="rId10"/>
  </webImageSrd>
  <webImageSrd>
    <address r:id="rId11"/>
    <moreImagesAddress r:id="rId12"/>
  </webImageSrd>
  <webImageSrd>
    <address r:id="rId13"/>
    <moreImagesAddress r:id="rId14"/>
  </webImageSrd>
  <webImageSrd>
    <address r:id="rId15"/>
    <moreImagesAddress r:id="rId16"/>
  </webImageSrd>
  <webImageSrd>
    <address r:id="rId17"/>
    <moreImagesAddress r:id="rId18"/>
  </webImageSrd>
  <webImageSrd>
    <address r:id="rId19"/>
    <moreImagesAddress r:id="rId20"/>
  </webImageSrd>
  <webImageSrd>
    <address r:id="rId21"/>
    <moreImagesAddress r:id="rId22"/>
  </webImageSrd>
  <webImageSrd>
    <address r:id="rId23"/>
    <moreImagesAddress r:id="rId24"/>
  </webImageSrd>
  <webImageSrd>
    <address r:id="rId25"/>
    <moreImagesAddress r:id="rId26"/>
  </webImageSrd>
  <webImageSrd>
    <address r:id="rId27"/>
    <moreImagesAddress r:id="rId28"/>
  </webImageSrd>
  <webImageSrd>
    <address r:id="rId29"/>
    <moreImagesAddress r:id="rId30"/>
  </webImageSrd>
  <webImageSrd>
    <address r:id="rId31"/>
    <moreImagesAddress r:id="rId32"/>
  </webImageSrd>
  <webImageSrd>
    <address r:id="rId33"/>
    <moreImagesAddress r:id="rId34"/>
  </webImageSrd>
  <webImageSrd>
    <address r:id="rId35"/>
    <moreImagesAddress r:id="rId36"/>
  </webImageSrd>
  <webImageSrd>
    <address r:id="rId37"/>
    <moreImagesAddress r:id="rId38"/>
  </webImageSrd>
  <webImageSrd>
    <address r:id="rId39"/>
    <moreImagesAddress r:id="rId40"/>
  </webImageSrd>
  <webImageSrd>
    <address r:id="rId41"/>
    <moreImagesAddress r:id="rId42"/>
  </webImageSrd>
  <webImageSrd>
    <address r:id="rId43"/>
    <moreImagesAddress r:id="rId44"/>
  </webImageSrd>
  <webImageSrd>
    <address r:id="rId45"/>
    <moreImagesAddress r:id="rId46"/>
  </webImageSrd>
  <webImageSrd>
    <address r:id="rId47"/>
    <moreImagesAddress r:id="rId48"/>
  </webImageSrd>
  <webImageSrd>
    <address r:id="rId49"/>
    <moreImagesAddress r:id="rId50"/>
  </webImageSrd>
  <webImageSrd>
    <address r:id="rId51"/>
    <moreImagesAddress r:id="rId52"/>
  </webImageSrd>
  <webImageSrd>
    <address r:id="rId53"/>
    <moreImagesAddress r:id="rId54"/>
  </webImageSrd>
  <webImageSrd>
    <address r:id="rId55"/>
    <moreImagesAddress r:id="rId56"/>
  </webImageSrd>
  <webImageSrd>
    <address r:id="rId57"/>
    <moreImagesAddress r:id="rId58"/>
  </webImageSrd>
  <webImageSrd>
    <address r:id="rId59"/>
    <moreImagesAddress r:id="rId60"/>
  </webImageSrd>
  <webImageSrd>
    <address r:id="rId61"/>
    <moreImagesAddress r:id="rId62"/>
  </webImageSrd>
  <webImageSrd>
    <address r:id="rId63"/>
    <moreImagesAddress r:id="rId64"/>
  </webImageSrd>
  <webImageSrd>
    <address r:id="rId65"/>
    <moreImagesAddress r:id="rId66"/>
  </webImageSrd>
  <webImageSrd>
    <address r:id="rId67"/>
    <moreImagesAddress r:id="rId68"/>
  </webImageSrd>
  <webImageSrd>
    <address r:id="rId69"/>
    <moreImagesAddress r:id="rId70"/>
  </webImageSrd>
  <webImageSrd>
    <address r:id="rId71"/>
    <moreImagesAddress r:id="rId72"/>
  </webImageSrd>
  <webImageSrd>
    <address r:id="rId73"/>
    <moreImagesAddress r:id="rId74"/>
  </webImageSrd>
  <webImageSrd>
    <address r:id="rId75"/>
    <moreImagesAddress r:id="rId76"/>
  </webImageSrd>
  <webImageSrd>
    <address r:id="rId77"/>
    <moreImagesAddress r:id="rId78"/>
  </webImageSrd>
</webImagesSrd>
</file>

<file path=xl/richData/rdarray.xml><?xml version="1.0" encoding="utf-8"?>
<arrayData xmlns="http://schemas.microsoft.com/office/spreadsheetml/2017/richdata2" count="42">
  <a r="1">
    <v t="s">Haryadi Suyuti (Mayor)</v>
  </a>
  <a r="1">
    <v t="s">SE Asia Standard Time</v>
  </a>
  <a r="2">
    <v t="r">15</v>
    <v t="r">16</v>
  </a>
  <a r="2">
    <v t="r">26</v>
    <v t="s">Ahmad Riza Patria (Lieutenant Governor)</v>
  </a>
  <a r="2">
    <v t="s">Indonesia Western Time Zone</v>
    <v t="s">SE Asia Standard Time</v>
  </a>
  <a r="1">
    <v t="s">Hamka Hendra Noer (Acting governor)</v>
  </a>
  <a r="1">
    <v t="s">Marten A. Taha (Mayor)</v>
  </a>
  <a r="1">
    <v t="s">Singapore Standard Time</v>
  </a>
  <a r="2">
    <v t="r">57</v>
    <v t="s">Al Yasin Aliid (Lieutenant Governor)</v>
  </a>
  <a r="1">
    <v t="s">Japan Time Zone</v>
  </a>
  <a r="1">
    <v t="s">Tauhid Soleman (Mayor)</v>
  </a>
  <a r="2">
    <v t="r">83</v>
    <v t="s">Hadi Mulyadi (Lieutenant Governor)</v>
  </a>
  <a r="1">
    <v t="s">Andi Harun (Mayor)</v>
  </a>
  <a r="2">
    <v t="s">Indonesia Central Time Zone</v>
    <v t="s">Indonesia Western Time Zone</v>
  </a>
  <a r="2">
    <v t="s">Zainal Arifin Paliwang (Governor)</v>
    <v t="s">Yansen Tipa Padan (Lieutenant Governor)</v>
  </a>
  <a r="2">
    <v t="r">131</v>
    <v t="s">Edy Pratowo (Lieutenant Governor)</v>
  </a>
  <a r="1">
    <v t="s">Fairid Naparin (Mayor)</v>
  </a>
  <a r="1">
    <v t="r">150</v>
  </a>
  <a r="1">
    <v t="r">160</v>
  </a>
  <a r="1">
    <v t="s">Prana Putra Sohe (Mayor)</v>
  </a>
  <a r="1">
    <v t="r">180</v>
  </a>
  <a r="1">
    <v t="r">189</v>
  </a>
  <a r="1">
    <v t="s">Al Haris (Governor)</v>
  </a>
  <a r="1">
    <v t="s">Syarif Fasha (Mayor)</v>
  </a>
  <a r="1">
    <v t="s">Aminullah Usman (Mayor)</v>
  </a>
  <a r="1">
    <v t="s">Achmad Marzuki (Acting governor)</v>
  </a>
  <a r="2">
    <v t="r">236</v>
    <v t="s">Emil Dardak (Lieutenant Governor)</v>
  </a>
  <a r="1">
    <v t="s">Eri Cahyadi (Mayor)</v>
  </a>
  <a r="1">
    <v t="s">Ansar Ahmad (Governor)</v>
  </a>
  <a r="1">
    <v t="s">Rahma (Mayor)</v>
  </a>
  <a r="1">
    <v t="s">Muhammad Rudi (Mayor)</v>
  </a>
  <a r="1">
    <v t="s">Andrei Angouw (Mayor)</v>
  </a>
  <a r="1">
    <v t="r">290</v>
  </a>
  <a r="1">
    <v t="r">301</v>
  </a>
  <a r="1">
    <v t="s">Hendri Septa (Mayor)</v>
  </a>
  <a r="1">
    <v t="s">Rahmad Mas'ud (Mayor)</v>
  </a>
  <a r="1">
    <v t="r">328</v>
  </a>
  <a r="1">
    <v t="r">337</v>
  </a>
  <a r="1">
    <v t="s">Rusdy Mastura (Governor)</v>
  </a>
  <a r="1">
    <v t="s">Hadianto Rasyid (Mayor)</v>
  </a>
  <a r="1">
    <v t="s">Andi Sudirman Sulaiman (Governor)</v>
  </a>
  <a r="1">
    <v t="r">374</v>
  </a>
</arrayData>
</file>

<file path=xl/richData/rdrichvalue.xml><?xml version="1.0" encoding="utf-8"?>
<rvData xmlns="http://schemas.microsoft.com/office/spreadsheetml/2017/richdata" count="389">
  <rv s="0">
    <v>536870912</v>
    <v>Yogyakarta</v>
    <v>32227a8b-9183-4dfd-ca2a-69520bac9b03</v>
    <v>en-ID</v>
    <v>Map</v>
  </rv>
  <rv s="0">
    <v>536870912</v>
    <v>Special Region of Yogyakarta</v>
    <v>7a5ea5db-f9d5-434b-8ed3-d1dbe5b4e377</v>
    <v>en-ID</v>
    <v>Map</v>
  </rv>
  <rv s="1">
    <fb>32.799999999999997</fb>
    <v>13</v>
  </rv>
  <rv s="0">
    <v>536870912</v>
    <v>Indonesia</v>
    <v>b4a5bd62-2259-21e3-4627-bf249ae6ee84</v>
    <v>en-ID</v>
    <v>Map</v>
  </rv>
  <rv s="2">
    <v>0</v>
    <v>11</v>
    <v>14</v>
    <v>7</v>
    <v>0</v>
    <v>Image of Yogyakarta</v>
  </rv>
  <rv s="1">
    <fb>-7.8013890000000004</fb>
    <v>15</v>
  </rv>
  <rv s="3">
    <v>0</v>
  </rv>
  <rv s="4">
    <v>https://www.bing.com/search?q=yogyakarta&amp;form=skydnc</v>
    <v>Learn more on Bing</v>
  </rv>
  <rv s="1">
    <fb>110.36444400000001</fb>
    <v>15</v>
  </rv>
  <rv s="1">
    <fb>373589</fb>
    <v>13</v>
  </rv>
  <rv s="3">
    <v>1</v>
  </rv>
  <rv s="5">
    <v>#VALUE!</v>
    <v>en-ID</v>
    <v>32227a8b-9183-4dfd-ca2a-69520bac9b03</v>
    <v>536870912</v>
    <v>1</v>
    <v>5</v>
    <v>6</v>
    <v>Yogyakarta</v>
    <v>9</v>
    <v>10</v>
    <v>Map</v>
    <v>11</v>
    <v>12</v>
    <v>1</v>
    <v>2</v>
    <v>3</v>
    <v>Yogyakarta is the capital city of Special Region of Yogyakarta in Indonesia, in the south-central part of the island of Java. As the only Indonesian royal city still ruled by a monarchy, Yogyakarta is regarded as an important centre for classical Javanese fine arts and culture such as ballet, batik textiles, drama, literature, music, poetry, silversmithing, visual arts, and wayang puppetry. Renowned as a centre of Indonesian education, Yogyakarta is home to a large student population and dozens of schools and universities, including Gadjah Mada University, the country's largest institute of higher education and one of its most prestigious.</v>
    <v>4</v>
    <v>5</v>
    <v>6</v>
    <v>7</v>
    <v>8</v>
    <v>Yogyakarta</v>
    <v>9</v>
    <v>10</v>
    <v>Yogyakarta</v>
    <v>mdp/vdpid/8663600760862277634</v>
  </rv>
  <rv s="1">
    <fb>3133.15</fb>
    <v>13</v>
  </rv>
  <rv s="1">
    <fb>1037852</fb>
    <v>13</v>
  </rv>
  <rv s="2">
    <v>1</v>
    <v>11</v>
    <v>22</v>
    <v>7</v>
    <v>0</v>
    <v>Image of Special Region of Yogyakarta</v>
  </rv>
  <rv s="0">
    <v>805306368</v>
    <v>Hamengkubuwono X (Governor)</v>
    <v>7094b085-cb0b-98bc-bd37-13e88a6dbbb5</v>
    <v>en-ID</v>
    <v>Generic</v>
  </rv>
  <rv s="0">
    <v>805306368</v>
    <v>Paku Alam X (Lieutenant Governor)</v>
    <v>a691334e-941a-8278-fa78-20b9fbd43c47</v>
    <v>en-ID</v>
    <v>Generic</v>
  </rv>
  <rv s="3">
    <v>2</v>
  </rv>
  <rv s="4">
    <v>https://www.bing.com/search?q=special+region+of+yogyakarta+indonesia&amp;form=skydnc</v>
    <v>Learn more on Bing</v>
  </rv>
  <rv s="1">
    <fb>3.33</fb>
    <v>23</v>
  </rv>
  <rv s="1">
    <fb>3712896</fb>
    <v>13</v>
  </rv>
  <rv s="6">
    <v>#VALUE!</v>
    <v>en-ID</v>
    <v>7a5ea5db-f9d5-434b-8ed3-d1dbe5b4e377</v>
    <v>536870912</v>
    <v>1</v>
    <v>19</v>
    <v>20</v>
    <v>Special Region of Yogyakarta</v>
    <v>9</v>
    <v>10</v>
    <v>Map</v>
    <v>11</v>
    <v>21</v>
    <v>ID-YO</v>
    <v>12</v>
    <v>0</v>
    <v>3</v>
    <v>The Special Province of Daerah Istimewa Yogyakarta is a provincial-level autonomous region of Indonesia in southern Java. It is bordered by the Indian Ocean to the south, as well as sharing all the land borders to the province of Central Java. Co-ruled by the Yogyakarta Sultanate and the Duchy of Pakualaman, the region is the only officially recognized diarchy within the government of Indonesia. The city of Yogyakarta is a popular tourist destination and cultural center of the region. The Yogyakarta Sultanate was established in 1755 and provided unwavering support for Indonesia's independence during the Indonesian National Revolution. As a first-level division in Indonesia, Yogyakarta is governed by Sultan Hamengkubuwono X as the governor and Duke Paku Alam X as the vice governor. With a land area of just 3,170.65 km², it is the second-smallest province-level entity of Indonesia after Jakarta.</v>
    <v>13</v>
    <v>14</v>
    <v>0</v>
    <v>17</v>
    <v>18</v>
    <v>Special Region of Yogyakarta</v>
    <v>19</v>
    <v>20</v>
    <v>Special Region of Yogyakarta</v>
    <v>mdp/vdpid/7296453</v>
  </rv>
  <rv s="0">
    <v>536870912</v>
    <v>Jakarta</v>
    <v>6261fc72-a172-5cdd-9c67-a7644a026c29</v>
    <v>en-ID</v>
    <v>Map</v>
  </rv>
  <rv s="1">
    <fb>664.01</fb>
    <v>13</v>
  </rv>
  <rv s="1">
    <fb>2508869</fb>
    <v>13</v>
  </rv>
  <rv s="2">
    <v>2</v>
    <v>11</v>
    <v>30</v>
    <v>7</v>
    <v>0</v>
    <v>Image of Jakarta</v>
  </rv>
  <rv s="0">
    <v>805306368</v>
    <v>Anies Baswedan (Governor)</v>
    <v>06ce5866-38cf-b769-ff14-c8c7080f21da</v>
    <v>en-ID</v>
    <v>Generic</v>
  </rv>
  <rv s="3">
    <v>3</v>
  </rv>
  <rv s="4">
    <v>https://www.bing.com/search?q=jakarta&amp;form=skydnc</v>
    <v>Learn more on Bing</v>
  </rv>
  <rv s="1">
    <fb>3.83</fb>
    <v>23</v>
  </rv>
  <rv s="1">
    <fb>10562088</fb>
    <v>13</v>
  </rv>
  <rv s="3">
    <v>4</v>
  </rv>
  <rv s="7">
    <v>#VALUE!</v>
    <v>en-ID</v>
    <v>6261fc72-a172-5cdd-9c67-a7644a026c29</v>
    <v>536870912</v>
    <v>1</v>
    <v>27</v>
    <v>28</v>
    <v>Jakarta</v>
    <v>9</v>
    <v>10</v>
    <v>Map</v>
    <v>11</v>
    <v>29</v>
    <v>ID-JK</v>
    <v>23</v>
    <v>3</v>
    <v>Jakarta, officially the Special Capital Region of Jakarta, is the capital and largest city of Indonesia. Lying on the northwest coast of Java, the world's most populous island, Jakarta is the largest city in Southeast Asia, and serves as the diplomatic capital of ASEAN.</v>
    <v>24</v>
    <v>25</v>
    <v>27</v>
    <v>28</v>
    <v>Jakarta</v>
    <v>29</v>
    <v>30</v>
    <v>31</v>
    <v>Jakarta</v>
    <v>mdp/vdpid/8661190776430002177</v>
  </rv>
  <rv s="0">
    <v>536870912</v>
    <v>Gorontalo</v>
    <v>e2330abd-3509-8dcd-5446-d0bdb068233e</v>
    <v>en-ID</v>
    <v>Map</v>
  </rv>
  <rv s="1">
    <fb>11257.07</fb>
    <v>13</v>
  </rv>
  <rv s="0">
    <v>536870912</v>
    <v>Gorontalo</v>
    <v>111c283d-245b-9202-9cc0-e118f4b919f9</v>
    <v>en-ID</v>
    <v>Map</v>
  </rv>
  <rv s="1">
    <fb>243981</fb>
    <v>13</v>
  </rv>
  <rv s="2">
    <v>3</v>
    <v>11</v>
    <v>35</v>
    <v>7</v>
    <v>0</v>
    <v>Image of Gorontalo</v>
  </rv>
  <rv s="3">
    <v>5</v>
  </rv>
  <rv s="4">
    <v>https://www.bing.com/search?q=gorontalo+indonesia&amp;form=skydnc</v>
    <v>Learn more on Bing</v>
  </rv>
  <rv s="1">
    <fb>4.26</fb>
    <v>23</v>
  </rv>
  <rv s="1">
    <fb>1171681</fb>
    <v>13</v>
  </rv>
  <rv s="6">
    <v>#VALUE!</v>
    <v>en-ID</v>
    <v>e2330abd-3509-8dcd-5446-d0bdb068233e</v>
    <v>536870912</v>
    <v>1</v>
    <v>34</v>
    <v>20</v>
    <v>Gorontalo</v>
    <v>9</v>
    <v>10</v>
    <v>Map</v>
    <v>11</v>
    <v>29</v>
    <v>ID-GO</v>
    <v>34</v>
    <v>35</v>
    <v>3</v>
    <v>Gorontalo is a province of Indonesia on the island of Sulawesi. Located on the Minahasa Peninsula, Gorontalo was formerly part of the province of North Sulawesi until its inauguration as a separate province on 5 December 2000. The provincial capital, as well as the main gateway to the province and its most populated city, is Gorontalo.</v>
    <v>36</v>
    <v>37</v>
    <v>35</v>
    <v>38</v>
    <v>39</v>
    <v>Gorontalo</v>
    <v>40</v>
    <v>41</v>
    <v>Gorontalo</v>
    <v>mdp/vdpid/161831938</v>
  </rv>
  <rv s="1">
    <fb>64.790000000000006</fb>
    <v>13</v>
  </rv>
  <rv s="2">
    <v>4</v>
    <v>11</v>
    <v>38</v>
    <v>7</v>
    <v>0</v>
    <v>Image of Gorontalo</v>
  </rv>
  <rv s="1">
    <fb>0.6411789</fb>
    <v>15</v>
  </rv>
  <rv s="3">
    <v>6</v>
  </rv>
  <rv s="1">
    <fb>122.7274115</fb>
    <v>15</v>
  </rv>
  <rv s="1">
    <fb>198539</fb>
    <v>13</v>
  </rv>
  <rv s="3">
    <v>7</v>
  </rv>
  <rv s="5">
    <v>#VALUE!</v>
    <v>en-ID</v>
    <v>111c283d-245b-9202-9cc0-e118f4b919f9</v>
    <v>536870912</v>
    <v>1</v>
    <v>37</v>
    <v>6</v>
    <v>Gorontalo</v>
    <v>9</v>
    <v>10</v>
    <v>Map</v>
    <v>11</v>
    <v>12</v>
    <v>33</v>
    <v>43</v>
    <v>3</v>
    <v>Gorontalo is a city and the capital of the Gorontalo Province, Indonesia. It is on the island of Sulawesi. The city has an area of 79.59 km² and had a population of 179,991 at the 2010 census and 198,539 at the 2020 census; the official estimate as at mid 2021 was 199,788.</v>
    <v>44</v>
    <v>45</v>
    <v>46</v>
    <v>39</v>
    <v>47</v>
    <v>Gorontalo</v>
    <v>48</v>
    <v>49</v>
    <v>Gorontalo</v>
    <v>mdp/vdpid/7917294363321827329</v>
  </rv>
  <rv s="0">
    <v>536870912</v>
    <v>North Maluku</v>
    <v>4d1d7c2d-e3a4-666c-5b1d-1a8b18de3a5c</v>
    <v>en-ID</v>
    <v>Map</v>
  </rv>
  <rv s="1">
    <fb>31982.5</fb>
    <v>13</v>
  </rv>
  <rv s="0">
    <v>536870912</v>
    <v>Sofifi</v>
    <v>760a3fc4-5aba-a135-2ebb-eb7137c77aef</v>
    <v>en-ID</v>
    <v>Map</v>
  </rv>
  <rv s="1">
    <fb>214316</fb>
    <v>13</v>
  </rv>
  <rv s="2">
    <v>5</v>
    <v>11</v>
    <v>42</v>
    <v>7</v>
    <v>0</v>
    <v>Image of North Maluku</v>
  </rv>
  <rv s="0">
    <v>536870912</v>
    <v>Ternate</v>
    <v>1c5759ef-5894-7fab-a62b-08f60d745141</v>
    <v>en-ID</v>
    <v>Map</v>
  </rv>
  <rv s="0">
    <v>805306368</v>
    <v>Abdul Ghani Kasuba (Governor)</v>
    <v>f6c4e6cb-d5f8-44f0-a04c-1b846699907b</v>
    <v>en-ID</v>
    <v>Generic</v>
  </rv>
  <rv s="3">
    <v>8</v>
  </rv>
  <rv s="4">
    <v>https://www.bing.com/search?q=north+maluku+indonesia&amp;form=skydnc</v>
    <v>Learn more on Bing</v>
  </rv>
  <rv s="1">
    <fb>4.84</fb>
    <v>23</v>
  </rv>
  <rv s="1">
    <fb>1282937</fb>
    <v>13</v>
  </rv>
  <rv s="6">
    <v>#VALUE!</v>
    <v>en-ID</v>
    <v>4d1d7c2d-e3a4-666c-5b1d-1a8b18de3a5c</v>
    <v>536870912</v>
    <v>1</v>
    <v>41</v>
    <v>20</v>
    <v>North Maluku</v>
    <v>9</v>
    <v>10</v>
    <v>Map</v>
    <v>11</v>
    <v>29</v>
    <v>ID-MU</v>
    <v>52</v>
    <v>53</v>
    <v>3</v>
    <v>North Maluku is a province of Indonesia. It covers the northern part of the Maluku Islands, bordering the Pacific Ocean to the north, the Halmahera Sea to the east, the Molucca Sea to the west, and the Seram Sea to the south. The provincial capital is Sofifi on the largest island of Halmahera, while the largest city is the island city of Ternate. The population of North Maluku was 1,038,087 in the 2010 census, making it one of the least-populous provinces in Indonesia, but by the 2020 Census the population had risen to 1,282,937, and the official estimate as at mid 2022 was 1,319,338.</v>
    <v>54</v>
    <v>55</v>
    <v>56</v>
    <v>58</v>
    <v>59</v>
    <v>North Maluku</v>
    <v>60</v>
    <v>61</v>
    <v>North Maluku</v>
    <v>mdp/vdpid/161831939</v>
  </rv>
  <rv s="1">
    <fb>35</fb>
    <v>13</v>
  </rv>
  <rv s="1">
    <fb>0.73350599999999999</fb>
    <v>15</v>
  </rv>
  <rv s="4">
    <v>https://www.bing.com/search?q=sofifi+indonesia&amp;form=skydnc</v>
    <v>Learn more on Bing</v>
  </rv>
  <rv s="1">
    <fb>127.559618</fb>
    <v>15</v>
  </rv>
  <rv s="1">
    <fb>2498</fb>
    <v>13</v>
  </rv>
  <rv s="3">
    <v>9</v>
  </rv>
  <rv s="8">
    <v>#VALUE!</v>
    <v>en-ID</v>
    <v>760a3fc4-5aba-a135-2ebb-eb7137c77aef</v>
    <v>536870912</v>
    <v>1</v>
    <v>45</v>
    <v>46</v>
    <v>Sofifi</v>
    <v>9</v>
    <v>47</v>
    <v>Map</v>
    <v>11</v>
    <v>12</v>
    <v>51</v>
    <v>63</v>
    <v>3</v>
    <v>Sofifi is a town on the west coast of the Indonesian island of Halmahera, and since 2010 has been the capital of the province of North Maluku. It is located in North Oba District of the city of Tidore Islands. At the 2020 Census, the town had a population of 2,498, while North Oba District had a population of 19,552. Previously, Ternate had been the province's capital.</v>
    <v>64</v>
    <v>65</v>
    <v>66</v>
    <v>Sofifi</v>
    <v>67</v>
    <v>68</v>
    <v>Sofifi</v>
    <v>mdp/vdpid/7923863435656298497</v>
  </rv>
  <rv s="1">
    <fb>111.39</fb>
    <v>13</v>
  </rv>
  <rv s="1">
    <fb>0.78539000000000003</fb>
    <v>15</v>
  </rv>
  <rv s="3">
    <v>10</v>
  </rv>
  <rv s="4">
    <v>https://www.bing.com/search?q=ternate+indonesia&amp;form=skydnc</v>
    <v>Learn more on Bing</v>
  </rv>
  <rv s="1">
    <fb>127.36994900000001</fb>
    <v>15</v>
  </rv>
  <rv s="1">
    <fb>205001</fb>
    <v>13</v>
  </rv>
  <rv s="9">
    <v>#VALUE!</v>
    <v>en-ID</v>
    <v>1c5759ef-5894-7fab-a62b-08f60d745141</v>
    <v>536870912</v>
    <v>1</v>
    <v>50</v>
    <v>51</v>
    <v>Ternate</v>
    <v>9</v>
    <v>47</v>
    <v>Map</v>
    <v>11</v>
    <v>12</v>
    <v>51</v>
    <v>70</v>
    <v>3</v>
    <v>Ternate is a city in the Indonesian province of North Maluku and an island in the Maluku Islands. It was the de facto provincial capital of North Maluku before Sofifi on the nearby coast of Halmahera became the capital in 2010. It is off the west coast of Halmahera, and is composed of eight islands: Ternate, the biggest and main island of the city, and Moti, Hiri, Tifure, Mayau, Makka, Mano, and Gurida. In total, the city has a land area of 162.17 square kilometres and had a total population of 185,705 according to the 2010 census, and 205,001 according to the 2020 census, with a density of 1,264 people per square kilometre. It is the biggest and most densely populated city in the province, is the economic, cultural, and education center of North Maluku, and acts as a hub to neighbouring regions. It was the capital of the Sultanate of Ternate in the 15th and 16th centuries, and fought against the Sultanate of Tidore over control of the spice trade in the Moluccas before becoming a main interest to competing European powers.</v>
    <v>71</v>
    <v>72</v>
    <v>73</v>
    <v>74</v>
    <v>Ternate</v>
    <v>75</v>
    <v>Ternate</v>
    <v>mdp/vdpid/7923860916087554049</v>
  </rv>
  <rv s="0">
    <v>536870912</v>
    <v>East Kalimantan</v>
    <v>1c25ef68-f0fa-78fc-107b-520cea759d8a</v>
    <v>en-ID</v>
    <v>Map</v>
  </rv>
  <rv s="1">
    <fb>127346.92</fb>
    <v>13</v>
  </rv>
  <rv s="0">
    <v>536870912</v>
    <v>Samarinda</v>
    <v>62be2d86-44ee-6529-2cd8-f7e208dd7bec</v>
    <v>en-ID</v>
    <v>Map</v>
  </rv>
  <rv s="1">
    <fb>870912</fb>
    <v>13</v>
  </rv>
  <rv s="2">
    <v>6</v>
    <v>11</v>
    <v>56</v>
    <v>7</v>
    <v>0</v>
    <v>Image of East Kalimantan</v>
  </rv>
  <rv s="0">
    <v>536870912</v>
    <v>Kalimantan</v>
    <v>48aa7165-5c3e-8f0f-dc18-7912239a9af0</v>
    <v>en-ID</v>
    <v>Map</v>
  </rv>
  <rv s="0">
    <v>805306368</v>
    <v>Isran Noor (Governor)</v>
    <v>0db2c870-7bb7-e525-f6bf-a3c0750d53d6</v>
    <v>en-ID</v>
    <v>Generic</v>
  </rv>
  <rv s="3">
    <v>11</v>
  </rv>
  <rv s="4">
    <v>https://www.bing.com/search?q=east+kalimantan&amp;form=skydnc</v>
    <v>Learn more on Bing</v>
  </rv>
  <rv s="1">
    <fb>4.08</fb>
    <v>23</v>
  </rv>
  <rv s="1">
    <fb>3766039</fb>
    <v>13</v>
  </rv>
  <rv s="6">
    <v>#VALUE!</v>
    <v>en-ID</v>
    <v>1c25ef68-f0fa-78fc-107b-520cea759d8a</v>
    <v>536870912</v>
    <v>1</v>
    <v>55</v>
    <v>20</v>
    <v>East Kalimantan</v>
    <v>9</v>
    <v>10</v>
    <v>Map</v>
    <v>11</v>
    <v>29</v>
    <v>ID-KI</v>
    <v>78</v>
    <v>79</v>
    <v>3</v>
    <v>East Kalimantan is a province of Indonesia. Its territory comprises the eastern portion of Borneo. It had a population of about 3.03 million at the 2010 census, 3.42 million at the 2015 census, and 3.766 million at the 2020 census. The official estimate as at mid 2022 was 3,859,783. Its capital is the city of Samarinda.</v>
    <v>80</v>
    <v>81</v>
    <v>82</v>
    <v>84</v>
    <v>85</v>
    <v>East Kalimantan</v>
    <v>86</v>
    <v>87</v>
    <v>East Kalimantan</v>
    <v>mdp/vdpid/10107408</v>
  </rv>
  <rv s="1">
    <fb>718</fb>
    <v>13</v>
  </rv>
  <rv s="2">
    <v>7</v>
    <v>11</v>
    <v>62</v>
    <v>7</v>
    <v>0</v>
    <v>Image of Samarinda</v>
  </rv>
  <rv s="1">
    <fb>-0.50210600000000005</fb>
    <v>15</v>
  </rv>
  <rv s="3">
    <v>12</v>
  </rv>
  <rv s="4">
    <v>https://www.bing.com/search?q=samarinda+indonesia&amp;form=skydnc</v>
    <v>Learn more on Bing</v>
  </rv>
  <rv s="1">
    <fb>117.153706</fb>
    <v>15</v>
  </rv>
  <rv s="1">
    <fb>831460</fb>
    <v>13</v>
  </rv>
  <rv s="5">
    <v>#VALUE!</v>
    <v>en-ID</v>
    <v>62be2d86-44ee-6529-2cd8-f7e208dd7bec</v>
    <v>536870912</v>
    <v>1</v>
    <v>60</v>
    <v>6</v>
    <v>Samarinda</v>
    <v>9</v>
    <v>10</v>
    <v>Map</v>
    <v>11</v>
    <v>61</v>
    <v>77</v>
    <v>89</v>
    <v>3</v>
    <v>Samarinda is the capital city of the Indonesian province of East Kalimantan on the island of Borneo. The city lies on the banks of the Mahakam River with a land area of 718 km². Samarinda is Indonesia's top ten Most Liveable Cities in 2022, ranks first on East Kalimantan Human Development Index and it is the most populous city on the entire Borneo island, with a population of 727,500 at the 2010 Census and 827,994 at the 2020 Census; the official estimate as at mid 2021 was 831,460.</v>
    <v>90</v>
    <v>91</v>
    <v>92</v>
    <v>93</v>
    <v>94</v>
    <v>Samarinda</v>
    <v>95</v>
    <v>49</v>
    <v>Samarinda</v>
    <v>mdp/vdpid/8683723515465039873</v>
  </rv>
  <rv s="1">
    <fb>539237.77</fb>
    <v>13</v>
  </rv>
  <rv s="2">
    <v>8</v>
    <v>11</v>
    <v>68</v>
    <v>7</v>
    <v>0</v>
    <v>Image of Kalimantan</v>
  </rv>
  <rv s="1">
    <fb>-0.65</fb>
    <v>15</v>
  </rv>
  <rv s="4">
    <v>https://www.bing.com/search?q=kalimantan&amp;form=skydnc</v>
    <v>Learn more on Bing</v>
  </rv>
  <rv s="1">
    <fb>112.68300000000001</fb>
    <v>15</v>
  </rv>
  <rv s="1">
    <fb>16625796</fb>
    <v>13</v>
  </rv>
  <rv s="3">
    <v>13</v>
  </rv>
  <rv s="10">
    <v>#VALUE!</v>
    <v>en-ID</v>
    <v>48aa7165-5c3e-8f0f-dc18-7912239a9af0</v>
    <v>536870912</v>
    <v>1</v>
    <v>64</v>
    <v>65</v>
    <v>Kalimantan</v>
    <v>66</v>
    <v>67</v>
    <v>Map</v>
    <v>11</v>
    <v>12</v>
    <v>77</v>
    <v>97</v>
    <v>3</v>
    <v>Kalimantan is the Indonesian portion of the island of Borneo. It constitutes 73% of the island's area. The non-Indonesian parts of Borneo are Brunei and East Malaysia. In Indonesia, "Kalimantan" refers to the whole island of Borneo.</v>
    <v>98</v>
    <v>99</v>
    <v>100</v>
    <v>101</v>
    <v>Kalimantan</v>
    <v>102</v>
    <v>103</v>
    <v>Kalimantan</v>
    <v>mdp/vdpid/8682965459508658177</v>
  </rv>
  <rv s="0">
    <v>536870912</v>
    <v>North Kalimantan</v>
    <v>669e45da-91e6-45ec-af06-a29b2ed52f69</v>
    <v>en-ID</v>
    <v>Map</v>
  </rv>
  <rv s="1">
    <fb>71827.3</fb>
    <v>13</v>
  </rv>
  <rv s="0">
    <v>536870912</v>
    <v>Tanjung Selor</v>
    <v>0b68a8fc-483d-78e9-2513-c4b1892699ea</v>
    <v>en-ID</v>
    <v>Map</v>
  </rv>
  <rv s="2">
    <v>9</v>
    <v>11</v>
    <v>72</v>
    <v>7</v>
    <v>0</v>
    <v>Image of North Kalimantan</v>
  </rv>
  <rv s="3">
    <v>14</v>
  </rv>
  <rv s="4">
    <v>https://www.bing.com/search?q=north+kalimantan&amp;form=skydnc</v>
    <v>Learn more on Bing</v>
  </rv>
  <rv s="1">
    <fb>701784</fb>
    <v>13</v>
  </rv>
  <rv s="11">
    <v>#VALUE!</v>
    <v>en-ID</v>
    <v>669e45da-91e6-45ec-af06-a29b2ed52f69</v>
    <v>536870912</v>
    <v>1</v>
    <v>70</v>
    <v>71</v>
    <v>North Kalimantan</v>
    <v>9</v>
    <v>10</v>
    <v>Map</v>
    <v>11</v>
    <v>12</v>
    <v>ID-KU</v>
    <v>106</v>
    <v>107</v>
    <v>3</v>
    <v>North Kalimantan is a province of Indonesia. It is located on the northernmost of Kalimantan, the Indonesian part of the island of Borneo. North Kalimantan borders the Malaysian states of Sabah to the north and Sarawak to the west, and by the Indonesian province of East Kalimantan to the south. Tanjung Selor serves as the capital of the province, while Tarakan is the largest city and the financial centre.</v>
    <v>108</v>
    <v>109</v>
    <v>110</v>
    <v>North Kalimantan</v>
    <v>111</v>
    <v>North Kalimantan</v>
    <v>mdp/vdpid/7844612170846306305</v>
  </rv>
  <rv s="1">
    <fb>677.77</fb>
    <v>13</v>
  </rv>
  <rv s="2">
    <v>10</v>
    <v>11</v>
    <v>78</v>
    <v>7</v>
    <v>0</v>
    <v>Image of Tanjung Selor</v>
  </rv>
  <rv s="1">
    <fb>2.8397220000000001</fb>
    <v>15</v>
  </rv>
  <rv s="4">
    <v>https://www.bing.com/search?q=tanjung+selor+north+kalimantan&amp;form=skydnc</v>
    <v>Learn more on Bing</v>
  </rv>
  <rv s="1">
    <fb>117.374275</fb>
    <v>15</v>
  </rv>
  <rv s="12">
    <v>#VALUE!</v>
    <v>en-ID</v>
    <v>0b68a8fc-483d-78e9-2513-c4b1892699ea</v>
    <v>536870912</v>
    <v>1</v>
    <v>75</v>
    <v>76</v>
    <v>Tanjung Selor</v>
    <v>9</v>
    <v>10</v>
    <v>Map</v>
    <v>11</v>
    <v>77</v>
    <v>105</v>
    <v>113</v>
    <v>3</v>
    <v>Tanjung Selor is the capital of both the North Kalimantan province in Indonesia, and of the Bulungan Regency. It is among provincial capitals in Indonesia that as of 2021 does not yet have city status, together with Mamuju in West Sulawesi, Sofifi in North Maluku, Nabire in Central Papua, Wamena in Highland Papua, Merauke in South Papua, and Manokwari in West Papua. The district has an area of 677.77 km² and had a population of 39,439 at the 2010 Census and 56,569 at the 2020 Census.</v>
    <v>114</v>
    <v>115</v>
    <v>116</v>
    <v>117</v>
    <v>Tanjung Selor</v>
    <v>49</v>
    <v>Tanjung Selor</v>
    <v>mdp/vdpid/7913915141807144961</v>
  </rv>
  <rv s="0">
    <v>536870912</v>
    <v>Sampit</v>
    <v>7c383432-df2b-e964-2440-b86d716bb200</v>
    <v>en-ID</v>
    <v>Map</v>
  </rv>
  <rv s="0">
    <v>536870912</v>
    <v>Central Kalimantan</v>
    <v>8d3f7094-f4c0-94dc-e426-1fcab06739ff</v>
    <v>en-ID</v>
    <v>Map</v>
  </rv>
  <rv s="1">
    <fb>751.45</fb>
    <v>13</v>
  </rv>
  <rv s="2">
    <v>11</v>
    <v>11</v>
    <v>81</v>
    <v>7</v>
    <v>0</v>
    <v>Image of Sampit</v>
  </rv>
  <rv s="1">
    <fb>-2.5311140000000001</fb>
    <v>15</v>
  </rv>
  <rv s="4">
    <v>https://www.bing.com/search?q=sampit+central+kalimantan&amp;form=skydnc</v>
    <v>Learn more on Bing</v>
  </rv>
  <rv s="1">
    <fb>112.956177</fb>
    <v>15</v>
  </rv>
  <rv s="12">
    <v>#VALUE!</v>
    <v>en-ID</v>
    <v>7c383432-df2b-e964-2440-b86d716bb200</v>
    <v>536870912</v>
    <v>1</v>
    <v>80</v>
    <v>76</v>
    <v>Sampit</v>
    <v>9</v>
    <v>10</v>
    <v>Map</v>
    <v>11</v>
    <v>77</v>
    <v>120</v>
    <v>121</v>
    <v>3</v>
    <v>Sampit is a large town located in East Kotawaringin Regency, Central Kalimantan. Previously a timber port town, it has grown to be a medium-sized community with a population of 166,773 according to Statistics Indonesia in 2019, with the economy having since divested from timber products. However, the town is not an autonomous city and not an administrative division by despite having a sizeable population and urban built-up. It consists of 11 urban villages from Baamang District, Seranau District, and Mentawa Baru Ketapang District. The total area of the town is 751.45 square kilometres.</v>
    <v>122</v>
    <v>123</v>
    <v>124</v>
    <v>125</v>
    <v>Sampit</v>
    <v>10</v>
    <v>Sampit</v>
    <v>mdp/vdpid/8683319237340561409</v>
  </rv>
  <rv s="1">
    <fb>153564.5</fb>
    <v>13</v>
  </rv>
  <rv s="0">
    <v>536870912</v>
    <v>Palangkaraya</v>
    <v>23607862-9581-0ebf-5c90-16a8bd715ac9</v>
    <v>en-ID</v>
    <v>Map</v>
  </rv>
  <rv s="1">
    <fb>572792</fb>
    <v>13</v>
  </rv>
  <rv s="2">
    <v>12</v>
    <v>11</v>
    <v>86</v>
    <v>7</v>
    <v>0</v>
    <v>Image of Central Kalimantan</v>
  </rv>
  <rv s="0">
    <v>805306368</v>
    <v>Sugianto Sabran (Governor)</v>
    <v>c80eaad9-caae-ce1e-bd02-250ba8ebe8d7</v>
    <v>en-ID</v>
    <v>Generic</v>
  </rv>
  <rv s="3">
    <v>15</v>
  </rv>
  <rv s="4">
    <v>https://www.bing.com/search?q=central+kalimantan&amp;form=skydnc</v>
    <v>Learn more on Bing</v>
  </rv>
  <rv s="1">
    <fb>3.86</fb>
    <v>23</v>
  </rv>
  <rv s="1">
    <fb>2669969</fb>
    <v>13</v>
  </rv>
  <rv s="6">
    <v>#VALUE!</v>
    <v>en-ID</v>
    <v>8d3f7094-f4c0-94dc-e426-1fcab06739ff</v>
    <v>536870912</v>
    <v>1</v>
    <v>85</v>
    <v>20</v>
    <v>Central Kalimantan</v>
    <v>9</v>
    <v>10</v>
    <v>Map</v>
    <v>11</v>
    <v>29</v>
    <v>ID-KT</v>
    <v>127</v>
    <v>128</v>
    <v>3</v>
    <v>Central Kalimantan is a province of Indonesia. It is one of five provinces in Kalimantan, the Indonesian part of Borneo. Its provincial capital is Palangka Raya and in 2010 its population was over 2.2 million, while the 2020 Census showed a total of almost 2.67 million; the official estimate as at mid 2022 was 2,741,075.</v>
    <v>129</v>
    <v>130</v>
    <v>128</v>
    <v>132</v>
    <v>133</v>
    <v>Central Kalimantan</v>
    <v>134</v>
    <v>135</v>
    <v>Central Kalimantan</v>
    <v>mdp/vdpid/10107407</v>
  </rv>
  <rv s="1">
    <fb>2399.5</fb>
    <v>13</v>
  </rv>
  <rv s="2">
    <v>13</v>
    <v>11</v>
    <v>90</v>
    <v>7</v>
    <v>0</v>
    <v>Image of Palangka Raya</v>
  </rv>
  <rv s="1">
    <fb>-2.2150479999999999</fb>
    <v>15</v>
  </rv>
  <rv s="3">
    <v>16</v>
  </rv>
  <rv s="4">
    <v>https://www.bing.com/search?q=palangkaraya+indonesia&amp;form=skydnc</v>
    <v>Learn more on Bing</v>
  </rv>
  <rv s="1">
    <fb>113.922501</fb>
    <v>15</v>
  </rv>
  <rv s="1">
    <fb>249434</fb>
    <v>13</v>
  </rv>
  <rv s="5">
    <v>#VALUE!</v>
    <v>en-ID</v>
    <v>23607862-9581-0ebf-5c90-16a8bd715ac9</v>
    <v>536870912</v>
    <v>1</v>
    <v>88</v>
    <v>6</v>
    <v>Palangka Raya</v>
    <v>9</v>
    <v>10</v>
    <v>Map</v>
    <v>11</v>
    <v>89</v>
    <v>120</v>
    <v>137</v>
    <v>3</v>
    <v>Palangka Raya is the capital and largest city of the Indonesian province of Central Kalimantan. The city is situated between the Kahayan and the Sabangau rivers on the island of Borneo. As of the 2020 census, the city has a population of 293,500; the official estimate as at mid 2022 was 305,907. Palangka Raya is the largest city by land area in Indonesia. Most of the area is forested including protected forests, nature conservation areas, and Tangkiling Forest). It also has the highest Human Development Index rating of any city in Kalimantan.</v>
    <v>138</v>
    <v>139</v>
    <v>140</v>
    <v>141</v>
    <v>142</v>
    <v>Palangka Raya</v>
    <v>143</v>
    <v>10</v>
    <v>Palangka Raya</v>
    <v>mdp/vdpid/8683433786836254721</v>
  </rv>
  <rv s="0">
    <v>536870912</v>
    <v>Bogor</v>
    <v>9387c055-1330-9ead-80d5-9c809c4b8445</v>
    <v>en-ID</v>
    <v>Map</v>
  </rv>
  <rv s="0">
    <v>536870912</v>
    <v>West Java</v>
    <v>931eb2be-2b48-b0ff-4997-05f06cf85b18</v>
    <v>en-ID</v>
    <v>Map</v>
  </rv>
  <rv s="1">
    <fb>118.5</fb>
    <v>13</v>
  </rv>
  <rv s="2">
    <v>14</v>
    <v>11</v>
    <v>95</v>
    <v>7</v>
    <v>0</v>
    <v>Image of Bogor</v>
  </rv>
  <rv s="1">
    <fb>-6.5971222000000003</fb>
    <v>15</v>
  </rv>
  <rv s="0">
    <v>805306368</v>
    <v>Bima Arya Sugiarto (Mayor)</v>
    <v>401df55a-bfd5-69d2-dbd7-7ad9c998c47f</v>
    <v>en-ID</v>
    <v>Generic</v>
  </rv>
  <rv s="3">
    <v>17</v>
  </rv>
  <rv s="4">
    <v>https://www.bing.com/search?q=bogor&amp;form=skydnc</v>
    <v>Learn more on Bing</v>
  </rv>
  <rv s="1">
    <fb>106.79522249999999</fb>
    <v>15</v>
  </rv>
  <rv s="1">
    <fb>1091396</fb>
    <v>13</v>
  </rv>
  <rv s="5">
    <v>#VALUE!</v>
    <v>en-ID</v>
    <v>9387c055-1330-9ead-80d5-9c809c4b8445</v>
    <v>536870912</v>
    <v>1</v>
    <v>94</v>
    <v>6</v>
    <v>Bogor</v>
    <v>9</v>
    <v>10</v>
    <v>Map</v>
    <v>11</v>
    <v>61</v>
    <v>146</v>
    <v>147</v>
    <v>3</v>
    <v>Bogor is a city in the West Java province, Indonesia. Located around 60 kilometers south of the national capital of Jakarta, Bogor is the 6th largest city in the Jakarta metropolitan area and the 14th overall nationwide. The city covers an area of 118.50 km², and it had a population of 950,334 in the 2010 Census and 1,043,070 in the 2020 Census. The official estimate at the end of 2022 is 1,114,018. Bogor is an important economic, scientific, cultural, and tourist center, as well as a mountain resort.</v>
    <v>148</v>
    <v>149</v>
    <v>151</v>
    <v>152</v>
    <v>153</v>
    <v>Bogor</v>
    <v>154</v>
    <v>10</v>
    <v>Bogor</v>
    <v>mdp/vdpid/8661248394825564162</v>
  </rv>
  <rv s="1">
    <fb>35377.760000000002</fb>
    <v>13</v>
  </rv>
  <rv s="0">
    <v>536870912</v>
    <v>Bandung</v>
    <v>ed67fa8f-ea47-ab3d-d5cc-730be457c2e0</v>
    <v>en-ID</v>
    <v>Map</v>
  </rv>
  <rv s="1">
    <fb>11493124</fb>
    <v>13</v>
  </rv>
  <rv s="2">
    <v>15</v>
    <v>11</v>
    <v>101</v>
    <v>7</v>
    <v>0</v>
    <v>Image of West Java</v>
  </rv>
  <rv s="0">
    <v>805306368</v>
    <v>Ridwan Kamil (Governor)</v>
    <v>98e0fe34-9162-f61b-c64f-50d26ccb7fe9</v>
    <v>en-ID</v>
    <v>Generic</v>
  </rv>
  <rv s="3">
    <v>18</v>
  </rv>
  <rv s="4">
    <v>https://www.bing.com/search?q=west+java+indonesia&amp;form=skydnc</v>
    <v>Learn more on Bing</v>
  </rv>
  <rv s="1">
    <fb>3.75</fb>
    <v>23</v>
  </rv>
  <rv s="1">
    <fb>48782402</fb>
    <v>13</v>
  </rv>
  <rv s="6">
    <v>#VALUE!</v>
    <v>en-ID</v>
    <v>931eb2be-2b48-b0ff-4997-05f06cf85b18</v>
    <v>536870912</v>
    <v>1</v>
    <v>100</v>
    <v>20</v>
    <v>West Java</v>
    <v>9</v>
    <v>10</v>
    <v>Map</v>
    <v>11</v>
    <v>21</v>
    <v>ID-JB</v>
    <v>156</v>
    <v>157</v>
    <v>3</v>
    <v>West Java is a province of Indonesia on the western part of the island of Java, with its provincial capital in Bandung. West Java is bordered by the province of Banten and the country's capital region of Jakarta to the west, the Java Sea to the north, the province of Central Java to the east and the Indian Ocean to the south. With Banten, this province is the native homeland of the Sundanese people, the second-largest ethnic group in Indonesia.</v>
    <v>158</v>
    <v>159</v>
    <v>157</v>
    <v>161</v>
    <v>162</v>
    <v>West Java</v>
    <v>163</v>
    <v>164</v>
    <v>West Java</v>
    <v>mdp/vdpid/7320079</v>
  </rv>
  <rv s="0">
    <v>536870912</v>
    <v>Lubuklinggau</v>
    <v>9c7e2031-5f3d-8fa0-dac1-a0f4b08b08b7</v>
    <v>en-ID</v>
    <v>Map</v>
  </rv>
  <rv s="0">
    <v>536870912</v>
    <v>South Sumatra</v>
    <v>3f0b33c1-6f1e-a592-3d72-2b8e053c5609</v>
    <v>en-ID</v>
    <v>Map</v>
  </rv>
  <rv s="1">
    <fb>401.5</fb>
    <v>13</v>
  </rv>
  <rv s="2">
    <v>16</v>
    <v>11</v>
    <v>104</v>
    <v>7</v>
    <v>0</v>
    <v>Image of Lubuklinggau</v>
  </rv>
  <rv s="1">
    <fb>-3.2922061999999999</fb>
    <v>15</v>
  </rv>
  <rv s="3">
    <v>19</v>
  </rv>
  <rv s="4">
    <v>https://www.bing.com/search?q=lubuklinggau+indonesia&amp;form=skydnc</v>
    <v>Learn more on Bing</v>
  </rv>
  <rv s="1">
    <fb>102.86655519999999</fb>
    <v>15</v>
  </rv>
  <rv s="1">
    <fb>234166</fb>
    <v>13</v>
  </rv>
  <rv s="5">
    <v>#VALUE!</v>
    <v>en-ID</v>
    <v>9c7e2031-5f3d-8fa0-dac1-a0f4b08b08b7</v>
    <v>536870912</v>
    <v>1</v>
    <v>103</v>
    <v>6</v>
    <v>Lubuklinggau</v>
    <v>9</v>
    <v>10</v>
    <v>Map</v>
    <v>11</v>
    <v>12</v>
    <v>167</v>
    <v>168</v>
    <v>3</v>
    <v>Lubuklinggau, is a city in South Sumatra, Indonesia. It has an area of 401.50 km² and had a population of 201,308 at the 2010 Census and 234,166 at the 2020 Census; the official estimate as at mid 2022 was 240,238. The city was formerly part of the Musi Rawas Regency from which it was separated on 21 June 2001.</v>
    <v>169</v>
    <v>170</v>
    <v>171</v>
    <v>172</v>
    <v>173</v>
    <v>Lubuklinggau</v>
    <v>174</v>
    <v>10</v>
    <v>Lubuklinggau</v>
    <v>mdp/vdpid/8657206343456784385</v>
  </rv>
  <rv s="1">
    <fb>91592</fb>
    <v>13</v>
  </rv>
  <rv s="0">
    <v>536870912</v>
    <v>Palembang</v>
    <v>bba523ab-1bf8-2798-94fc-1eda6ff57798</v>
    <v>en-ID</v>
    <v>Map</v>
  </rv>
  <rv s="1">
    <fb>1813436</fb>
    <v>13</v>
  </rv>
  <rv s="2">
    <v>17</v>
    <v>11</v>
    <v>109</v>
    <v>7</v>
    <v>0</v>
    <v>Image of South Sumatra</v>
  </rv>
  <rv s="0">
    <v>805306368</v>
    <v>Herman Deru (Governor)</v>
    <v>9b7a4138-3ee8-6611-520d-1235a79c3926</v>
    <v>en-ID</v>
    <v>Generic</v>
  </rv>
  <rv s="3">
    <v>20</v>
  </rv>
  <rv s="4">
    <v>https://www.bing.com/search?q=south+sumatra+indonesia&amp;form=skydnc</v>
    <v>Learn more on Bing</v>
  </rv>
  <rv s="1">
    <fb>4.1100000000000003</fb>
    <v>23</v>
  </rv>
  <rv s="1">
    <fb>8467432</fb>
    <v>13</v>
  </rv>
  <rv s="6">
    <v>#VALUE!</v>
    <v>en-ID</v>
    <v>3f0b33c1-6f1e-a592-3d72-2b8e053c5609</v>
    <v>536870912</v>
    <v>1</v>
    <v>108</v>
    <v>20</v>
    <v>South Sumatra</v>
    <v>9</v>
    <v>10</v>
    <v>Map</v>
    <v>11</v>
    <v>29</v>
    <v>ID-SS</v>
    <v>176</v>
    <v>177</v>
    <v>3</v>
    <v>South Sumatra is a province of Indonesia, located on the southeast of the island of Sumatra, The province is 91,592.43 km² and has a population of 8,467,432 at the 2020 Census; the official estimate as at mid-2022 was 8,657,008. The capital of the province is the city of Palembang. The province borders the provinces of Jambi to the north, Bengkulu to the west and Lampung to the south. The Bangka Strait in the east separates South Sumatra and the island of Bangka, which is part of the Bangka Belitung Islands province. The province is rich in natural resources, such as petroleum, natural gas and coal. The province is inhabited by many different ethnic groups, with Palembangese being largest ethnic group. Most speak the Palembang language, which is mutually intelligible to both Indonesian and local Palembang Malay. Other ethnic groups include the Javanese, Sundanese, Minangkabau and Chinese. Most are concentrated in urban areas and are largely immigrants from other parts of Indonesia.</v>
    <v>178</v>
    <v>179</v>
    <v>177</v>
    <v>181</v>
    <v>182</v>
    <v>South Sumatra</v>
    <v>183</v>
    <v>184</v>
    <v>South Sumatra</v>
    <v>mdp/vdpid/7301883</v>
  </rv>
  <rv s="1">
    <fb>374.03</fb>
    <v>13</v>
  </rv>
  <rv s="2">
    <v>18</v>
    <v>11</v>
    <v>114</v>
    <v>7</v>
    <v>0</v>
    <v>Image of Palembang</v>
  </rv>
  <rv s="1">
    <fb>-2.987965</fb>
    <v>15</v>
  </rv>
  <rv s="0">
    <v>805306368</v>
    <v>Harnojoyo (Mayor)</v>
    <v>d4b602e1-5238-76f7-f67c-ee24678d9324</v>
    <v>en-ID</v>
    <v>Generic</v>
  </rv>
  <rv s="3">
    <v>21</v>
  </rv>
  <rv s="4">
    <v>https://www.bing.com/search?q=palembang&amp;form=skydnc</v>
    <v>Learn more on Bing</v>
  </rv>
  <rv s="1">
    <fb>104.76031399999999</fb>
    <v>15</v>
  </rv>
  <rv s="1">
    <fb>1668848</fb>
    <v>13</v>
  </rv>
  <rv s="5">
    <v>#VALUE!</v>
    <v>en-ID</v>
    <v>bba523ab-1bf8-2798-94fc-1eda6ff57798</v>
    <v>536870912</v>
    <v>1</v>
    <v>113</v>
    <v>6</v>
    <v>Palembang</v>
    <v>9</v>
    <v>10</v>
    <v>Map</v>
    <v>11</v>
    <v>12</v>
    <v>167</v>
    <v>186</v>
    <v>3</v>
    <v>Palembang is the capital city of the Indonesian province of South Sumatra. The city proper covers 352.51 square kilometres on both banks of the Musi River in the eastern lowlands of southern Sumatra. It had a population of 1,668,848 at the 2020 Census; the official estimate as at mid 2022 was 1,729,546. Palembang is the second most populous city in Sumatra, after Medan, and the twelfth most populous city in Indonesia.</v>
    <v>187</v>
    <v>188</v>
    <v>190</v>
    <v>191</v>
    <v>192</v>
    <v>Palembang</v>
    <v>193</v>
    <v>10</v>
    <v>Palembang</v>
    <v>mdp/vdpid/8657620482087976961</v>
  </rv>
  <rv s="0">
    <v>536870912</v>
    <v>Jambi</v>
    <v>f9f17551-f6f4-8e98-3914-364646c1f529</v>
    <v>en-ID</v>
    <v>Map</v>
  </rv>
  <rv s="1">
    <fb>50058.16</fb>
    <v>13</v>
  </rv>
  <rv s="0">
    <v>536870912</v>
    <v>Jambi</v>
    <v>66072732-3b09-55a3-44c5-8d4945151ba8</v>
    <v>en-ID</v>
    <v>Map</v>
  </rv>
  <rv s="1">
    <fb>770610</fb>
    <v>13</v>
  </rv>
  <rv s="2">
    <v>19</v>
    <v>11</v>
    <v>121</v>
    <v>7</v>
    <v>0</v>
    <v>Image of Jambi</v>
  </rv>
  <rv s="3">
    <v>22</v>
  </rv>
  <rv s="4">
    <v>https://www.bing.com/search?q=jambi&amp;form=skydnc</v>
    <v>Learn more on Bing</v>
  </rv>
  <rv s="1">
    <fb>4.01</fb>
    <v>23</v>
  </rv>
  <rv s="1">
    <fb>3548228</fb>
    <v>13</v>
  </rv>
  <rv s="13">
    <v>#VALUE!</v>
    <v>en-ID</v>
    <v>f9f17551-f6f4-8e98-3914-364646c1f529</v>
    <v>536870912</v>
    <v>1</v>
    <v>119</v>
    <v>120</v>
    <v>Jambi</v>
    <v>9</v>
    <v>10</v>
    <v>Map</v>
    <v>11</v>
    <v>29</v>
    <v>ID-JA</v>
    <v>196</v>
    <v>197</v>
    <v>3</v>
    <v>Jambi is a province of Indonesia. It is located on the east coast of central Sumatra and spans to the Barisan Mountains in the west. Its capital and largest city is Jambi. The province has a land area of 49,026.58 km², and a sea area of 3,274.95 km². It had a population of 3,092,265 according to the 2010 census and 3,548,228 according to the 2020 census. The official estimate as at mid 2022 was 3,631,136.</v>
    <v>198</v>
    <v>199</v>
    <v>197</v>
    <v>200</v>
    <v>201</v>
    <v>Jambi</v>
    <v>202</v>
    <v>203</v>
    <v>10</v>
    <v>Jambi</v>
    <v>mdp/vdpid/7320291</v>
  </rv>
  <rv s="1">
    <fb>205.38</fb>
    <v>13</v>
  </rv>
  <rv s="1">
    <fb>-1.59</fb>
    <v>15</v>
  </rv>
  <rv s="3">
    <v>23</v>
  </rv>
  <rv s="4">
    <v>https://www.bing.com/search?q=jambi+indonesia&amp;form=skydnc</v>
    <v>Learn more on Bing</v>
  </rv>
  <rv s="1">
    <fb>103.61</fb>
    <v>15</v>
  </rv>
  <rv s="1">
    <fb>606200</fb>
    <v>13</v>
  </rv>
  <rv s="14">
    <v>#VALUE!</v>
    <v>en-ID</v>
    <v>66072732-3b09-55a3-44c5-8d4945151ba8</v>
    <v>536870912</v>
    <v>1</v>
    <v>126</v>
    <v>127</v>
    <v>Jambi</v>
    <v>9</v>
    <v>47</v>
    <v>Map</v>
    <v>11</v>
    <v>12</v>
    <v>195</v>
    <v>205</v>
    <v>3</v>
    <v>Jambi is the capital and largest city of the Indonesian province of Jambi. Located on the island of Sumatra, the city is a busy port on the Batang Hari River and an oil- and rubber-producing centre. The city is located 26 km from the ruins of Muaro Jambi Temple Compounds, an important city in the ancient Srivijaya kingdom.</v>
    <v>206</v>
    <v>207</v>
    <v>208</v>
    <v>209</v>
    <v>Jambi</v>
    <v>210</v>
    <v>10</v>
    <v>Jambi</v>
    <v>mdp/vdpid/8656383093873049601</v>
  </rv>
  <rv s="0">
    <v>536870912</v>
    <v>Banda Aceh</v>
    <v>2b98b759-0235-5ce9-9163-19056ef73108</v>
    <v>en-ID</v>
    <v>Map</v>
  </rv>
  <rv s="0">
    <v>536870912</v>
    <v>Aceh</v>
    <v>a7512e23-3525-d514-b5ee-6adb3af70ca0</v>
    <v>en-ID</v>
    <v>Map</v>
  </rv>
  <rv s="0">
    <v>536870912</v>
    <v>Aceh Besar Regency</v>
    <v>61008f61-a8b2-8011-f7e8-26095fd96173</v>
    <v>en-ID</v>
    <v>Map</v>
  </rv>
  <rv s="1">
    <fb>61.36</fb>
    <v>13</v>
  </rv>
  <rv s="2">
    <v>20</v>
    <v>11</v>
    <v>134</v>
    <v>7</v>
    <v>0</v>
    <v>Image of Banda Aceh</v>
  </rv>
  <rv s="1">
    <fb>5.55</fb>
    <v>15</v>
  </rv>
  <rv s="3">
    <v>24</v>
  </rv>
  <rv s="4">
    <v>https://www.bing.com/search?q=banda+aceh&amp;form=skydnc</v>
    <v>Learn more on Bing</v>
  </rv>
  <rv s="1">
    <fb>95.316666999999995</fb>
    <v>15</v>
  </rv>
  <rv s="1">
    <fb>255029</fb>
    <v>13</v>
  </rv>
  <rv s="15">
    <v>#VALUE!</v>
    <v>en-ID</v>
    <v>2b98b759-0235-5ce9-9163-19056ef73108</v>
    <v>536870912</v>
    <v>1</v>
    <v>132</v>
    <v>133</v>
    <v>Banda Aceh</v>
    <v>9</v>
    <v>10</v>
    <v>Map</v>
    <v>11</v>
    <v>61</v>
    <v>213</v>
    <v>214</v>
    <v>215</v>
    <v>3</v>
    <v>Banda Aceh is the capital and largest city in the province of Aceh, Indonesia. It is located on the island of Sumatra and has an elevation of 35 meters. The city covers an area of 61.36 square kilometers and had a population of 223,446 people at the 2010 Census, rising to 252,899 at the 2020 Census. The official estimate as at mid 2022 was 257,635.</v>
    <v>216</v>
    <v>217</v>
    <v>218</v>
    <v>219</v>
    <v>220</v>
    <v>Banda Aceh</v>
    <v>221</v>
    <v>10</v>
    <v>Banda Aceh</v>
    <v>mdp/vdpid/7877543918689058818</v>
  </rv>
  <rv s="1">
    <fb>58375.83</fb>
    <v>13</v>
  </rv>
  <rv s="1">
    <fb>1066348</fb>
    <v>13</v>
  </rv>
  <rv s="2">
    <v>21</v>
    <v>11</v>
    <v>139</v>
    <v>7</v>
    <v>0</v>
    <v>Image of Aceh</v>
  </rv>
  <rv s="3">
    <v>25</v>
  </rv>
  <rv s="4">
    <v>https://www.bing.com/search?q=aceh&amp;form=skydnc</v>
    <v>Learn more on Bing</v>
  </rv>
  <rv s="1">
    <fb>4.21</fb>
    <v>23</v>
  </rv>
  <rv s="1">
    <fb>5333733</fb>
    <v>13</v>
  </rv>
  <rv s="6">
    <v>#VALUE!</v>
    <v>en-ID</v>
    <v>a7512e23-3525-d514-b5ee-6adb3af70ca0</v>
    <v>536870912</v>
    <v>1</v>
    <v>138</v>
    <v>20</v>
    <v>Aceh</v>
    <v>9</v>
    <v>10</v>
    <v>Map</v>
    <v>11</v>
    <v>21</v>
    <v>ID-AC</v>
    <v>223</v>
    <v>212</v>
    <v>3</v>
    <v>Aceh, officially the Province of Aceh, is the westernmost province of Indonesia. It is located on the northern end of Sumatra island, with Banda Aceh being its capital and largest city. Granted a special autonomous status, Aceh is a religiously conservative territory and the only Indonesian province practicing the Sharia law officially. There are ten indigenous ethnic groups in this region, the largest being the Acehnese people, accounting for approximately 80% to 90% of the region's population.</v>
    <v>224</v>
    <v>225</v>
    <v>212</v>
    <v>226</v>
    <v>227</v>
    <v>Aceh</v>
    <v>228</v>
    <v>229</v>
    <v>Aceh</v>
    <v>mdp/vdpid/10107298</v>
  </rv>
  <rv s="0">
    <v>536870912</v>
    <v>East Java</v>
    <v>f76a129e-0160-9c71-d6b5-fb788a91af78</v>
    <v>en-ID</v>
    <v>Map</v>
  </rv>
  <rv s="1">
    <fb>47922</fb>
    <v>13</v>
  </rv>
  <rv s="0">
    <v>536870912</v>
    <v>Surabaya</v>
    <v>39447d74-ad88-b8fe-9c7b-b46d0c188f4d</v>
    <v>en-ID</v>
    <v>Map</v>
  </rv>
  <rv s="1">
    <fb>10379484</fb>
    <v>13</v>
  </rv>
  <rv s="2">
    <v>22</v>
    <v>11</v>
    <v>144</v>
    <v>7</v>
    <v>0</v>
    <v>Image of East Java</v>
  </rv>
  <rv s="0">
    <v>805306368</v>
    <v>Khofifah Indar Parawansa (Governor)</v>
    <v>b74934bd-8ec6-dec1-f97c-8bd7337090dc</v>
    <v>en-ID</v>
    <v>Generic</v>
  </rv>
  <rv s="3">
    <v>26</v>
  </rv>
  <rv s="4">
    <v>https://www.bing.com/search?q=east+java+indonesia&amp;form=skydnc</v>
    <v>Learn more on Bing</v>
  </rv>
  <rv s="1">
    <fb>3.61</fb>
    <v>23</v>
  </rv>
  <rv s="1">
    <fb>40878790</fb>
    <v>13</v>
  </rv>
  <rv s="6">
    <v>#VALUE!</v>
    <v>en-ID</v>
    <v>f76a129e-0160-9c71-d6b5-fb788a91af78</v>
    <v>536870912</v>
    <v>1</v>
    <v>143</v>
    <v>20</v>
    <v>East Java</v>
    <v>9</v>
    <v>10</v>
    <v>Map</v>
    <v>11</v>
    <v>21</v>
    <v>ID-JI</v>
    <v>232</v>
    <v>233</v>
    <v>3</v>
    <v>East Java is a province of Indonesia located in the easternmost hemisphere of Java island. It has a land border only with the province of Central Java to the west; the Java Sea and the Indian Ocean border its northern and southern coasts, respectively, while the narrow Bali Strait to the east separates Java from Bali by around 2.29 kilometres. Located in eastern Java, the province also includes the island of Madura, as well as the Kangean islands and other smaller island groups located further east and Masalembu archipelagos in the north. Its capital is Surabaya, the second largest city in Indonesia, a major industrial center and also a major business center. Banyuwangi is the largest regency in East Java and the largest on the island of Java.</v>
    <v>234</v>
    <v>235</v>
    <v>233</v>
    <v>237</v>
    <v>238</v>
    <v>East Java</v>
    <v>239</v>
    <v>240</v>
    <v>East Java</v>
    <v>mdp/vdpid/7320075</v>
  </rv>
  <rv s="1">
    <fb>374.78</fb>
    <v>13</v>
  </rv>
  <rv s="2">
    <v>23</v>
    <v>11</v>
    <v>150</v>
    <v>7</v>
    <v>0</v>
    <v>Image of Surabaya</v>
  </rv>
  <rv s="1">
    <fb>-7.2432559999999997</fb>
    <v>15</v>
  </rv>
  <rv s="3">
    <v>27</v>
  </rv>
  <rv s="4">
    <v>https://www.bing.com/search?q=surabaya&amp;form=skydnc</v>
    <v>Learn more on Bing</v>
  </rv>
  <rv s="1">
    <fb>112.741376</fb>
    <v>15</v>
  </rv>
  <rv s="1">
    <fb>2874314</fb>
    <v>13</v>
  </rv>
  <rv s="5">
    <v>#VALUE!</v>
    <v>en-ID</v>
    <v>39447d74-ad88-b8fe-9c7b-b46d0c188f4d</v>
    <v>536870912</v>
    <v>1</v>
    <v>149</v>
    <v>6</v>
    <v>Surabaya</v>
    <v>9</v>
    <v>10</v>
    <v>Map</v>
    <v>11</v>
    <v>12</v>
    <v>231</v>
    <v>242</v>
    <v>3</v>
    <v>Surabaya is the capital city of the Indonesian province of East Java and the second-largest city in Indonesia, after Jakarta. Located on the northeastern corner of Java island, on the Madura Strait, it is one of the earliest port cities in Southeast Asia. According to the National Development Planning Agency, Surabaya is one of the four main central cities of Indonesia, alongside Jakarta, Medan, and Makassar. The city has a population of 2.87 million within its city limits at the 2020 census and 9.9 million in the extended Surabaya metropolitan area, making it the second-largest metropolitan area in Indonesia.</v>
    <v>243</v>
    <v>244</v>
    <v>245</v>
    <v>246</v>
    <v>247</v>
    <v>Surabaya</v>
    <v>248</v>
    <v>10</v>
    <v>Surabaya</v>
    <v>mdp/vdpid/8687731978931273729</v>
  </rv>
  <rv s="0">
    <v>536870912</v>
    <v>Riau Islands</v>
    <v>e3471e28-8f42-6ecf-4ccf-4698fdb6ba7b</v>
    <v>en-ID</v>
    <v>Map</v>
  </rv>
  <rv s="1">
    <fb>8201.7199999999993</fb>
    <v>13</v>
  </rv>
  <rv s="0">
    <v>536870912</v>
    <v>Tanjung Pinang</v>
    <v>91eebdba-eaad-ceea-c75f-0e74004b54c9</v>
    <v>en-ID</v>
    <v>Map</v>
  </rv>
  <rv s="1">
    <fb>441760</fb>
    <v>13</v>
  </rv>
  <rv s="2">
    <v>24</v>
    <v>11</v>
    <v>156</v>
    <v>7</v>
    <v>0</v>
    <v>Image of Riau Islands</v>
  </rv>
  <rv s="0">
    <v>536870912</v>
    <v>Batam</v>
    <v>ebac89a5-1881-ad8d-53db-23f7486b87e6</v>
    <v>en-ID</v>
    <v>Map</v>
  </rv>
  <rv s="3">
    <v>28</v>
  </rv>
  <rv s="4">
    <v>https://www.bing.com/search?q=riau+islands+province&amp;form=skydnc</v>
    <v>Learn more on Bing</v>
  </rv>
  <rv s="1">
    <fb>3.8</fb>
    <v>23</v>
  </rv>
  <rv s="1">
    <fb>2118239</fb>
    <v>13</v>
  </rv>
  <rv s="6">
    <v>#VALUE!</v>
    <v>en-ID</v>
    <v>e3471e28-8f42-6ecf-4ccf-4698fdb6ba7b</v>
    <v>536870912</v>
    <v>1</v>
    <v>155</v>
    <v>20</v>
    <v>Riau Islands</v>
    <v>9</v>
    <v>10</v>
    <v>Map</v>
    <v>11</v>
    <v>21</v>
    <v>ID-KR</v>
    <v>251</v>
    <v>252</v>
    <v>3</v>
    <v>The Riau Islands is a province of Indonesia. It comprises a total of 1,796 islands scattered between Sumatra, Malay Peninsula, and Borneo including the Riau Archipelago. Situated on one of the world's busiest shipping lanes along the Malacca Strait and the Natuna Sea, the province shares water borders with neighboring countries such as Singapore, Malaysia, and Brunei. The Riau Islands also have relatively large potential mineral resources and energy, as well as marine resources. The capital of the province is Tanjung Pinang and the largest city is Batam.</v>
    <v>253</v>
    <v>254</v>
    <v>255</v>
    <v>256</v>
    <v>257</v>
    <v>Riau Islands</v>
    <v>258</v>
    <v>259</v>
    <v>Riau Islands</v>
    <v>mdp/vdpid/161831936</v>
  </rv>
  <rv s="1">
    <fb>812.7</fb>
    <v>13</v>
  </rv>
  <rv s="2">
    <v>25</v>
    <v>11</v>
    <v>162</v>
    <v>7</v>
    <v>0</v>
    <v>Image of Tanjungpinang</v>
  </rv>
  <rv s="1">
    <fb>0.904061</fb>
    <v>15</v>
  </rv>
  <rv s="3">
    <v>29</v>
  </rv>
  <rv s="4">
    <v>https://www.bing.com/search?q=tanjung+pinang+indonesia&amp;form=skydnc</v>
    <v>Learn more on Bing</v>
  </rv>
  <rv s="1">
    <fb>104.45388800000001</fb>
    <v>15</v>
  </rv>
  <rv s="1">
    <fb>227663</fb>
    <v>13</v>
  </rv>
  <rv s="5">
    <v>#VALUE!</v>
    <v>en-ID</v>
    <v>91eebdba-eaad-ceea-c75f-0e74004b54c9</v>
    <v>536870912</v>
    <v>1</v>
    <v>161</v>
    <v>6</v>
    <v>Tanjungpinang</v>
    <v>9</v>
    <v>10</v>
    <v>Map</v>
    <v>11</v>
    <v>12</v>
    <v>250</v>
    <v>261</v>
    <v>3</v>
    <v>Tanjungpinang, also colloquially written as Tanjung Pinang, is the capital city of the Indonesian province of Riau Islands. It covers a land area of 144.56 km², mainly on the southern Bintan Island, as well as other smaller islands such as Dompak Island and Penyengat Island. With a population of 227,663 at the 2020 Census, it is the second largest city of the province, after Batam; the official estimate as at mid 2022 was 239,854. Tanjungpinang is a historic city of the Malay culture, having served as the capital of both Johor Sultanate and Riau-Lingga Sultanate.</v>
    <v>262</v>
    <v>263</v>
    <v>264</v>
    <v>265</v>
    <v>266</v>
    <v>Tanjungpinang</v>
    <v>267</v>
    <v>10</v>
    <v>Tanjungpinang</v>
    <v>mdp/vdpid/7887800584613396482</v>
  </rv>
  <rv s="1">
    <fb>715</fb>
    <v>13</v>
  </rv>
  <rv s="2">
    <v>26</v>
    <v>11</v>
    <v>167</v>
    <v>7</v>
    <v>0</v>
    <v>Image of Batam</v>
  </rv>
  <rv s="1">
    <fb>1.0833330000000001</fb>
    <v>15</v>
  </rv>
  <rv s="3">
    <v>30</v>
  </rv>
  <rv s="4">
    <v>https://www.bing.com/search?q=batam&amp;form=skydnc</v>
    <v>Learn more on Bing</v>
  </rv>
  <rv s="1">
    <fb>104.033333</fb>
    <v>15</v>
  </rv>
  <rv s="1">
    <fb>1196396</fb>
    <v>13</v>
  </rv>
  <rv s="5">
    <v>#VALUE!</v>
    <v>en-ID</v>
    <v>ebac89a5-1881-ad8d-53db-23f7486b87e6</v>
    <v>536870912</v>
    <v>1</v>
    <v>166</v>
    <v>6</v>
    <v>Batam</v>
    <v>9</v>
    <v>10</v>
    <v>Map</v>
    <v>11</v>
    <v>12</v>
    <v>250</v>
    <v>269</v>
    <v>3</v>
    <v>Batam is the largest city in the province of Riau Islands, Indonesia. The city administrative area covers three main islands of Batam, Rempang, and Galang, as well as Bulang to the west and several small islands. Batam Island is the core urban and industrial zone, while both Rempang Island and Galang Island maintain their rural character and low-density population; they are connected to Batam Island by short bridges. Bulang Island and the islands to its north forming Belakang Padang District lie to the west of Batam Island but are also administratively within the city. Batam is an industrial boomtown, an emerging transport hub, and part of a free trade zone in the Indonesia–Malaysia–Singapore Growth Triangle, located 20 km off Singapore's south coast and also part of the Indonesia–Malaysia–Thailand Growth Triangle.</v>
    <v>270</v>
    <v>271</v>
    <v>272</v>
    <v>273</v>
    <v>274</v>
    <v>Batam</v>
    <v>275</v>
    <v>10</v>
    <v>Batam</v>
    <v>mdp/vdpid/7887846067947962369</v>
  </rv>
  <rv s="0">
    <v>536870912</v>
    <v>Manado</v>
    <v>d17c36bd-e63e-ec64-a477-3af75ee905fd</v>
    <v>en-ID</v>
    <v>Map</v>
  </rv>
  <rv s="0">
    <v>536870912</v>
    <v>North Sulawesi</v>
    <v>70a8dc2d-0ecd-0471-3c78-516c671329a4</v>
    <v>en-ID</v>
    <v>Map</v>
  </rv>
  <rv s="1">
    <fb>162.53</fb>
    <v>13</v>
  </rv>
  <rv s="2">
    <v>27</v>
    <v>11</v>
    <v>172</v>
    <v>7</v>
    <v>0</v>
    <v>Image of Manado</v>
  </rv>
  <rv s="1">
    <fb>1.4693780999999999</fb>
    <v>15</v>
  </rv>
  <rv s="3">
    <v>31</v>
  </rv>
  <rv s="4">
    <v>https://www.bing.com/search?q=manado&amp;form=skydnc</v>
    <v>Learn more on Bing</v>
  </rv>
  <rv s="1">
    <fb>124.8443316</fb>
    <v>15</v>
  </rv>
  <rv s="1">
    <fb>451916</fb>
    <v>13</v>
  </rv>
  <rv s="5">
    <v>#VALUE!</v>
    <v>en-ID</v>
    <v>d17c36bd-e63e-ec64-a477-3af75ee905fd</v>
    <v>536870912</v>
    <v>1</v>
    <v>171</v>
    <v>6</v>
    <v>Manado</v>
    <v>9</v>
    <v>10</v>
    <v>Map</v>
    <v>11</v>
    <v>12</v>
    <v>278</v>
    <v>279</v>
    <v>3</v>
    <v>Manado is the capital city of the Indonesian province of North Sulawesi. It is the second largest city in Sulawesi after Makassar, with the 2020 census giving a population of 451,916, and the official estimates for mid 2022 showing 454,606 inhabitants, distributed over a land area of 157.26 km². The Manado metropolitan area had a population of 1,365,237 as of mid 2022. The city is located adjacent to the Bay of Manado, and is surrounded by a mountainous area.</v>
    <v>280</v>
    <v>281</v>
    <v>282</v>
    <v>283</v>
    <v>284</v>
    <v>Manado</v>
    <v>285</v>
    <v>49</v>
    <v>Manado</v>
    <v>mdp/vdpid/7923095243879088129</v>
  </rv>
  <rv s="1">
    <fb>13892.47</fb>
    <v>13</v>
  </rv>
  <rv s="1">
    <fb>581872</fb>
    <v>13</v>
  </rv>
  <rv s="2">
    <v>28</v>
    <v>11</v>
    <v>176</v>
    <v>7</v>
    <v>0</v>
    <v>Image of North Sulawesi</v>
  </rv>
  <rv s="0">
    <v>805306368</v>
    <v>Olly Dondokambey (Governor)</v>
    <v>d63171b1-3ba0-c39a-cb54-9f272aa95667</v>
    <v>en-ID</v>
    <v>Generic</v>
  </rv>
  <rv s="3">
    <v>32</v>
  </rv>
  <rv s="4">
    <v>https://www.bing.com/search?q=north+sulawesi&amp;form=skydnc</v>
    <v>Learn more on Bing</v>
  </rv>
  <rv s="1">
    <fb>3.9</fb>
    <v>23</v>
  </rv>
  <rv s="1">
    <fb>2638631</fb>
    <v>13</v>
  </rv>
  <rv s="6">
    <v>#VALUE!</v>
    <v>en-ID</v>
    <v>70a8dc2d-0ecd-0471-3c78-516c671329a4</v>
    <v>536870912</v>
    <v>1</v>
    <v>175</v>
    <v>20</v>
    <v>North Sulawesi</v>
    <v>9</v>
    <v>10</v>
    <v>Map</v>
    <v>11</v>
    <v>21</v>
    <v>ID-SA</v>
    <v>287</v>
    <v>277</v>
    <v>3</v>
    <v>North Sulawesi is a province of Indonesia. It is located on the Minahasa Peninsula of the island of Sulawesi, south of the Philippines and southeast of Sabah, Malaysia. It borders the Philippine province of Davao Occidental and Soccsksargen regions of the Philippines to the north, the Maluku Sea to the east, Gorontalo and Celebes Sea to the west and the Gulf of Tomini to the southwest. With the outlying island of Miangas to its north, it is the northernmost province of Indonesia. The province's area is 14,500.28 square kilometres, and its population was 2,270,596 according to the 2010 census; this rose to 2,621,923 at the 2020 Census, while the official estimate as at mid 2022 was 2,659,543. North Sulawesi is known as a heaven for divers around the world.</v>
    <v>288</v>
    <v>289</v>
    <v>277</v>
    <v>291</v>
    <v>292</v>
    <v>North Sulawesi</v>
    <v>293</v>
    <v>294</v>
    <v>North Sulawesi</v>
    <v>mdp/vdpid/7301919</v>
  </rv>
  <rv s="0">
    <v>536870912</v>
    <v>West Sumatra</v>
    <v>3ad5cdb7-7630-6662-ae72-367bbd112dc0</v>
    <v>en-ID</v>
    <v>Map</v>
  </rv>
  <rv s="1">
    <fb>42012.89</fb>
    <v>13</v>
  </rv>
  <rv s="0">
    <v>536870912</v>
    <v>Padang</v>
    <v>0c55d252-b3d3-9a62-19a4-dd8834bd9cd6</v>
    <v>en-ID</v>
    <v>Map</v>
  </rv>
  <rv s="1">
    <fb>1152378</fb>
    <v>13</v>
  </rv>
  <rv s="2">
    <v>29</v>
    <v>11</v>
    <v>182</v>
    <v>7</v>
    <v>0</v>
    <v>Image of West Sumatra</v>
  </rv>
  <rv s="0">
    <v>805306368</v>
    <v>Mahyeldi Ansharullah (Governor)</v>
    <v>10702c1a-ca7d-f707-5b12-53e53742fc0a</v>
    <v>en-ID</v>
    <v>Generic</v>
  </rv>
  <rv s="3">
    <v>33</v>
  </rv>
  <rv s="4">
    <v>https://www.bing.com/search?q=west+sumatra+indonesia&amp;form=skydnc</v>
    <v>Learn more on Bing</v>
  </rv>
  <rv s="1">
    <fb>5534472</fb>
    <v>13</v>
  </rv>
  <rv s="6">
    <v>#VALUE!</v>
    <v>en-ID</v>
    <v>3ad5cdb7-7630-6662-ae72-367bbd112dc0</v>
    <v>536870912</v>
    <v>1</v>
    <v>181</v>
    <v>20</v>
    <v>West Sumatra</v>
    <v>9</v>
    <v>10</v>
    <v>Map</v>
    <v>11</v>
    <v>29</v>
    <v>ID-SB</v>
    <v>297</v>
    <v>298</v>
    <v>3</v>
    <v>West Sumatra is a province of Indonesia. It is located on the west coast of the island of Sumatra and includes the Mentawai Islands off that coast. The province has an area of 42,119.54 km², with a population of 5,534,472 at the 2020 census. The official estimate at mid 2022 was 5,640,629. West Sumatra borders the Indian Ocean to the west, as well as the provinces of North Sumatra to the north, Riau to the northeast, Jambi to the southeast, and Bengkulu to the south. The province is subdivided into twelve regencies and seven cities. It has relatively more cities than other provinces outside of Java, although several of them are relatively low in population compared with cities elsewhere in Indonesia. Padang is the province's capital and largest city.</v>
    <v>299</v>
    <v>300</v>
    <v>298</v>
    <v>302</v>
    <v>303</v>
    <v>West Sumatra</v>
    <v>228</v>
    <v>304</v>
    <v>West Sumatra</v>
    <v>mdp/vdpid/10107406</v>
  </rv>
  <rv s="1">
    <fb>694.96</fb>
    <v>13</v>
  </rv>
  <rv s="2">
    <v>30</v>
    <v>11</v>
    <v>188</v>
    <v>7</v>
    <v>0</v>
    <v>Image of Padang</v>
  </rv>
  <rv s="1">
    <fb>-0.95247000000000004</fb>
    <v>15</v>
  </rv>
  <rv s="3">
    <v>34</v>
  </rv>
  <rv s="4">
    <v>https://www.bing.com/search?q=padang+indonesia&amp;form=skydnc</v>
    <v>Learn more on Bing</v>
  </rv>
  <rv s="1">
    <fb>100.36181999999999</fb>
    <v>15</v>
  </rv>
  <rv s="1">
    <fb>909040</fb>
    <v>13</v>
  </rv>
  <rv s="5">
    <v>#VALUE!</v>
    <v>en-ID</v>
    <v>0c55d252-b3d3-9a62-19a4-dd8834bd9cd6</v>
    <v>536870912</v>
    <v>1</v>
    <v>187</v>
    <v>6</v>
    <v>Padang</v>
    <v>9</v>
    <v>10</v>
    <v>Map</v>
    <v>11</v>
    <v>12</v>
    <v>296</v>
    <v>306</v>
    <v>3</v>
    <v>Padang is the capital and largest city of the Indonesian province of West Sumatra. With a Census population of 1,015,000 as of 2022, it is the 16th most populous city in Indonesia and the most populous city on the west coast of Sumatra. The Padang metropolitan area is the third most populous metropolitan area in Sumatra with a population of over 1.4 million. Padang is widely known for its Minangkabau culture, cuisine, and sunset beaches.</v>
    <v>307</v>
    <v>308</v>
    <v>309</v>
    <v>310</v>
    <v>311</v>
    <v>Padang</v>
    <v>312</v>
    <v>10</v>
    <v>Padang</v>
    <v>mdp/vdpid/8649951422944641025</v>
  </rv>
  <rv s="0">
    <v>536870912</v>
    <v>Balikpapan</v>
    <v>07ab570f-5354-87f3-2f51-88a60e0ea5fd</v>
    <v>en-ID</v>
    <v>Map</v>
  </rv>
  <rv s="1">
    <fb>503.3</fb>
    <v>13</v>
  </rv>
  <rv s="2">
    <v>31</v>
    <v>11</v>
    <v>194</v>
    <v>7</v>
    <v>0</v>
    <v>Image of Balikpapan</v>
  </rv>
  <rv s="1">
    <fb>-1.2653859999999999</fb>
    <v>15</v>
  </rv>
  <rv s="3">
    <v>35</v>
  </rv>
  <rv s="4">
    <v>https://www.bing.com/search?q=balikpapan&amp;form=skydnc</v>
    <v>Learn more on Bing</v>
  </rv>
  <rv s="1">
    <fb>116.83116099999999</fb>
    <v>15</v>
  </rv>
  <rv s="1">
    <fb>688318</fb>
    <v>13</v>
  </rv>
  <rv s="5">
    <v>#VALUE!</v>
    <v>en-ID</v>
    <v>07ab570f-5354-87f3-2f51-88a60e0ea5fd</v>
    <v>536870912</v>
    <v>1</v>
    <v>193</v>
    <v>6</v>
    <v>Balikpapan</v>
    <v>9</v>
    <v>10</v>
    <v>Map</v>
    <v>11</v>
    <v>12</v>
    <v>77</v>
    <v>315</v>
    <v>3</v>
    <v>Balikpapan is a seaport city in East Kalimantan, Indonesia. Located on the east coast of the island of Borneo, the city is the financial center of Kalimantan. Balikpapan is the city with the largest economy in Kalimantan with an estimated 2016 GDP at Rp 73.18 trillion. The city has the third busiest airport in Kalimantan after that in Banjarmasin and Pontianak, namely Sultan Aji Muhammad Sulaiman Sepinggan Airport. Port of Semayang was the second busiest seaport in East Kalimantan, after that in Samarinda.</v>
    <v>316</v>
    <v>317</v>
    <v>318</v>
    <v>319</v>
    <v>320</v>
    <v>Balikpapan</v>
    <v>321</v>
    <v>49</v>
    <v>Balikpapan</v>
    <v>mdp/vdpid/8683736805704466435</v>
  </rv>
  <rv s="0">
    <v>536870912</v>
    <v>Central Java</v>
    <v>39b12ecc-e3fb-184d-0602-e36314b32c5d</v>
    <v>en-ID</v>
    <v>Map</v>
  </rv>
  <rv s="1">
    <fb>32800.69</fb>
    <v>13</v>
  </rv>
  <rv s="0">
    <v>536870912</v>
    <v>Semarang</v>
    <v>0d041ef0-1bb1-ddcb-1f9f-51825e7537e6</v>
    <v>en-ID</v>
    <v>Map</v>
  </rv>
  <rv s="1">
    <fb>8703499</fb>
    <v>13</v>
  </rv>
  <rv s="2">
    <v>32</v>
    <v>11</v>
    <v>199</v>
    <v>7</v>
    <v>0</v>
    <v>Image of Central Java</v>
  </rv>
  <rv s="0">
    <v>805306368</v>
    <v>Ganjar Pranowo (Governor)</v>
    <v>94850bc5-7737-4457-acdf-892960cfc420</v>
    <v>en-ID</v>
    <v>Generic</v>
  </rv>
  <rv s="3">
    <v>36</v>
  </rv>
  <rv s="4">
    <v>https://www.bing.com/search?q=central+java&amp;form=skydnc</v>
    <v>Learn more on Bing</v>
  </rv>
  <rv s="1">
    <fb>3.72</fb>
    <v>23</v>
  </rv>
  <rv s="1">
    <fb>36742501</fb>
    <v>13</v>
  </rv>
  <rv s="6">
    <v>#VALUE!</v>
    <v>en-ID</v>
    <v>39b12ecc-e3fb-184d-0602-e36314b32c5d</v>
    <v>536870912</v>
    <v>1</v>
    <v>198</v>
    <v>20</v>
    <v>Central Java</v>
    <v>9</v>
    <v>10</v>
    <v>Map</v>
    <v>11</v>
    <v>21</v>
    <v>ID-JT</v>
    <v>324</v>
    <v>325</v>
    <v>3</v>
    <v>Central Java is a province of Indonesia, located in the middle of the island of Java. Its administrative capital is Semarang. It is bordered by West Java in the west, the Indian Ocean and the Special Region of Yogyakarta in the south, East Java in the east, and the Java Sea in the north. It has a total area of 34,337.48 km², with a population of 36,516,035 at the 2020 Census making it the third-most populous province in both Java and Indonesia after West Java and East Java. The official estimate as at mid 2022 was 37,032,410. The province also includes a number of offshore islands, including the island of Nusakambangan in the south, and the Karimun Jawa Islands in the Java Sea.</v>
    <v>326</v>
    <v>327</v>
    <v>325</v>
    <v>329</v>
    <v>330</v>
    <v>Central Java</v>
    <v>331</v>
    <v>332</v>
    <v>Central Java</v>
    <v>mdp/vdpid/7320076</v>
  </rv>
  <rv s="1">
    <fb>373.67</fb>
    <v>13</v>
  </rv>
  <rv s="2">
    <v>33</v>
    <v>11</v>
    <v>204</v>
    <v>7</v>
    <v>0</v>
    <v>Image of Semarang</v>
  </rv>
  <rv s="1">
    <fb>-6.9714280000000004</fb>
    <v>15</v>
  </rv>
  <rv s="0">
    <v>805306368</v>
    <v>Hendrar Prihadi (Mayor)</v>
    <v>428e306e-c861-0487-1efa-9bb55d37f114</v>
    <v>en-ID</v>
    <v>Generic</v>
  </rv>
  <rv s="3">
    <v>37</v>
  </rv>
  <rv s="4">
    <v>https://www.bing.com/search?q=semarang&amp;form=skydnc</v>
    <v>Learn more on Bing</v>
  </rv>
  <rv s="1">
    <fb>110.425453</fb>
    <v>15</v>
  </rv>
  <rv s="1">
    <fb>1653524</fb>
    <v>13</v>
  </rv>
  <rv s="5">
    <v>#VALUE!</v>
    <v>en-ID</v>
    <v>0d041ef0-1bb1-ddcb-1f9f-51825e7537e6</v>
    <v>536870912</v>
    <v>1</v>
    <v>203</v>
    <v>6</v>
    <v>Semarang</v>
    <v>9</v>
    <v>10</v>
    <v>Map</v>
    <v>11</v>
    <v>12</v>
    <v>323</v>
    <v>334</v>
    <v>3</v>
    <v>Semarang is the capital and largest city of Central Java province in Indonesia. It was a major port during the Dutch colonial era, and is still an important regional center and port today. The city has been named as the cleanest tourist destination in Southeast Asia by the ASEAN Clean Tourist City Standard for 2020–2022.</v>
    <v>335</v>
    <v>336</v>
    <v>338</v>
    <v>339</v>
    <v>340</v>
    <v>Semarang</v>
    <v>341</v>
    <v>10</v>
    <v>Semarang</v>
    <v>mdp/vdpid/8663365606034112513</v>
  </rv>
  <rv s="0">
    <v>536870912</v>
    <v>Central Sulawesi</v>
    <v>fca0651b-c50d-6497-3564-cf378d76f7ca</v>
    <v>en-ID</v>
    <v>Map</v>
  </rv>
  <rv s="1">
    <fb>61841.29</fb>
    <v>13</v>
  </rv>
  <rv s="0">
    <v>536870912</v>
    <v>Palu</v>
    <v>e28af94f-6b88-eed7-7c59-19c221d3cf0d</v>
    <v>en-ID</v>
    <v>Map</v>
  </rv>
  <rv s="1">
    <fb>620404</fb>
    <v>13</v>
  </rv>
  <rv s="2">
    <v>34</v>
    <v>11</v>
    <v>208</v>
    <v>7</v>
    <v>0</v>
    <v>Image of Central Sulawesi</v>
  </rv>
  <rv s="3">
    <v>38</v>
  </rv>
  <rv s="4">
    <v>https://www.bing.com/search?q=central+sulawesi+indonesia&amp;form=skydnc</v>
    <v>Learn more on Bing</v>
  </rv>
  <rv s="1">
    <fb>4.25</fb>
    <v>23</v>
  </rv>
  <rv s="1">
    <fb>2985734</fb>
    <v>13</v>
  </rv>
  <rv s="6">
    <v>#VALUE!</v>
    <v>en-ID</v>
    <v>fca0651b-c50d-6497-3564-cf378d76f7ca</v>
    <v>536870912</v>
    <v>1</v>
    <v>207</v>
    <v>20</v>
    <v>Central Sulawesi</v>
    <v>9</v>
    <v>10</v>
    <v>Map</v>
    <v>11</v>
    <v>29</v>
    <v>ID-ST</v>
    <v>344</v>
    <v>345</v>
    <v>3</v>
    <v>Central Sulawesi is a province of Indonesia located at the centre of the island of Sulawesi. The administrative capital and largest city is located in Palu. The 2010 census recorded a population of 2,635,009 for the province, and the 2020 Census recorded 2,985,734, of whom 1,534,706 were male and 1,451,028 were female. The official estimate as at mid 2022 was 3,066,143. Central Sulawesi has an area of 61,605.72 km², the largest area among all provinces on Sulawesi Island, and has the second-largest population on Sulawesi Island after the province of South Sulawesi. It is bordered by the provinces of Gorontalo to the north, West Sulawesi, South Sulawesi and South East Sulawesi to the south, by Maluku to the east, and by the Makassar Strait to the west. The province is inhabited by many ethnic groups, such as the Kaili, Tolitoli, etc. The official language of the province is Indonesian, which is used for official purposes and inter-ethnic communication, while there are several indigenous language spoken by the Indigenous peoples of Central Sulawesi. Islam is the dominant religion in the province, followed by Christianity which is mostly adhered to by the people in the eastern part of the province.</v>
    <v>346</v>
    <v>347</v>
    <v>345</v>
    <v>348</v>
    <v>349</v>
    <v>Central Sulawesi</v>
    <v>350</v>
    <v>351</v>
    <v>Central Sulawesi</v>
    <v>mdp/vdpid/10107409</v>
  </rv>
  <rv s="1">
    <fb>395.06</fb>
    <v>13</v>
  </rv>
  <rv s="2">
    <v>35</v>
    <v>11</v>
    <v>213</v>
    <v>7</v>
    <v>0</v>
    <v>Image of Palu</v>
  </rv>
  <rv s="1">
    <fb>-0.89883139999999995</fb>
    <v>15</v>
  </rv>
  <rv s="3">
    <v>39</v>
  </rv>
  <rv s="4">
    <v>https://www.bing.com/search?q=palu+indonesia&amp;form=skydnc</v>
    <v>Learn more on Bing</v>
  </rv>
  <rv s="1">
    <fb>119.87255759999999</fb>
    <v>15</v>
  </rv>
  <rv s="1">
    <fb>373218</fb>
    <v>13</v>
  </rv>
  <rv s="5">
    <v>#VALUE!</v>
    <v>en-ID</v>
    <v>e28af94f-6b88-eed7-7c59-19c221d3cf0d</v>
    <v>536870912</v>
    <v>1</v>
    <v>212</v>
    <v>6</v>
    <v>Palu</v>
    <v>9</v>
    <v>10</v>
    <v>Map</v>
    <v>11</v>
    <v>12</v>
    <v>343</v>
    <v>353</v>
    <v>3</v>
    <v>Palu, which is officially known as the City of Palu, is the capital and largest city of Central Sulawesi. Palu is located on the northwestern coast of Sulawesi and borders Donggala Regency to the north and west, Parigi Moutong Regency to the east, and Sigi Regency to the south. The city boundaries encompass a land area of 395.06 km². According to the 2020 Indonesian census, Palu has a population of 373,218, making it the third-most populous city on the island after Makassar and Manado; the official estimate as at mid 2021 was 377,030. Palu is the center of finance, government, and education in Central Sulawesi, as well as one of several major cities on the island. The city hosts the province's main port, its biggest airport, and most of its public universities.</v>
    <v>354</v>
    <v>355</v>
    <v>356</v>
    <v>357</v>
    <v>358</v>
    <v>Palu</v>
    <v>359</v>
    <v>49</v>
    <v>Palu</v>
    <v>mdp/vdpid/8685410334124539906</v>
  </rv>
  <rv s="0">
    <v>536870912</v>
    <v>South Sulawesi</v>
    <v>f6bf6682-f96f-24d6-1b1b-b05c77b899cd</v>
    <v>en-ID</v>
    <v>Map</v>
  </rv>
  <rv s="1">
    <fb>46717.48</fb>
    <v>13</v>
  </rv>
  <rv s="0">
    <v>536870912</v>
    <v>Makassar</v>
    <v>1b7a92c9-9656-c4c7-200a-a0d79536aa37</v>
    <v>en-ID</v>
    <v>Map</v>
  </rv>
  <rv s="1">
    <fb>1847825</fb>
    <v>13</v>
  </rv>
  <rv s="2">
    <v>36</v>
    <v>11</v>
    <v>218</v>
    <v>7</v>
    <v>0</v>
    <v>Image of South Sulawesi</v>
  </rv>
  <rv s="3">
    <v>40</v>
  </rv>
  <rv s="4">
    <v>https://www.bing.com/search?q=south+sulawesi+indonesia&amp;form=skydnc</v>
    <v>Learn more on Bing</v>
  </rv>
  <rv s="1">
    <fb>4.3499999999999996</fb>
    <v>23</v>
  </rv>
  <rv s="1">
    <fb>9139531</fb>
    <v>13</v>
  </rv>
  <rv s="6">
    <v>#VALUE!</v>
    <v>en-ID</v>
    <v>f6bf6682-f96f-24d6-1b1b-b05c77b899cd</v>
    <v>536870912</v>
    <v>1</v>
    <v>217</v>
    <v>20</v>
    <v>South Sulawesi</v>
    <v>9</v>
    <v>10</v>
    <v>Map</v>
    <v>11</v>
    <v>21</v>
    <v>ID-SN</v>
    <v>362</v>
    <v>363</v>
    <v>3</v>
    <v>South Sulawesi is a province in the southern peninsula of Sulawesi. The Selayar Islands archipelago to the south of Sulawesi is also part of the province. The capital is Makassar. The province is bordered by Central Sulawesi and West Sulawesi to the north, the Gulf of Bone and Southeast Sulawesi to the east, Makassar Strait to the west, and Flores Sea to the south.</v>
    <v>364</v>
    <v>365</v>
    <v>363</v>
    <v>366</v>
    <v>367</v>
    <v>South Sulawesi</v>
    <v>368</v>
    <v>369</v>
    <v>South Sulawesi</v>
    <v>mdp/vdpid/7301922</v>
  </rv>
  <rv s="1">
    <fb>175.77</fb>
    <v>13</v>
  </rv>
  <rv s="2">
    <v>37</v>
    <v>11</v>
    <v>226</v>
    <v>7</v>
    <v>0</v>
    <v>Image of Makassar</v>
  </rv>
  <rv s="1">
    <fb>-5.1333330000000004</fb>
    <v>15</v>
  </rv>
  <rv s="0">
    <v>805306368</v>
    <v>Mohammad Ramdhan Pomanto (Mayor)</v>
    <v>ff946fb1-0d82-ba67-fddc-7c6a4ed440bf</v>
    <v>en-ID</v>
    <v>Generic</v>
  </rv>
  <rv s="3">
    <v>41</v>
  </rv>
  <rv s="4">
    <v>https://www.bing.com/search?q=makassar&amp;form=skydnc</v>
    <v>Learn more on Bing</v>
  </rv>
  <rv s="1">
    <fb>119.416667</fb>
    <v>15</v>
  </rv>
  <rv s="1">
    <fb>1423877</fb>
    <v>13</v>
  </rv>
  <rv s="5">
    <v>#VALUE!</v>
    <v>en-ID</v>
    <v>1b7a92c9-9656-c4c7-200a-a0d79536aa37</v>
    <v>536870912</v>
    <v>1</v>
    <v>225</v>
    <v>6</v>
    <v>Makassar</v>
    <v>9</v>
    <v>10</v>
    <v>Map</v>
    <v>11</v>
    <v>12</v>
    <v>361</v>
    <v>371</v>
    <v>3</v>
    <v>Makassar is the capital of the Indonesian province of South Sulawesi. It is the largest city in the region of Eastern Indonesia and the country's fifth-largest urban center after Jakarta, Surabaya, Medan, and Bandung. The city is located on the southwest coast of the island of Sulawesi, facing the Makassar Strait.</v>
    <v>372</v>
    <v>373</v>
    <v>375</v>
    <v>376</v>
    <v>377</v>
    <v>Makassar</v>
    <v>378</v>
    <v>49</v>
    <v>Makassar</v>
    <v>mdp/vdpid/8686720328409284609</v>
  </rv>
  <rv s="0">
    <v>536870912</v>
    <v>Purwakarta</v>
    <v>5daf5123-6ea6-3acd-c196-1695413310ed</v>
    <v>en-ID</v>
    <v>Map</v>
  </rv>
  <rv s="0">
    <v>536870912</v>
    <v>Purwakarta Regency</v>
    <v>df68d032-a22d-8da5-5400-b4263c122754</v>
    <v>en-ID</v>
    <v>Map</v>
  </rv>
  <rv s="1">
    <fb>24.83</fb>
    <v>13</v>
  </rv>
  <rv s="2">
    <v>38</v>
    <v>11</v>
    <v>230</v>
    <v>7</v>
    <v>0</v>
    <v>Image of Purwakarta</v>
  </rv>
  <rv s="1">
    <fb>-7.3330000000000002</fb>
    <v>15</v>
  </rv>
  <rv s="4">
    <v>https://www.bing.com/search?q=purwakarta+indonesia&amp;form=skydnc</v>
    <v>Learn more on Bing</v>
  </rv>
  <rv s="1">
    <fb>108.2</fb>
    <v>15</v>
  </rv>
  <rv s="1">
    <fb>179233</fb>
    <v>13</v>
  </rv>
  <rv s="16">
    <v>#VALUE!</v>
    <v>en-ID</v>
    <v>5daf5123-6ea6-3acd-c196-1695413310ed</v>
    <v>536870912</v>
    <v>1</v>
    <v>228</v>
    <v>229</v>
    <v>Purwakarta</v>
    <v>66</v>
    <v>67</v>
    <v>Map</v>
    <v>11</v>
    <v>12</v>
    <v>146</v>
    <v>381</v>
    <v>382</v>
    <v>3</v>
    <v>Purwakarta is a district and town in West Java, Indonesia which serves as the regency seat of the Purwakarta Regency. It had a population of 165,447 at the 2010 Census, rising to 179,233 at the 2020 Census.</v>
    <v>383</v>
    <v>384</v>
    <v>385</v>
    <v>386</v>
    <v>Purwakarta</v>
    <v>387</v>
    <v>10</v>
    <v>Purwakarta</v>
    <v>mdp/vdpid/8663007671965712385</v>
  </rv>
</rvData>
</file>

<file path=xl/richData/rdrichvaluestructure.xml><?xml version="1.0" encoding="utf-8"?>
<rvStructures xmlns="http://schemas.microsoft.com/office/spreadsheetml/2017/richdata" count="17">
  <s t="_linkedentity2">
    <k n="%EntityServiceId" t="i"/>
    <k n="_DisplayString" t="s"/>
    <k n="%EntityId" t="s"/>
    <k n="%EntityCulture" t="s"/>
    <k n="_Icon" t="s"/>
  </s>
  <s t="_formattednumber">
    <k n="_Format" t="spb"/>
  </s>
  <s t="_webimage">
    <k n="WebImageIdentifier" t="i"/>
    <k n="_Provider" t="spb"/>
    <k n="Attribution" t="spb"/>
    <k n="CalcOrigin" t="i"/>
    <k n="ComputedImage" t="b"/>
    <k n="Text" t="s"/>
  </s>
  <s t="_array">
    <k n="array" t="a"/>
  </s>
  <s t="_hyperlink">
    <k n="Address" t="s"/>
    <k n="Text" t="s"/>
  </s>
  <s t="_linkedentity2core">
    <k n="_CRID" t="e"/>
    <k n="%EntityCulture" t="s"/>
    <k n="%EntityId" t="s"/>
    <k n="%EntityServiceId" t="i"/>
    <k n="%IsRefreshable" t="b"/>
    <k n="_Attribution" t="spb"/>
    <k n="_Display" t="spb"/>
    <k n="_DisplayString" t="s"/>
    <k n="_Flags" t="spb"/>
    <k n="_Format" t="spb"/>
    <k n="_Icon" t="s"/>
    <k n="_Provider" t="spb"/>
    <k n="_SubLabel" t="spb"/>
    <k n="Admin Division 1 (State/province/other)" t="r"/>
    <k n="Area" t="r"/>
    <k n="Country/region" t="r"/>
    <k n="Description" t="s"/>
    <k n="Image" t="r"/>
    <k n="Latitude" t="r"/>
    <k n="Leader(s)" t="r"/>
    <k n="LearnMoreOnLink" t="r"/>
    <k n="Longitude" t="r"/>
    <k n="Name" t="s"/>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Capital/Major City" t="r"/>
    <k n="Country/region" t="r"/>
    <k n="Description" t="s"/>
    <k n="Households" t="r"/>
    <k n="Image" t="r"/>
    <k n="Largest city" t="r"/>
    <k n="Leader(s)" t="r"/>
    <k n="LearnMoreOnLink" t="r"/>
    <k n="Name" t="s"/>
    <k n="Persons per household" t="r"/>
    <k n="Population"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Country/region" t="r"/>
    <k n="Description" t="s"/>
    <k n="Households" t="r"/>
    <k n="Image" t="r"/>
    <k n="Leader(s)" t="r"/>
    <k n="LearnMoreOnLink" t="r"/>
    <k n="Name" t="s"/>
    <k n="Persons per household" t="r"/>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dmin Division 1 (State/province/other)" t="r"/>
    <k n="Area" t="r"/>
    <k n="Country/region" t="r"/>
    <k n="Description" t="s"/>
    <k n="Latitude" t="r"/>
    <k n="LearnMoreOnLink" t="r"/>
    <k n="Longitude" t="r"/>
    <k n="Name" t="s"/>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dmin Division 1 (State/province/other)" t="r"/>
    <k n="Area" t="r"/>
    <k n="Country/region" t="r"/>
    <k n="Description" t="s"/>
    <k n="Latitude" t="r"/>
    <k n="Leader(s)" t="r"/>
    <k n="LearnMoreOnLink" t="r"/>
    <k n="Longitude" t="r"/>
    <k n="Name" t="s"/>
    <k n="Population"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dmin Division 1 (State/province/other)" t="r"/>
    <k n="Area" t="r"/>
    <k n="Country/region" t="r"/>
    <k n="Description" t="s"/>
    <k n="Image" t="r"/>
    <k n="Latitude" t="r"/>
    <k n="LearnMoreOnLink" t="r"/>
    <k n="Longitude" t="r"/>
    <k n="Name" t="s"/>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Capital/Major City" t="r"/>
    <k n="Country/region" t="r"/>
    <k n="Description" t="s"/>
    <k n="Image" t="r"/>
    <k n="Leader(s)" t="r"/>
    <k n="LearnMoreOnLink" t="r"/>
    <k n="Name" t="s"/>
    <k n="Population"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dmin Division 1 (State/province/other)" t="r"/>
    <k n="Area" t="r"/>
    <k n="Country/region" t="r"/>
    <k n="Description" t="s"/>
    <k n="Image" t="r"/>
    <k n="Latitude" t="r"/>
    <k n="LearnMoreOnLink" t="r"/>
    <k n="Longitude" t="r"/>
    <k n="Name" t="s"/>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Capital/Major City" t="r"/>
    <k n="Country/region" t="r"/>
    <k n="Description" t="s"/>
    <k n="Households" t="r"/>
    <k n="Image" t="r"/>
    <k n="Largest city" t="r"/>
    <k n="Leader(s)" t="r"/>
    <k n="LearnMoreOnLink" t="r"/>
    <k n="Name" t="s"/>
    <k n="Persons per household" t="r"/>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dmin Division 1 (State/province/other)" t="r"/>
    <k n="Area" t="r"/>
    <k n="Country/region" t="r"/>
    <k n="Description" t="s"/>
    <k n="Latitude" t="r"/>
    <k n="Leader(s)" t="r"/>
    <k n="LearnMoreOnLink" t="r"/>
    <k n="Longitude" t="r"/>
    <k n="Name" t="s"/>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dmin Division 1 (State/province/other)" t="r"/>
    <k n="Admin Division 2 (County/district/other)" t="r"/>
    <k n="Area" t="r"/>
    <k n="Country/region" t="r"/>
    <k n="Description" t="s"/>
    <k n="Image" t="r"/>
    <k n="Latitude" t="r"/>
    <k n="Leader(s)" t="r"/>
    <k n="LearnMoreOnLink" t="r"/>
    <k n="Longitude" t="r"/>
    <k n="Name" t="s"/>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dmin Division 1 (State/province/other)" t="r"/>
    <k n="Admin Division 2 (County/district/other)" t="r"/>
    <k n="Area" t="r"/>
    <k n="Country/region" t="r"/>
    <k n="Description" t="s"/>
    <k n="Image" t="r"/>
    <k n="Latitude" t="r"/>
    <k n="LearnMoreOnLink" t="r"/>
    <k n="Longitude" t="r"/>
    <k n="Name" t="s"/>
    <k n="Population" t="r"/>
    <k n="Time zone(s)" t="r"/>
    <k n="UniqueName" t="s"/>
    <k n="VDPID/VSID" t="s"/>
  </s>
</rvStructures>
</file>

<file path=xl/richData/rdsupportingpropertybag.xml><?xml version="1.0" encoding="utf-8"?>
<supportingPropertyBags xmlns="http://schemas.microsoft.com/office/spreadsheetml/2017/richdata2">
  <spbArrays count="12">
    <a count="26">
      <v t="s">%EntityServiceId</v>
      <v t="s">%IsRefreshable</v>
      <v t="s">%EntityCulture</v>
      <v t="s">%EntityId</v>
      <v t="s">_Icon</v>
      <v t="s">_Provider</v>
      <v t="s">_Attribution</v>
      <v t="s">_Display</v>
      <v t="s">Name</v>
      <v t="s">_Format</v>
      <v t="s">Admin Division 1 (State/province/other)</v>
      <v t="s">Country/region</v>
      <v t="s">Leader(s)</v>
      <v t="s">_SubLabel</v>
      <v t="s">Population</v>
      <v t="s">Area</v>
      <v t="s">Latitude</v>
      <v t="s">Longitude</v>
      <v t="s">Time zone(s)</v>
      <v t="s">_Flags</v>
      <v t="s">VDPID/VSID</v>
      <v t="s">UniqueName</v>
      <v t="s">_DisplayString</v>
      <v t="s">LearnMoreOnLink</v>
      <v t="s">Image</v>
      <v t="s">Description</v>
    </a>
    <a count="27">
      <v t="s">%EntityServiceId</v>
      <v t="s">%IsRefreshable</v>
      <v t="s">%EntityCulture</v>
      <v t="s">%EntityId</v>
      <v t="s">_Icon</v>
      <v t="s">_Provider</v>
      <v t="s">_Attribution</v>
      <v t="s">_Display</v>
      <v t="s">Name</v>
      <v t="s">_Format</v>
      <v t="s">Capital/Major City</v>
      <v t="s">Leader(s)</v>
      <v t="s">Country/region</v>
      <v t="s">_SubLabel</v>
      <v t="s">Population</v>
      <v t="s">Area</v>
      <v t="s">Abbreviation</v>
      <v t="s">Largest city</v>
      <v t="s">Households</v>
      <v t="s">Persons per household</v>
      <v t="s">_Flags</v>
      <v t="s">VDPID/VSID</v>
      <v t="s">UniqueName</v>
      <v t="s">_DisplayString</v>
      <v t="s">LearnMoreOnLink</v>
      <v t="s">Image</v>
      <v t="s">Description</v>
    </a>
    <a count="26">
      <v t="s">%EntityServiceId</v>
      <v t="s">%IsRefreshable</v>
      <v t="s">%EntityCulture</v>
      <v t="s">%EntityId</v>
      <v t="s">_Icon</v>
      <v t="s">_Provider</v>
      <v t="s">_Attribution</v>
      <v t="s">_Display</v>
      <v t="s">Name</v>
      <v t="s">_Format</v>
      <v t="s">Leader(s)</v>
      <v t="s">Country/region</v>
      <v t="s">_SubLabel</v>
      <v t="s">Population</v>
      <v t="s">Area</v>
      <v t="s">Abbreviation</v>
      <v t="s">Households</v>
      <v t="s">Persons per household</v>
      <v t="s">Time zone(s)</v>
      <v t="s">_Flags</v>
      <v t="s">VDPID/VSID</v>
      <v t="s">UniqueName</v>
      <v t="s">_DisplayString</v>
      <v t="s">LearnMoreOnLink</v>
      <v t="s">Image</v>
      <v t="s">Description</v>
    </a>
    <a count="24">
      <v t="s">%EntityServiceId</v>
      <v t="s">%IsRefreshable</v>
      <v t="s">%EntityCulture</v>
      <v t="s">%EntityId</v>
      <v t="s">_Icon</v>
      <v t="s">_Provider</v>
      <v t="s">_Attribution</v>
      <v t="s">_Display</v>
      <v t="s">Name</v>
      <v t="s">_Format</v>
      <v t="s">Admin Division 1 (State/province/other)</v>
      <v t="s">Country/region</v>
      <v t="s">_SubLabel</v>
      <v t="s">Population</v>
      <v t="s">Area</v>
      <v t="s">Latitude</v>
      <v t="s">Longitude</v>
      <v t="s">Time zone(s)</v>
      <v t="s">_Flags</v>
      <v t="s">VDPID/VSID</v>
      <v t="s">UniqueName</v>
      <v t="s">_DisplayString</v>
      <v t="s">LearnMoreOnLink</v>
      <v t="s">Description</v>
    </a>
    <a count="24">
      <v t="s">%EntityServiceId</v>
      <v t="s">%IsRefreshable</v>
      <v t="s">%EntityCulture</v>
      <v t="s">%EntityId</v>
      <v t="s">_Icon</v>
      <v t="s">_Provider</v>
      <v t="s">_Attribution</v>
      <v t="s">_Display</v>
      <v t="s">Name</v>
      <v t="s">_Format</v>
      <v t="s">Admin Division 1 (State/province/other)</v>
      <v t="s">Country/region</v>
      <v t="s">Leader(s)</v>
      <v t="s">_SubLabel</v>
      <v t="s">Population</v>
      <v t="s">Area</v>
      <v t="s">Latitude</v>
      <v t="s">Longitude</v>
      <v t="s">_Flags</v>
      <v t="s">VDPID/VSID</v>
      <v t="s">UniqueName</v>
      <v t="s">_DisplayString</v>
      <v t="s">LearnMoreOnLink</v>
      <v t="s">Description</v>
    </a>
    <a count="25">
      <v t="s">%EntityServiceId</v>
      <v t="s">%IsRefreshable</v>
      <v t="s">%EntityCulture</v>
      <v t="s">%EntityId</v>
      <v t="s">_Icon</v>
      <v t="s">_Provider</v>
      <v t="s">_Attribution</v>
      <v t="s">_Display</v>
      <v t="s">Name</v>
      <v t="s">_Format</v>
      <v t="s">Admin Division 1 (State/province/other)</v>
      <v t="s">Country/region</v>
      <v t="s">_SubLabel</v>
      <v t="s">Population</v>
      <v t="s">Area</v>
      <v t="s">Latitude</v>
      <v t="s">Longitude</v>
      <v t="s">Time zone(s)</v>
      <v t="s">_Flags</v>
      <v t="s">VDPID/VSID</v>
      <v t="s">UniqueName</v>
      <v t="s">_DisplayString</v>
      <v t="s">LearnMoreOnLink</v>
      <v t="s">Image</v>
      <v t="s">Description</v>
    </a>
    <a count="24">
      <v t="s">%EntityServiceId</v>
      <v t="s">%IsRefreshable</v>
      <v t="s">%EntityCulture</v>
      <v t="s">%EntityId</v>
      <v t="s">_Icon</v>
      <v t="s">_Provider</v>
      <v t="s">_Attribution</v>
      <v t="s">_Display</v>
      <v t="s">Name</v>
      <v t="s">_Format</v>
      <v t="s">Capital/Major City</v>
      <v t="s">Leader(s)</v>
      <v t="s">Country/region</v>
      <v t="s">_SubLabel</v>
      <v t="s">Population</v>
      <v t="s">Area</v>
      <v t="s">Abbreviation</v>
      <v t="s">_Flags</v>
      <v t="s">VDPID/VSID</v>
      <v t="s">UniqueName</v>
      <v t="s">_DisplayString</v>
      <v t="s">LearnMoreOnLink</v>
      <v t="s">Image</v>
      <v t="s">Description</v>
    </a>
    <a count="24">
      <v t="s">%EntityServiceId</v>
      <v t="s">%IsRefreshable</v>
      <v t="s">%EntityCulture</v>
      <v t="s">%EntityId</v>
      <v t="s">_Icon</v>
      <v t="s">_Provider</v>
      <v t="s">_Attribution</v>
      <v t="s">_Display</v>
      <v t="s">Name</v>
      <v t="s">_Format</v>
      <v t="s">Admin Division 1 (State/province/other)</v>
      <v t="s">Country/region</v>
      <v t="s">_SubLabel</v>
      <v t="s">Area</v>
      <v t="s">Latitude</v>
      <v t="s">Longitude</v>
      <v t="s">Time zone(s)</v>
      <v t="s">_Flags</v>
      <v t="s">VDPID/VSID</v>
      <v t="s">UniqueName</v>
      <v t="s">_DisplayString</v>
      <v t="s">LearnMoreOnLink</v>
      <v t="s">Image</v>
      <v t="s">Description</v>
    </a>
    <a count="28">
      <v t="s">%EntityServiceId</v>
      <v t="s">%IsRefreshable</v>
      <v t="s">%EntityCulture</v>
      <v t="s">%EntityId</v>
      <v t="s">_Icon</v>
      <v t="s">_Provider</v>
      <v t="s">_Attribution</v>
      <v t="s">_Display</v>
      <v t="s">Name</v>
      <v t="s">_Format</v>
      <v t="s">Capital/Major City</v>
      <v t="s">Leader(s)</v>
      <v t="s">Country/region</v>
      <v t="s">_SubLabel</v>
      <v t="s">Population</v>
      <v t="s">Area</v>
      <v t="s">Abbreviation</v>
      <v t="s">Largest city</v>
      <v t="s">Households</v>
      <v t="s">Persons per household</v>
      <v t="s">Time zone(s)</v>
      <v t="s">_Flags</v>
      <v t="s">VDPID/VSID</v>
      <v t="s">UniqueName</v>
      <v t="s">_DisplayString</v>
      <v t="s">LearnMoreOnLink</v>
      <v t="s">Image</v>
      <v t="s">Description</v>
    </a>
    <a count="25">
      <v t="s">%EntityServiceId</v>
      <v t="s">%IsRefreshable</v>
      <v t="s">%EntityCulture</v>
      <v t="s">%EntityId</v>
      <v t="s">_Icon</v>
      <v t="s">_Provider</v>
      <v t="s">_Attribution</v>
      <v t="s">_Display</v>
      <v t="s">Name</v>
      <v t="s">_Format</v>
      <v t="s">Admin Division 1 (State/province/other)</v>
      <v t="s">Country/region</v>
      <v t="s">Leader(s)</v>
      <v t="s">_SubLabel</v>
      <v t="s">Population</v>
      <v t="s">Area</v>
      <v t="s">Latitude</v>
      <v t="s">Longitude</v>
      <v t="s">Time zone(s)</v>
      <v t="s">_Flags</v>
      <v t="s">VDPID/VSID</v>
      <v t="s">UniqueName</v>
      <v t="s">_DisplayString</v>
      <v t="s">LearnMoreOnLink</v>
      <v t="s">Description</v>
    </a>
    <a count="27">
      <v t="s">%EntityServiceId</v>
      <v t="s">%IsRefreshable</v>
      <v t="s">%EntityCulture</v>
      <v t="s">%EntityId</v>
      <v t="s">_Icon</v>
      <v t="s">_Provider</v>
      <v t="s">_Attribution</v>
      <v t="s">_Display</v>
      <v t="s">Name</v>
      <v t="s">_Format</v>
      <v t="s">Admin Division 2 (County/district/other)</v>
      <v t="s">Admin Division 1 (State/province/other)</v>
      <v t="s">Country/region</v>
      <v t="s">Leader(s)</v>
      <v t="s">_SubLabel</v>
      <v t="s">Population</v>
      <v t="s">Area</v>
      <v t="s">Latitude</v>
      <v t="s">Longitude</v>
      <v t="s">Time zone(s)</v>
      <v t="s">_Flags</v>
      <v t="s">VDPID/VSID</v>
      <v t="s">UniqueName</v>
      <v t="s">_DisplayString</v>
      <v t="s">LearnMoreOnLink</v>
      <v t="s">Image</v>
      <v t="s">Description</v>
    </a>
    <a count="26">
      <v t="s">%EntityServiceId</v>
      <v t="s">%IsRefreshable</v>
      <v t="s">%EntityCulture</v>
      <v t="s">%EntityId</v>
      <v t="s">_Icon</v>
      <v t="s">_Provider</v>
      <v t="s">_Attribution</v>
      <v t="s">_Display</v>
      <v t="s">Name</v>
      <v t="s">_Format</v>
      <v t="s">Admin Division 2 (County/district/other)</v>
      <v t="s">Admin Division 1 (State/province/other)</v>
      <v t="s">Country/region</v>
      <v t="s">_SubLabel</v>
      <v t="s">Population</v>
      <v t="s">Area</v>
      <v t="s">Latitude</v>
      <v t="s">Longitude</v>
      <v t="s">Time zone(s)</v>
      <v t="s">_Flags</v>
      <v t="s">VDPID/VSID</v>
      <v t="s">UniqueName</v>
      <v t="s">_DisplayString</v>
      <v t="s">LearnMoreOnLink</v>
      <v t="s">Image</v>
      <v t="s">Description</v>
    </a>
  </spbArrays>
  <spbData count="231">
    <spb s="0">
      <v xml:space="preserve">Wikipedia	Wikipedia	Wikipedia	</v>
      <v xml:space="preserve">CC-BY-SA	CC-BY-SA	CC-BY-SA	</v>
      <v xml:space="preserve">http://en.wikipedia.org/wiki/Yogyakarta	http://de.wikipedia.org/wiki/Yogyakarta_(Stadt)	http://fr.wikipedia.org/wiki/Yogyakarta	</v>
      <v xml:space="preserve">http://creativecommons.org/licenses/by-sa/3.0/	http://creativecommons.org/licenses/by-sa/3.0/	http://creativecommons.org/licenses/by-sa/3.0/	</v>
    </spb>
    <spb s="0">
      <v xml:space="preserve">Wikipedia	Weathertrends360	</v>
      <v xml:space="preserve">CC-BY-SA		</v>
      <v xml:space="preserve">http://en.wikipedia.org/wiki/Yogyakarta	https://www.weathertrends360.com/	</v>
      <v xml:space="preserve">http://creativecommons.org/licenses/by-sa/3.0/		</v>
    </spb>
    <spb s="0">
      <v xml:space="preserve">Wikipedia	</v>
      <v xml:space="preserve">CC-BY-SA	</v>
      <v xml:space="preserve">http://en.wikipedia.org/wiki/Yogyakarta	</v>
      <v xml:space="preserve">http://creativecommons.org/licenses/by-sa/3.0/	</v>
    </spb>
    <spb s="0">
      <v xml:space="preserve">Wikipedia	Wikipedia	</v>
      <v xml:space="preserve">CC-BY-SA	CC-BY-SA	</v>
      <v xml:space="preserve">http://en.wikipedia.org/wiki/Yogyakarta	https://en.wikipedia.org/wiki/Yogyakarta	</v>
      <v xml:space="preserve">http://creativecommons.org/licenses/by-sa/3.0/	http://creativecommons.org/licenses/by-sa/3.0/	</v>
    </spb>
    <spb s="0">
      <v xml:space="preserve">Wikipedia	Wikipedia	</v>
      <v xml:space="preserve">CC-BY-SA	CC-BY-SA	</v>
      <v xml:space="preserve">http://en.wikipedia.org/wiki/Yogyakarta	http://fr.wikipedia.org/wiki/Yogyakarta	</v>
      <v xml:space="preserve">http://creativecommons.org/licenses/by-sa/3.0/	http://creativecommons.org/licenses/by-sa/3.0/	</v>
    </spb>
    <spb s="1">
      <v>0</v>
      <v>1</v>
      <v>2</v>
      <v>2</v>
      <v>2</v>
      <v>1</v>
      <v>2</v>
      <v>3</v>
      <v>4</v>
    </spb>
    <spb s="2">
      <v>0</v>
      <v>Name</v>
      <v>LearnMoreOnLink</v>
    </spb>
    <spb s="3">
      <v>0</v>
      <v>0</v>
      <v>0</v>
    </spb>
    <spb s="4">
      <v>0</v>
      <v>0</v>
    </spb>
    <spb s="5">
      <v>7</v>
      <v>7</v>
      <v>8</v>
      <v>7</v>
    </spb>
    <spb s="6">
      <v>1</v>
      <v>2</v>
      <v>3</v>
    </spb>
    <spb s="7">
      <v>https://www.bing.com</v>
      <v>https://www.bing.com/th?id=Ga%5Cbing_yt.png&amp;w=100&amp;h=40&amp;c=0&amp;pid=0.1</v>
      <v>Powered by Bing</v>
    </spb>
    <spb s="8">
      <v>square km</v>
      <v>2020</v>
    </spb>
    <spb s="9">
      <v>4</v>
    </spb>
    <spb s="0">
      <v xml:space="preserve">	</v>
      <v xml:space="preserve">	</v>
      <v xml:space="preserve">https://en.wikipedia.org/wiki/Yogyakarta	</v>
      <v xml:space="preserve">https://creativecommons.org/licenses/by-sa/3.0	</v>
    </spb>
    <spb s="9">
      <v>5</v>
    </spb>
    <spb s="0">
      <v xml:space="preserve">Wikipedia	</v>
      <v xml:space="preserve">CC-BY-SA	</v>
      <v xml:space="preserve">http://en.wikipedia.org/wiki/Special_Region_of_Yogyakarta	</v>
      <v xml:space="preserve">http://creativecommons.org/licenses/by-sa/3.0/	</v>
    </spb>
    <spb s="0">
      <v xml:space="preserve">Wikipedia	sp2010.bps.go.id	</v>
      <v xml:space="preserve">CC-BY-SA		</v>
      <v xml:space="preserve">http://en.wikipedia.org/wiki/Special_Region_of_Yogyakarta	https://sp2010.bps.go.id/index.php/site/tabel?tid=336&amp;wid=0000000000&amp;lang=en	</v>
      <v xml:space="preserve">http://creativecommons.org/licenses/by-sa/3.0/		</v>
    </spb>
    <spb s="0">
      <v xml:space="preserve">sp2010.bps.go.id	</v>
      <v xml:space="preserve">	</v>
      <v xml:space="preserve">https://sp2010.bps.go.id/index.php/site/tabel?tid=336&amp;wid=0000000000&amp;lang=en	</v>
      <v xml:space="preserve">	</v>
    </spb>
    <spb s="10">
      <v>16</v>
      <v>17</v>
      <v>18</v>
      <v>16</v>
      <v>17</v>
      <v>16</v>
      <v>16</v>
      <v>16</v>
      <v>17</v>
      <v>16</v>
      <v>18</v>
    </spb>
    <spb s="2">
      <v>1</v>
      <v>Name</v>
      <v>LearnMoreOnLink</v>
    </spb>
    <spb s="11">
      <v>square km</v>
      <v>2010</v>
      <v>2021</v>
      <v>2010</v>
    </spb>
    <spb s="0">
      <v xml:space="preserve">	</v>
      <v xml:space="preserve">	</v>
      <v xml:space="preserve">https://en.wikipedia.org/wiki/Special_Region_of_Yogyakarta	</v>
      <v xml:space="preserve">https://creativecommons.org/licenses/by-sa/3.0	</v>
    </spb>
    <spb s="9">
      <v>6</v>
    </spb>
    <spb s="0">
      <v xml:space="preserve">Wikipedia	</v>
      <v xml:space="preserve">CC-BY-SA	</v>
      <v xml:space="preserve">http://en.wikipedia.org/wiki/Jakarta	</v>
      <v xml:space="preserve">http://creativecommons.org/licenses/by-sa/3.0/	</v>
    </spb>
    <spb s="0">
      <v xml:space="preserve">Wikipedia	sp2010.bps.go.id	Sec	Youtube	</v>
      <v xml:space="preserve">CC-BY-SA				</v>
      <v xml:space="preserve">http://en.wikipedia.org/wiki/Jakarta	https://sp2010.bps.go.id/index.php/site/tabel?tid=336&amp;wid=0000000000&amp;lang=en	https://www.sec.gov/cgi-bin/browse-edgar?action=getcompany&amp;CIK=0001798292	https://www.youtube.com/user/PemprovDKI	</v>
      <v xml:space="preserve">http://creativecommons.org/licenses/by-sa/3.0/				</v>
    </spb>
    <spb s="0">
      <v xml:space="preserve">Wikipedia	Wikipedia	sp2010.bps.go.id	Sec	Youtube	</v>
      <v xml:space="preserve">CC-BY-SA	CC-BY-SA				</v>
      <v xml:space="preserve">http://en.wikipedia.org/wiki/Jakarta	https://en.wikipedia.org/wiki/Jakarta	https://sp2010.bps.go.id/index.php/site/tabel?tid=336&amp;wid=0000000000&amp;lang=en	https://www.sec.gov/cgi-bin/browse-edgar?action=getcompany&amp;CIK=0001798292	https://www.youtube.com/user/PemprovDKI	</v>
      <v xml:space="preserve">http://creativecommons.org/licenses/by-sa/3.0/	http://creativecommons.org/licenses/by-sa/3.0/				</v>
    </spb>
    <spb s="12">
      <v>24</v>
      <v>25</v>
      <v>18</v>
      <v>24</v>
      <v>25</v>
      <v>24</v>
      <v>24</v>
      <v>26</v>
      <v>18</v>
    </spb>
    <spb s="2">
      <v>2</v>
      <v>Name</v>
      <v>LearnMoreOnLink</v>
    </spb>
    <spb s="11">
      <v>square km</v>
      <v>2010</v>
      <v>2020</v>
      <v>2010</v>
    </spb>
    <spb s="0">
      <v xml:space="preserve">	</v>
      <v xml:space="preserve">	</v>
      <v xml:space="preserve">https://en.wikipedia.org/wiki/Jakarta	</v>
      <v xml:space="preserve">https://creativecommons.org/licenses/by-sa/3.0	</v>
    </spb>
    <spb s="0">
      <v xml:space="preserve">Wikipedia	</v>
      <v xml:space="preserve">CC-BY-SA	</v>
      <v xml:space="preserve">http://en.wikipedia.org/wiki/Gorontalo	</v>
      <v xml:space="preserve">http://creativecommons.org/licenses/by-sa/3.0/	</v>
    </spb>
    <spb s="0">
      <v xml:space="preserve">Wikipedia	Wikipedia	sp2010.bps.go.id	</v>
      <v xml:space="preserve">CC-BY-SA	CC-BY-SA		</v>
      <v xml:space="preserve">http://en.wikipedia.org/wiki/Gorontalo	http://fr.wikipedia.org/wiki/Gorontalo	https://sp2010.bps.go.id/index.php/site/tabel?tid=336&amp;wid=0000000000&amp;lang=en	</v>
      <v xml:space="preserve">http://creativecommons.org/licenses/by-sa/3.0/	http://creativecommons.org/licenses/by-sa/3.0/		</v>
    </spb>
    <spb s="0">
      <v xml:space="preserve">Wikipedia	Wikipedia	</v>
      <v xml:space="preserve">CC-BY-SA	CC-BY-SA	</v>
      <v xml:space="preserve">http://en.wikipedia.org/wiki/Gorontalo	http://fr.wikipedia.org/wiki/Gorontalo	</v>
      <v xml:space="preserve">http://creativecommons.org/licenses/by-sa/3.0/	http://creativecommons.org/licenses/by-sa/3.0/	</v>
    </spb>
    <spb s="10">
      <v>31</v>
      <v>32</v>
      <v>18</v>
      <v>31</v>
      <v>32</v>
      <v>31</v>
      <v>31</v>
      <v>33</v>
      <v>32</v>
      <v>33</v>
      <v>18</v>
    </spb>
    <spb s="0">
      <v xml:space="preserve">	</v>
      <v xml:space="preserve">	</v>
      <v xml:space="preserve">https://en.wikipedia.org/wiki/Gorontalo	</v>
      <v xml:space="preserve">https://creativecommons.org/licenses/by-sa/3.0	</v>
    </spb>
    <spb s="0">
      <v xml:space="preserve">Wikipedia	</v>
      <v xml:space="preserve">CC-BY-SA	</v>
      <v xml:space="preserve">http://en.wikipedia.org/wiki/Gorontalo_(city)	</v>
      <v xml:space="preserve">http://creativecommons.org/licenses/by-sa/3.0/	</v>
    </spb>
    <spb s="13">
      <v>36</v>
      <v>36</v>
      <v>36</v>
      <v>36</v>
      <v>36</v>
      <v>36</v>
      <v>36</v>
    </spb>
    <spb s="0">
      <v xml:space="preserve">	</v>
      <v xml:space="preserve">	</v>
      <v xml:space="preserve">https://en.wikipedia.org/wiki/Gorontalo_(city)	</v>
      <v xml:space="preserve">https://creativecommons.org/licenses/by-sa/3.0	</v>
    </spb>
    <spb s="0">
      <v xml:space="preserve">Wikipedia	</v>
      <v xml:space="preserve">CC-BY-SA	</v>
      <v xml:space="preserve">http://en.wikipedia.org/wiki/North_Maluku	</v>
      <v xml:space="preserve">http://creativecommons.org/licenses/by-sa/3.0/	</v>
    </spb>
    <spb s="0">
      <v xml:space="preserve">Wikipedia	sp2010.bps.go.id	</v>
      <v xml:space="preserve">CC-BY-SA		</v>
      <v xml:space="preserve">http://en.wikipedia.org/wiki/North_Maluku	https://sp2010.bps.go.id/index.php/site/tabel?tid=336&amp;wid=0000000000&amp;lang=en	</v>
      <v xml:space="preserve">http://creativecommons.org/licenses/by-sa/3.0/		</v>
    </spb>
    <spb s="14">
      <v>39</v>
      <v>40</v>
      <v>18</v>
      <v>39</v>
      <v>40</v>
      <v>39</v>
      <v>39</v>
      <v>40</v>
      <v>39</v>
      <v>18</v>
    </spb>
    <spb s="0">
      <v xml:space="preserve">	</v>
      <v xml:space="preserve">	</v>
      <v xml:space="preserve">https://en.wikipedia.org/wiki/North_Maluku	</v>
      <v xml:space="preserve">https://creativecommons.org/licenses/by-sa/3.0	</v>
    </spb>
    <spb s="0">
      <v xml:space="preserve">Wikipedia	</v>
      <v xml:space="preserve">CC-BY-SA	</v>
      <v xml:space="preserve">http://en.wikipedia.org/wiki/Sofifi	</v>
      <v xml:space="preserve">http://creativecommons.org/licenses/by-sa/3.0/	</v>
    </spb>
    <spb s="0">
      <v xml:space="preserve">Wikipedia	Wikipedia	</v>
      <v xml:space="preserve">CC-BY-SA	CC-BY-SA	</v>
      <v xml:space="preserve">http://en.wikipedia.org/wiki/Sofifi	http://fr.wikipedia.org/wiki/Sofifi	</v>
      <v xml:space="preserve">http://creativecommons.org/licenses/by-sa/3.0/	http://creativecommons.org/licenses/by-sa/3.0/	</v>
    </spb>
    <spb s="13">
      <v>43</v>
      <v>43</v>
      <v>43</v>
      <v>43</v>
      <v>43</v>
      <v>43</v>
      <v>44</v>
    </spb>
    <spb s="2">
      <v>3</v>
      <v>Name</v>
      <v>LearnMoreOnLink</v>
    </spb>
    <spb s="15">
      <v>1</v>
      <v>3</v>
    </spb>
    <spb s="0">
      <v xml:space="preserve">Wikipedia	</v>
      <v xml:space="preserve">CC-BY-SA	</v>
      <v xml:space="preserve">http://en.wikipedia.org/wiki/Ternate	</v>
      <v xml:space="preserve">http://creativecommons.org/licenses/by-sa/3.0/	</v>
    </spb>
    <spb s="0">
      <v xml:space="preserve">Wikipedia	Wikipedia	</v>
      <v xml:space="preserve">CC-BY-SA	CC-BY-SA	</v>
      <v xml:space="preserve">http://en.wikipedia.org/wiki/Ternate	http://es.wikipedia.org/wiki/Ternate	</v>
      <v xml:space="preserve">http://creativecommons.org/licenses/by-sa/3.0/	http://creativecommons.org/licenses/by-sa/3.0/	</v>
    </spb>
    <spb s="13">
      <v>48</v>
      <v>48</v>
      <v>48</v>
      <v>48</v>
      <v>48</v>
      <v>48</v>
      <v>49</v>
    </spb>
    <spb s="2">
      <v>4</v>
      <v>Name</v>
      <v>LearnMoreOnLink</v>
    </spb>
    <spb s="0">
      <v xml:space="preserve">Wikipedia	</v>
      <v xml:space="preserve">CC-BY-SA	</v>
      <v xml:space="preserve">http://en.wikipedia.org/wiki/East_Kalimantan	</v>
      <v xml:space="preserve">http://creativecommons.org/licenses/by-sa/3.0/	</v>
    </spb>
    <spb s="0">
      <v xml:space="preserve">Wikipedia	sp2010.bps.go.id	</v>
      <v xml:space="preserve">CC-BY-SA		</v>
      <v xml:space="preserve">http://en.wikipedia.org/wiki/East_Kalimantan	https://sp2010.bps.go.id/index.php/site/tabel?tid=336&amp;wid=0000000000&amp;lang=en	</v>
      <v xml:space="preserve">http://creativecommons.org/licenses/by-sa/3.0/		</v>
    </spb>
    <spb s="0">
      <v xml:space="preserve">Wikipedia	Wikipedia	sp2010.bps.go.id	</v>
      <v xml:space="preserve">CC-BY-SA	CC-BY-SA		</v>
      <v xml:space="preserve">http://en.wikipedia.org/wiki/East_Kalimantan	https://en.wikipedia.org/wiki/East_Kalimantan	https://sp2010.bps.go.id/index.php/site/tabel?tid=336&amp;wid=0000000000&amp;lang=en	</v>
      <v xml:space="preserve">http://creativecommons.org/licenses/by-sa/3.0/	http://creativecommons.org/licenses/by-sa/3.0/		</v>
    </spb>
    <spb s="10">
      <v>52</v>
      <v>53</v>
      <v>18</v>
      <v>52</v>
      <v>53</v>
      <v>52</v>
      <v>52</v>
      <v>52</v>
      <v>54</v>
      <v>52</v>
      <v>18</v>
    </spb>
    <spb s="0">
      <v xml:space="preserve">	</v>
      <v xml:space="preserve">	</v>
      <v xml:space="preserve">https://en.wikipedia.org/wiki/East_Kalimantan	</v>
      <v xml:space="preserve">https://creativecommons.org/licenses/by-sa/3.0	</v>
    </spb>
    <spb s="0">
      <v xml:space="preserve">Wikipedia	</v>
      <v xml:space="preserve">CC-BY-SA	</v>
      <v xml:space="preserve">http://en.wikipedia.org/wiki/Samarinda	</v>
      <v xml:space="preserve">http://creativecommons.org/licenses/by-sa/3.0/	</v>
    </spb>
    <spb s="0">
      <v xml:space="preserve">Wikipedia	Wikipedia	</v>
      <v xml:space="preserve">CC-BY-SA	CC-BY-SA	</v>
      <v xml:space="preserve">http://en.wikipedia.org/wiki/Samarinda	http://it.wikipedia.org/wiki/Samarinda	</v>
      <v xml:space="preserve">http://creativecommons.org/licenses/by-sa/3.0/	http://creativecommons.org/licenses/by-sa/3.0/	</v>
    </spb>
    <spb s="0">
      <v xml:space="preserve">Wikipedia	Wikipedia	</v>
      <v xml:space="preserve">CC-BY-SA	CC-BY-SA	</v>
      <v xml:space="preserve">http://en.wikipedia.org/wiki/Samarinda	http://es.wikipedia.org/wiki/Samarinda	</v>
      <v xml:space="preserve">http://creativecommons.org/licenses/by-sa/3.0/	http://creativecommons.org/licenses/by-sa/3.0/	</v>
    </spb>
    <spb s="1">
      <v>57</v>
      <v>57</v>
      <v>58</v>
      <v>58</v>
      <v>57</v>
      <v>57</v>
      <v>57</v>
      <v>57</v>
      <v>59</v>
    </spb>
    <spb s="8">
      <v>square km</v>
      <v>2021</v>
    </spb>
    <spb s="0">
      <v xml:space="preserve">	</v>
      <v xml:space="preserve">	</v>
      <v xml:space="preserve">https://en.wikipedia.org/wiki/Samarinda	</v>
      <v xml:space="preserve">https://creativecommons.org/licenses/by-sa/3.0	</v>
    </spb>
    <spb s="0">
      <v xml:space="preserve">Wikipedia	</v>
      <v xml:space="preserve">CC-BY-SA	</v>
      <v xml:space="preserve">http://en.wikipedia.org/wiki/Kalimantan	</v>
      <v xml:space="preserve">http://creativecommons.org/licenses/by-sa/3.0/	</v>
    </spb>
    <spb s="13">
      <v>63</v>
      <v>63</v>
      <v>63</v>
      <v>63</v>
      <v>63</v>
      <v>63</v>
      <v>63</v>
    </spb>
    <spb s="2">
      <v>5</v>
      <v>Name</v>
      <v>LearnMoreOnLink</v>
    </spb>
    <spb s="16">
      <v>7</v>
      <v>7</v>
      <v>7</v>
    </spb>
    <spb s="17">
      <v>1</v>
      <v>2</v>
    </spb>
    <spb s="0">
      <v xml:space="preserve">	</v>
      <v xml:space="preserve">	</v>
      <v xml:space="preserve">https://en.wikipedia.org/wiki/Kalimantan	</v>
      <v xml:space="preserve">https://creativecommons.org/licenses/by-sa/3.0	</v>
    </spb>
    <spb s="0">
      <v xml:space="preserve">Wikipedia	</v>
      <v xml:space="preserve">CC-BY-SA	</v>
      <v xml:space="preserve">http://en.wikipedia.org/wiki/North_Kalimantan	</v>
      <v xml:space="preserve">http://creativecommons.org/licenses/by-sa/3.0/	</v>
    </spb>
    <spb s="18">
      <v>69</v>
      <v>69</v>
      <v>69</v>
      <v>69</v>
      <v>69</v>
      <v>69</v>
      <v>69</v>
      <v>69</v>
    </spb>
    <spb s="2">
      <v>6</v>
      <v>Name</v>
      <v>LearnMoreOnLink</v>
    </spb>
    <spb s="0">
      <v xml:space="preserve">	</v>
      <v xml:space="preserve">	</v>
      <v xml:space="preserve">https://en.wikipedia.org/wiki/North_Kalimantan	</v>
      <v xml:space="preserve">https://creativecommons.org/licenses/by-sa/3.0	</v>
    </spb>
    <spb s="0">
      <v xml:space="preserve">Wikipedia	</v>
      <v xml:space="preserve">CC-BY-SA	</v>
      <v xml:space="preserve">http://en.wikipedia.org/wiki/Tanjung_Selor	</v>
      <v xml:space="preserve">http://creativecommons.org/licenses/by-sa/3.0/	</v>
    </spb>
    <spb s="0">
      <v xml:space="preserve">Wikipedia	Wikipedia	</v>
      <v xml:space="preserve">CC-BY-SA	CC-BY-SA	</v>
      <v xml:space="preserve">http://en.wikipedia.org/wiki/Tanjung_Selor	http://fr.wikipedia.org/wiki/Tanjung_Selor	</v>
      <v xml:space="preserve">http://creativecommons.org/licenses/by-sa/3.0/	http://creativecommons.org/licenses/by-sa/3.0/	</v>
    </spb>
    <spb s="19">
      <v>73</v>
      <v>73</v>
      <v>73</v>
      <v>73</v>
      <v>73</v>
      <v>74</v>
    </spb>
    <spb s="2">
      <v>7</v>
      <v>Name</v>
      <v>LearnMoreOnLink</v>
    </spb>
    <spb s="20">
      <v>square km</v>
    </spb>
    <spb s="0">
      <v xml:space="preserve">	</v>
      <v xml:space="preserve">	</v>
      <v xml:space="preserve">https://en.wikipedia.org/wiki/Tanjung_Selor	</v>
      <v xml:space="preserve">https://creativecommons.org/licenses/by-sa/3.0	</v>
    </spb>
    <spb s="0">
      <v xml:space="preserve">Wikipedia	</v>
      <v xml:space="preserve">CC-BY-SA	</v>
      <v xml:space="preserve">http://en.wikipedia.org/wiki/Sampit	</v>
      <v xml:space="preserve">http://creativecommons.org/licenses/by-sa/3.0/	</v>
    </spb>
    <spb s="19">
      <v>79</v>
      <v>79</v>
      <v>79</v>
      <v>79</v>
      <v>79</v>
      <v>79</v>
    </spb>
    <spb s="0">
      <v xml:space="preserve">	</v>
      <v xml:space="preserve">	</v>
      <v xml:space="preserve">https://en.wikipedia.org/wiki/Sampit	</v>
      <v xml:space="preserve">https://creativecommons.org/licenses/by-sa/3.0	</v>
    </spb>
    <spb s="0">
      <v xml:space="preserve">	</v>
      <v xml:space="preserve">	</v>
      <v xml:space="preserve">https://en.wikipedia.org	</v>
      <v xml:space="preserve">https://creativecommons.org/licenses/by-sa/3.0	</v>
    </spb>
    <spb s="0">
      <v xml:space="preserve">Wikipedia	</v>
      <v xml:space="preserve">CC-BY-SA	</v>
      <v xml:space="preserve">http://en.wikipedia.org/wiki/Central_Kalimantan	</v>
      <v xml:space="preserve">http://creativecommons.org/licenses/by-sa/3.0/	</v>
    </spb>
    <spb s="0">
      <v xml:space="preserve">Wikipedia	sp2010.bps.go.id	</v>
      <v xml:space="preserve">CC-BY-SA		</v>
      <v xml:space="preserve">http://en.wikipedia.org/wiki/Central_Kalimantan	https://sp2010.bps.go.id/index.php/site/tabel?tid=336&amp;wid=0000000000&amp;lang=en	</v>
      <v xml:space="preserve">http://creativecommons.org/licenses/by-sa/3.0/		</v>
    </spb>
    <spb s="10">
      <v>82</v>
      <v>82</v>
      <v>18</v>
      <v>82</v>
      <v>82</v>
      <v>82</v>
      <v>83</v>
      <v>83</v>
      <v>84</v>
      <v>83</v>
      <v>18</v>
    </spb>
    <spb s="0">
      <v xml:space="preserve">	</v>
      <v xml:space="preserve">	</v>
      <v xml:space="preserve">https://en.wikipedia.org/wiki/Central_Kalimantan	</v>
      <v xml:space="preserve">https://creativecommons.org/licenses/by-sa/3.0	</v>
    </spb>
    <spb s="0">
      <v xml:space="preserve">Wikipedia	Wikipedia	</v>
      <v xml:space="preserve">CC-BY-SA	CC-BY-SA	</v>
      <v xml:space="preserve">http://en.wikipedia.org/wiki/Palangka_Raya	http://ja.wikipedia.org/wiki/パランカラヤ	</v>
      <v xml:space="preserve">http://creativecommons.org/licenses/by-sa/3.0/	http://creativecommons.org/licenses/by-sa/3.0/	</v>
    </spb>
    <spb s="13">
      <v>82</v>
      <v>82</v>
      <v>82</v>
      <v>82</v>
      <v>82</v>
      <v>87</v>
      <v>87</v>
    </spb>
    <spb s="8">
      <v>square km</v>
      <v>2015</v>
    </spb>
    <spb s="0">
      <v xml:space="preserve">	</v>
      <v xml:space="preserve">	</v>
      <v xml:space="preserve">https://en.wikipedia.org/wiki/Palangka_Raya	</v>
      <v xml:space="preserve">https://creativecommons.org/licenses/by-sa/3.0	</v>
    </spb>
    <spb s="0">
      <v xml:space="preserve">Wikipedia	</v>
      <v xml:space="preserve">CC-BY-SA	</v>
      <v xml:space="preserve">http://en.wikipedia.org/wiki/Bogor	</v>
      <v xml:space="preserve">http://creativecommons.org/licenses/by-sa/3.0/	</v>
    </spb>
    <spb s="0">
      <v xml:space="preserve">Wikipedia	Wikipedia	</v>
      <v xml:space="preserve">CC-BY-SA	CC-BY-SA	</v>
      <v xml:space="preserve">http://en.wikipedia.org/wiki/Bogor	https://en.wikipedia.org/wiki/Bogor	</v>
      <v xml:space="preserve">http://creativecommons.org/licenses/by-sa/3.0/	http://creativecommons.org/licenses/by-sa/3.0/	</v>
    </spb>
    <spb s="0">
      <v xml:space="preserve">Wikipedia	Wikipedia	</v>
      <v xml:space="preserve">CC-BY-SA	CC-BY-SA	</v>
      <v xml:space="preserve">http://en.wikipedia.org/wiki/Bogor	http://es.wikipedia.org/wiki/Bogor	</v>
      <v xml:space="preserve">http://creativecommons.org/licenses/by-sa/3.0/	http://creativecommons.org/licenses/by-sa/3.0/	</v>
    </spb>
    <spb s="13">
      <v>91</v>
      <v>91</v>
      <v>91</v>
      <v>91</v>
      <v>91</v>
      <v>92</v>
      <v>93</v>
    </spb>
    <spb s="0">
      <v xml:space="preserve">	</v>
      <v xml:space="preserve">	</v>
      <v xml:space="preserve">https://en.wikipedia.org/wiki/Bogor	</v>
      <v xml:space="preserve">https://creativecommons.org/licenses/by-sa/3.0	</v>
    </spb>
    <spb s="0">
      <v xml:space="preserve">Wikipedia	Wikipedia	</v>
      <v xml:space="preserve">CC-BY-SA	CC-BY-SA	</v>
      <v xml:space="preserve">http://en.wikipedia.org/wiki/West_Java	http://es.wikipedia.org/wiki/Java_Occidental	</v>
      <v xml:space="preserve">http://creativecommons.org/licenses/by-sa/3.0/	http://creativecommons.org/licenses/by-sa/3.0/	</v>
    </spb>
    <spb s="0">
      <v xml:space="preserve">Wikipedia	sp2010.bps.go.id	</v>
      <v xml:space="preserve">CC-BY-SA		</v>
      <v xml:space="preserve">http://en.wikipedia.org/wiki/West_Java	https://sp2010.bps.go.id/index.php/site/tabel?tid=336&amp;wid=0000000000&amp;lang=en	</v>
      <v xml:space="preserve">http://creativecommons.org/licenses/by-sa/3.0/		</v>
    </spb>
    <spb s="0">
      <v xml:space="preserve">Wikipedia	</v>
      <v xml:space="preserve">CC-BY-SA	</v>
      <v xml:space="preserve">http://en.wikipedia.org/wiki/West_Java	</v>
      <v xml:space="preserve">http://creativecommons.org/licenses/by-sa/3.0/	</v>
    </spb>
    <spb s="0">
      <v xml:space="preserve">Wikipedia	Wikipedia	sp2010.bps.go.id	</v>
      <v xml:space="preserve">CC-BY-SA	CC-BY-SA		</v>
      <v xml:space="preserve">http://en.wikipedia.org/wiki/West_Java	https://en.wikipedia.org/wiki/West_Java	https://sp2010.bps.go.id/index.php/site/tabel?tid=336&amp;wid=0000000000&amp;lang=en	</v>
      <v xml:space="preserve">http://creativecommons.org/licenses/by-sa/3.0/	http://creativecommons.org/licenses/by-sa/3.0/		</v>
    </spb>
    <spb s="10">
      <v>96</v>
      <v>97</v>
      <v>18</v>
      <v>98</v>
      <v>97</v>
      <v>98</v>
      <v>98</v>
      <v>98</v>
      <v>99</v>
      <v>98</v>
      <v>18</v>
    </spb>
    <spb s="0">
      <v xml:space="preserve">	</v>
      <v xml:space="preserve">	</v>
      <v xml:space="preserve">https://en.wikipedia.org/wiki/West_Java	</v>
      <v xml:space="preserve">https://creativecommons.org/licenses/by-sa/3.0	</v>
    </spb>
    <spb s="0">
      <v xml:space="preserve">Wikipedia	</v>
      <v xml:space="preserve">CC-BY-SA	</v>
      <v xml:space="preserve">http://en.wikipedia.org/wiki/Lubuklinggau	</v>
      <v xml:space="preserve">http://creativecommons.org/licenses/by-sa/3.0/	</v>
    </spb>
    <spb s="13">
      <v>102</v>
      <v>102</v>
      <v>102</v>
      <v>102</v>
      <v>102</v>
      <v>102</v>
      <v>102</v>
    </spb>
    <spb s="0">
      <v xml:space="preserve">	</v>
      <v xml:space="preserve">	</v>
      <v xml:space="preserve">https://en.wikipedia.org/wiki/Lubuklinggau	</v>
      <v xml:space="preserve">https://creativecommons.org/licenses/by-sa/3.0	</v>
    </spb>
    <spb s="0">
      <v xml:space="preserve">Wikipedia	</v>
      <v xml:space="preserve">CC-BY-SA	</v>
      <v xml:space="preserve">http://en.wikipedia.org/wiki/South_Sumatra	</v>
      <v xml:space="preserve">http://creativecommons.org/licenses/by-sa/3.0/	</v>
    </spb>
    <spb s="0">
      <v xml:space="preserve">Wikipedia	sp2010.bps.go.id	</v>
      <v xml:space="preserve">CC-BY-SA		</v>
      <v xml:space="preserve">http://en.wikipedia.org/wiki/South_Sumatra	https://sp2010.bps.go.id/index.php/site/tabel?tid=336&amp;wid=0000000000&amp;lang=en	</v>
      <v xml:space="preserve">http://creativecommons.org/licenses/by-sa/3.0/		</v>
    </spb>
    <spb s="0">
      <v xml:space="preserve">Wikipedia	Wikipedia	sp2010.bps.go.id	</v>
      <v xml:space="preserve">CC-BY-SA	CC-BY-SA		</v>
      <v xml:space="preserve">http://en.wikipedia.org/wiki/South_Sumatra	https://en.wikipedia.org/wiki/South_Sumatra	https://sp2010.bps.go.id/index.php/site/tabel?tid=336&amp;wid=0000000000&amp;lang=en	</v>
      <v xml:space="preserve">http://creativecommons.org/licenses/by-sa/3.0/	http://creativecommons.org/licenses/by-sa/3.0/		</v>
    </spb>
    <spb s="10">
      <v>105</v>
      <v>106</v>
      <v>18</v>
      <v>105</v>
      <v>106</v>
      <v>105</v>
      <v>105</v>
      <v>105</v>
      <v>107</v>
      <v>105</v>
      <v>18</v>
    </spb>
    <spb s="0">
      <v xml:space="preserve">	</v>
      <v xml:space="preserve">	</v>
      <v xml:space="preserve">https://en.wikipedia.org/wiki/South_Sumatra	</v>
      <v xml:space="preserve">https://creativecommons.org/licenses/by-sa/3.0	</v>
    </spb>
    <spb s="0">
      <v xml:space="preserve">Wikipedia	Wikipedia	</v>
      <v xml:space="preserve">CC-BY-SA	CC-BY-SA	</v>
      <v xml:space="preserve">http://en.wikipedia.org/wiki/Palembang	http://es.wikipedia.org/wiki/Palembang	</v>
      <v xml:space="preserve">http://creativecommons.org/licenses/by-sa/3.0/	http://creativecommons.org/licenses/by-sa/3.0/	</v>
    </spb>
    <spb s="0">
      <v xml:space="preserve">Wikipedia	Tasteatlas	</v>
      <v xml:space="preserve">CC-BY-SA		</v>
      <v xml:space="preserve">http://en.wikipedia.org/wiki/Palembang	https://www.tasteatlas.com/palembang	</v>
      <v xml:space="preserve">http://creativecommons.org/licenses/by-sa/3.0/		</v>
    </spb>
    <spb s="0">
      <v xml:space="preserve">Wikipedia	</v>
      <v xml:space="preserve">CC-BY-SA	</v>
      <v xml:space="preserve">http://en.wikipedia.org/wiki/Palembang	</v>
      <v xml:space="preserve">http://creativecommons.org/licenses/by-sa/3.0/	</v>
    </spb>
    <spb s="13">
      <v>110</v>
      <v>111</v>
      <v>112</v>
      <v>111</v>
      <v>112</v>
      <v>112</v>
      <v>110</v>
    </spb>
    <spb s="0">
      <v xml:space="preserve">	</v>
      <v xml:space="preserve">	</v>
      <v xml:space="preserve">https://en.wikipedia.org/wiki/Palembang	</v>
      <v xml:space="preserve">https://creativecommons.org/licenses/by-sa/3.0	</v>
    </spb>
    <spb s="0">
      <v xml:space="preserve">Wikipedia	Wikipedia	</v>
      <v xml:space="preserve">CC-BY-SA	CC-BY-SA	</v>
      <v xml:space="preserve">http://en.wikipedia.org/wiki/Jambi	http://es.wikipedia.org/wiki/Jambi_(provincia)	</v>
      <v xml:space="preserve">http://creativecommons.org/licenses/by-sa/3.0/	http://creativecommons.org/licenses/by-sa/3.0/	</v>
    </spb>
    <spb s="0">
      <v xml:space="preserve">Wikipedia	sp2010.bps.go.id	</v>
      <v xml:space="preserve">CC-BY-SA		</v>
      <v xml:space="preserve">http://en.wikipedia.org/wiki/Jambi	https://sp2010.bps.go.id/index.php/site/tabel?tid=336&amp;wid=0000000000&amp;lang=en	</v>
      <v xml:space="preserve">http://creativecommons.org/licenses/by-sa/3.0/		</v>
    </spb>
    <spb s="0">
      <v xml:space="preserve">Wikipedia	</v>
      <v xml:space="preserve">CC-BY-SA	</v>
      <v xml:space="preserve">http://en.wikipedia.org/wiki/Jambi	</v>
      <v xml:space="preserve">http://creativecommons.org/licenses/by-sa/3.0/	</v>
    </spb>
    <spb s="0">
      <v xml:space="preserve">Wikipedia	Wikipedia	sp2010.bps.go.id	</v>
      <v xml:space="preserve">CC-BY-SA	CC-BY-SA		</v>
      <v xml:space="preserve">http://en.wikipedia.org/wiki/Jambi	https://en.wikipedia.org/wiki/Jambi	https://sp2010.bps.go.id/index.php/site/tabel?tid=336&amp;wid=0000000000&amp;lang=en	</v>
      <v xml:space="preserve">http://creativecommons.org/licenses/by-sa/3.0/	http://creativecommons.org/licenses/by-sa/3.0/		</v>
    </spb>
    <spb s="10">
      <v>115</v>
      <v>116</v>
      <v>18</v>
      <v>117</v>
      <v>116</v>
      <v>117</v>
      <v>117</v>
      <v>117</v>
      <v>118</v>
      <v>117</v>
      <v>18</v>
    </spb>
    <spb s="2">
      <v>8</v>
      <v>Name</v>
      <v>LearnMoreOnLink</v>
    </spb>
    <spb s="0">
      <v xml:space="preserve">	</v>
      <v xml:space="preserve">	</v>
      <v xml:space="preserve">https://en.wikipedia.org/wiki/Jambi	</v>
      <v xml:space="preserve">https://creativecommons.org/licenses/by-sa/3.0	</v>
    </spb>
    <spb s="0">
      <v xml:space="preserve">Wikipedia	Wikipedia	Wikipedia	</v>
      <v xml:space="preserve">CC-BY-SA	CC-BY-SA	CC-BY-SA	</v>
      <v xml:space="preserve">http://en.wikipedia.org/wiki/Jambi_(city)	http://en.wikipedia.org/wiki/Jambi_City	http://es.wikipedia.org/wiki/Jambi_(ciudad)	</v>
      <v xml:space="preserve">http://creativecommons.org/licenses/by-sa/3.0/	http://creativecommons.org/licenses/by-sa/3.0/	http://creativecommons.org/licenses/by-sa/3.0/	</v>
    </spb>
    <spb s="0">
      <v xml:space="preserve">Wikipedia	Wikipedia	</v>
      <v xml:space="preserve">CC-BY-SA	CC-BY-SA	</v>
      <v xml:space="preserve">http://en.wikipedia.org/wiki/Jambi_(city)	http://en.wikipedia.org/wiki/Jambi_City	</v>
      <v xml:space="preserve">http://creativecommons.org/licenses/by-sa/3.0/	http://creativecommons.org/licenses/by-sa/3.0/	</v>
    </spb>
    <spb s="0">
      <v xml:space="preserve">Wikipedia	Wikipedia	Wikipedia	</v>
      <v xml:space="preserve">CC-BY-SA	CC-BY-SA	CC-BY-SA	</v>
      <v xml:space="preserve">http://en.wikipedia.org/wiki/Jambi_City	http://en.wikipedia.org/wiki/Jambi_(city)	http://es.wikipedia.org/wiki/Jambi_(ciudad)	</v>
      <v xml:space="preserve">http://creativecommons.org/licenses/by-sa/3.0/	http://creativecommons.org/licenses/by-sa/3.0/	http://creativecommons.org/licenses/by-sa/3.0/	</v>
    </spb>
    <spb s="0">
      <v xml:space="preserve">Wikipedia	</v>
      <v xml:space="preserve">CC-BY-SA	</v>
      <v xml:space="preserve">http://en.wikipedia.org/wiki/Jambi_(city)	</v>
      <v xml:space="preserve">http://creativecommons.org/licenses/by-sa/3.0/	</v>
    </spb>
    <spb s="1">
      <v>122</v>
      <v>123</v>
      <v>124</v>
      <v>124</v>
      <v>125</v>
      <v>123</v>
      <v>123</v>
      <v>123</v>
      <v>122</v>
    </spb>
    <spb s="2">
      <v>9</v>
      <v>Name</v>
      <v>LearnMoreOnLink</v>
    </spb>
    <spb s="0">
      <v xml:space="preserve">Wikipedia	Wikipedia	Wikipedia	</v>
      <v xml:space="preserve">CC-BY-SA	CC-BY-SA	CC-BY-SA	</v>
      <v xml:space="preserve">http://en.wikipedia.org/wiki/Banda_Aceh	http://de.wikipedia.org/wiki/Banda_Aceh	http://fr.wikipedia.org/wiki/Banda_Aceh	</v>
      <v xml:space="preserve">http://creativecommons.org/licenses/by-sa/3.0/	http://creativecommons.org/licenses/by-sa/3.0/	http://creativecommons.org/licenses/by-sa/3.0/	</v>
    </spb>
    <spb s="0">
      <v xml:space="preserve">Wikipedia	</v>
      <v xml:space="preserve">CC-BY-SA	</v>
      <v xml:space="preserve">http://en.wikipedia.org/wiki/Banda_Aceh	</v>
      <v xml:space="preserve">http://creativecommons.org/licenses/by-sa/3.0/	</v>
    </spb>
    <spb s="0">
      <v xml:space="preserve">Wikipedia	Wikipedia	</v>
      <v xml:space="preserve">CC-BY-SA	CC-BY-SA	</v>
      <v xml:space="preserve">http://en.wikipedia.org/wiki/Banda_Aceh	https://en.wikipedia.org/wiki/Banda_Aceh	</v>
      <v xml:space="preserve">http://creativecommons.org/licenses/by-sa/3.0/	http://creativecommons.org/licenses/by-sa/3.0/	</v>
    </spb>
    <spb s="0">
      <v xml:space="preserve">Wikipedia	Wikipedia	</v>
      <v xml:space="preserve">CC-BY-SA	CC-BY-SA	</v>
      <v xml:space="preserve">http://en.wikipedia.org/wiki/Banda_Aceh	http://es.wikipedia.org/wiki/Banda_Aceh	</v>
      <v xml:space="preserve">http://creativecommons.org/licenses/by-sa/3.0/	http://creativecommons.org/licenses/by-sa/3.0/	</v>
    </spb>
    <spb s="21">
      <v>128</v>
      <v>129</v>
      <v>129</v>
      <v>129</v>
      <v>129</v>
      <v>129</v>
      <v>129</v>
      <v>130</v>
      <v>131</v>
      <v>129</v>
    </spb>
    <spb s="2">
      <v>10</v>
      <v>Name</v>
      <v>LearnMoreOnLink</v>
    </spb>
    <spb s="0">
      <v xml:space="preserve">	</v>
      <v xml:space="preserve">	</v>
      <v xml:space="preserve">https://en.wikipedia.org/wiki/Banda_Aceh	</v>
      <v xml:space="preserve">https://creativecommons.org/licenses/by-sa/3.0	</v>
    </spb>
    <spb s="0">
      <v xml:space="preserve">Wikipedia	</v>
      <v xml:space="preserve">CC-BY-SA	</v>
      <v xml:space="preserve">http://en.wikipedia.org/wiki/Aceh	</v>
      <v xml:space="preserve">http://creativecommons.org/licenses/by-sa/3.0/	</v>
    </spb>
    <spb s="0">
      <v xml:space="preserve">Wikipedia	sp2010.bps.go.id	Twitter	Tasteatlas	</v>
      <v xml:space="preserve">CC-BY-SA				</v>
      <v xml:space="preserve">http://en.wikipedia.org/wiki/Aceh	https://sp2010.bps.go.id/index.php/site/tabel?tid=336&amp;wid=0000000000&amp;lang=en	https://twitter.com/Aceh	https://www.tasteatlas.com/aceh	</v>
      <v xml:space="preserve">http://creativecommons.org/licenses/by-sa/3.0/				</v>
    </spb>
    <spb s="0">
      <v xml:space="preserve">Wikipedia	sp2010.bps.go.id	</v>
      <v xml:space="preserve">CC-BY-SA		</v>
      <v xml:space="preserve">http://en.wikipedia.org/wiki/Aceh	https://sp2010.bps.go.id/index.php/site/tabel?tid=336&amp;wid=0000000000&amp;lang=en	</v>
      <v xml:space="preserve">http://creativecommons.org/licenses/by-sa/3.0/		</v>
    </spb>
    <spb s="10">
      <v>135</v>
      <v>136</v>
      <v>18</v>
      <v>135</v>
      <v>136</v>
      <v>135</v>
      <v>135</v>
      <v>135</v>
      <v>137</v>
      <v>135</v>
      <v>18</v>
    </spb>
    <spb s="0">
      <v xml:space="preserve">	</v>
      <v xml:space="preserve">	</v>
      <v xml:space="preserve">https://en.wikipedia.org/wiki/Aceh	</v>
      <v xml:space="preserve">https://creativecommons.org/licenses/by-sa/3.0	</v>
    </spb>
    <spb s="0">
      <v xml:space="preserve">Wikipedia	</v>
      <v xml:space="preserve">CC-BY-SA	</v>
      <v xml:space="preserve">http://en.wikipedia.org/wiki/East_Java	</v>
      <v xml:space="preserve">http://creativecommons.org/licenses/by-sa/3.0/	</v>
    </spb>
    <spb s="0">
      <v xml:space="preserve">Wikipedia	sp2010.bps.go.id	</v>
      <v xml:space="preserve">CC-BY-SA		</v>
      <v xml:space="preserve">http://en.wikipedia.org/wiki/East_Java	https://sp2010.bps.go.id/index.php/site/tabel?tid=336&amp;wid=0000000000&amp;lang=en	</v>
      <v xml:space="preserve">http://creativecommons.org/licenses/by-sa/3.0/		</v>
    </spb>
    <spb s="0">
      <v xml:space="preserve">Wikipedia	Wikipedia	sp2010.bps.go.id	</v>
      <v xml:space="preserve">CC-BY-SA	CC-BY-SA		</v>
      <v xml:space="preserve">http://en.wikipedia.org/wiki/East_Java	https://en.wikipedia.org/wiki/East_Java	https://sp2010.bps.go.id/index.php/site/tabel?tid=336&amp;wid=0000000000&amp;lang=en	</v>
      <v xml:space="preserve">http://creativecommons.org/licenses/by-sa/3.0/	http://creativecommons.org/licenses/by-sa/3.0/		</v>
    </spb>
    <spb s="10">
      <v>140</v>
      <v>141</v>
      <v>18</v>
      <v>140</v>
      <v>141</v>
      <v>140</v>
      <v>140</v>
      <v>140</v>
      <v>142</v>
      <v>140</v>
      <v>18</v>
    </spb>
    <spb s="0">
      <v xml:space="preserve">	</v>
      <v xml:space="preserve">	</v>
      <v xml:space="preserve">https://en.wikipedia.org/wiki/East_Java	</v>
      <v xml:space="preserve">https://creativecommons.org/licenses/by-sa/3.0	</v>
    </spb>
    <spb s="0">
      <v xml:space="preserve">Wikipedia	</v>
      <v xml:space="preserve">CC-BY-SA	</v>
      <v xml:space="preserve">http://en.wikipedia.org/wiki/Surabaya	</v>
      <v xml:space="preserve">http://creativecommons.org/licenses/by-sa/3.0/	</v>
    </spb>
    <spb s="0">
      <v xml:space="preserve">Wikipedia	Weathertrends360	</v>
      <v xml:space="preserve">CC-BY-SA		</v>
      <v xml:space="preserve">http://en.wikipedia.org/wiki/Surabaya	https://www.weathertrends360.com/	</v>
      <v xml:space="preserve">http://creativecommons.org/licenses/by-sa/3.0/		</v>
    </spb>
    <spb s="0">
      <v xml:space="preserve">Wikipedia	Wikipedia	</v>
      <v xml:space="preserve">CC-BY-SA	CC-BY-SA	</v>
      <v xml:space="preserve">http://en.wikipedia.org/wiki/Surabaya	https://en.wikipedia.org/wiki/Surabaya	</v>
      <v xml:space="preserve">http://creativecommons.org/licenses/by-sa/3.0/	http://creativecommons.org/licenses/by-sa/3.0/	</v>
    </spb>
    <spb s="0">
      <v xml:space="preserve">Wikipedia	Wikipedia	</v>
      <v xml:space="preserve">CC-BY-SA	CC-BY-SA	</v>
      <v xml:space="preserve">http://en.wikipedia.org/wiki/Surabaya	http://es.wikipedia.org/wiki/Surabaya	</v>
      <v xml:space="preserve">http://creativecommons.org/licenses/by-sa/3.0/	http://creativecommons.org/licenses/by-sa/3.0/	</v>
    </spb>
    <spb s="13">
      <v>145</v>
      <v>146</v>
      <v>145</v>
      <v>146</v>
      <v>145</v>
      <v>147</v>
      <v>148</v>
    </spb>
    <spb s="0">
      <v xml:space="preserve">	</v>
      <v xml:space="preserve">	</v>
      <v xml:space="preserve">https://en.wikipedia.org/wiki/Surabaya	</v>
      <v xml:space="preserve">https://creativecommons.org/licenses/by-sa/3.0	</v>
    </spb>
    <spb s="0">
      <v xml:space="preserve">Wikipedia	</v>
      <v xml:space="preserve">CC-BY-SA	</v>
      <v xml:space="preserve">http://en.wikipedia.org/wiki/Riau_Islands	</v>
      <v xml:space="preserve">http://creativecommons.org/licenses/by-sa/3.0/	</v>
    </spb>
    <spb s="0">
      <v xml:space="preserve">Wikipedia	sp2010.bps.go.id	</v>
      <v xml:space="preserve">CC-BY-SA		</v>
      <v xml:space="preserve">http://en.wikipedia.org/wiki/Riau_Islands	https://sp2010.bps.go.id/index.php/site/tabel?tid=336&amp;wid=0000000000&amp;lang=en	</v>
      <v xml:space="preserve">http://creativecommons.org/licenses/by-sa/3.0/		</v>
    </spb>
    <spb s="0">
      <v xml:space="preserve">Wikipedia	Wikipedia	Wikipedia	sp2010.bps.go.id	</v>
      <v xml:space="preserve">CC-BY-SA	CC-BY-SA	CC-BY-SA		</v>
      <v xml:space="preserve">http://en.wikipedia.org/wiki/Riau_Islands	http://ja.wikipedia.org/wiki/リアウ諸島州	https://en.wikipedia.org/wiki/Riau_Islands	https://sp2010.bps.go.id/index.php/site/tabel?tid=336&amp;wid=0000000000&amp;lang=en	</v>
      <v xml:space="preserve">http://creativecommons.org/licenses/by-sa/3.0/	http://creativecommons.org/licenses/by-sa/3.0/	http://creativecommons.org/licenses/by-sa/3.0/		</v>
    </spb>
    <spb s="0">
      <v xml:space="preserve">Wikipedia	Wikipedia	</v>
      <v xml:space="preserve">CC-BY-SA	CC-BY-SA	</v>
      <v xml:space="preserve">http://en.wikipedia.org/wiki/Riau_Islands	http://ja.wikipedia.org/wiki/リアウ諸島州	</v>
      <v xml:space="preserve">http://creativecommons.org/licenses/by-sa/3.0/	http://creativecommons.org/licenses/by-sa/3.0/	</v>
    </spb>
    <spb s="14">
      <v>151</v>
      <v>152</v>
      <v>18</v>
      <v>151</v>
      <v>152</v>
      <v>151</v>
      <v>151</v>
      <v>153</v>
      <v>154</v>
      <v>18</v>
    </spb>
    <spb s="0">
      <v xml:space="preserve">	</v>
      <v xml:space="preserve">	</v>
      <v xml:space="preserve">https://en.wikipedia.org/wiki/Riau_Islands	</v>
      <v xml:space="preserve">https://creativecommons.org/licenses/by-sa/3.0	</v>
    </spb>
    <spb s="0">
      <v xml:space="preserve">Wikipedia	Wikipedia	Wikipedia	</v>
      <v xml:space="preserve">CC-BY-SA	CC-BY-SA	CC-BY-SA	</v>
      <v xml:space="preserve">http://en.wikipedia.org/wiki/Tanjung_Pinang	http://en.wikipedia.org/wiki/Tanjungpinang	http://fr.wikipedia.org/wiki/Tanjungpinang	</v>
      <v xml:space="preserve">http://creativecommons.org/licenses/by-sa/3.0/	http://creativecommons.org/licenses/by-sa/3.0/	http://creativecommons.org/licenses/by-sa/3.0/	</v>
    </spb>
    <spb s="0">
      <v xml:space="preserve">Wikipedia	</v>
      <v xml:space="preserve">CC-BY-SA	</v>
      <v xml:space="preserve">http://en.wikipedia.org/wiki/Tanjung_Pinang	</v>
      <v xml:space="preserve">http://creativecommons.org/licenses/by-sa/3.0/	</v>
    </spb>
    <spb s="0">
      <v xml:space="preserve">Wikipedia	</v>
      <v xml:space="preserve">CC-BY-SA	</v>
      <v xml:space="preserve">http://en.wikipedia.org/wiki/Tanjungpinang	</v>
      <v xml:space="preserve">http://creativecommons.org/licenses/by-sa/3.0/	</v>
    </spb>
    <spb s="0">
      <v xml:space="preserve">Wikipedia	Wikipedia	</v>
      <v xml:space="preserve">CC-BY-SA	CC-BY-SA	</v>
      <v xml:space="preserve">http://en.wikipedia.org/wiki/Tanjung_Pinang	http://en.wikipedia.org/wiki/Tanjungpinang	</v>
      <v xml:space="preserve">http://creativecommons.org/licenses/by-sa/3.0/	http://creativecommons.org/licenses/by-sa/3.0/	</v>
    </spb>
    <spb s="13">
      <v>157</v>
      <v>158</v>
      <v>159</v>
      <v>158</v>
      <v>160</v>
      <v>160</v>
      <v>160</v>
    </spb>
    <spb s="0">
      <v xml:space="preserve">	</v>
      <v xml:space="preserve">	</v>
      <v xml:space="preserve">https://en.wikipedia.org/wiki/Tanjungpinang	</v>
      <v xml:space="preserve">https://creativecommons.org/licenses/by-sa/3.0	</v>
    </spb>
    <spb s="0">
      <v xml:space="preserve">Wikipedia	</v>
      <v xml:space="preserve">CC-BY-SA	</v>
      <v xml:space="preserve">http://en.wikipedia.org/wiki/Batam	</v>
      <v xml:space="preserve">http://creativecommons.org/licenses/by-sa/3.0/	</v>
    </spb>
    <spb s="0">
      <v xml:space="preserve">Wikipedia	Weathertrends360	</v>
      <v xml:space="preserve">CC-BY-SA		</v>
      <v xml:space="preserve">http://en.wikipedia.org/wiki/Batam	https://www.weathertrends360.com/	</v>
      <v xml:space="preserve">http://creativecommons.org/licenses/by-sa/3.0/		</v>
    </spb>
    <spb s="0">
      <v xml:space="preserve">Wikipedia	Wikipedia	</v>
      <v xml:space="preserve">CC-BY-SA	CC-BY-SA	</v>
      <v xml:space="preserve">http://en.wikipedia.org/wiki/Batam	http://es.wikipedia.org/wiki/Batam	</v>
      <v xml:space="preserve">http://creativecommons.org/licenses/by-sa/3.0/	http://creativecommons.org/licenses/by-sa/3.0/	</v>
    </spb>
    <spb s="1">
      <v>163</v>
      <v>164</v>
      <v>163</v>
      <v>163</v>
      <v>163</v>
      <v>164</v>
      <v>163</v>
      <v>163</v>
      <v>165</v>
    </spb>
    <spb s="0">
      <v xml:space="preserve">	</v>
      <v xml:space="preserve">	</v>
      <v xml:space="preserve">https://en.wikipedia.org/wiki/Batam	</v>
      <v xml:space="preserve">https://creativecommons.org/licenses/by-sa/3.0	</v>
    </spb>
    <spb s="0">
      <v xml:space="preserve">Wikipedia	</v>
      <v xml:space="preserve">CC-BY-SA	</v>
      <v xml:space="preserve">http://en.wikipedia.org/wiki/Manado	</v>
      <v xml:space="preserve">http://creativecommons.org/licenses/by-sa/3.0/	</v>
    </spb>
    <spb s="0">
      <v xml:space="preserve">Wikipedia	Tasteatlas	</v>
      <v xml:space="preserve">CC-BY-SA		</v>
      <v xml:space="preserve">http://en.wikipedia.org/wiki/Manado	https://www.tasteatlas.com/manado	</v>
      <v xml:space="preserve">http://creativecommons.org/licenses/by-sa/3.0/		</v>
    </spb>
    <spb s="0">
      <v xml:space="preserve">Wikipedia	Wikipedia	Wikipedia	</v>
      <v xml:space="preserve">CC-BY-SA	CC-BY-SA	CC-BY-SA	</v>
      <v xml:space="preserve">http://en.wikipedia.org/wiki/Manado	http://es.wikipedia.org/wiki/Manado	http://fr.wikipedia.org/wiki/Manado	</v>
      <v xml:space="preserve">http://creativecommons.org/licenses/by-sa/3.0/	http://creativecommons.org/licenses/by-sa/3.0/	http://creativecommons.org/licenses/by-sa/3.0/	</v>
    </spb>
    <spb s="13">
      <v>168</v>
      <v>169</v>
      <v>168</v>
      <v>169</v>
      <v>168</v>
      <v>168</v>
      <v>170</v>
    </spb>
    <spb s="0">
      <v xml:space="preserve">	</v>
      <v xml:space="preserve">	</v>
      <v xml:space="preserve">https://en.wikipedia.org/wiki/Manado	</v>
      <v xml:space="preserve">https://creativecommons.org/licenses/by-sa/3.0	</v>
    </spb>
    <spb s="0">
      <v xml:space="preserve">Wikipedia	</v>
      <v xml:space="preserve">CC-BY-SA	</v>
      <v xml:space="preserve">http://en.wikipedia.org/wiki/North_Sulawesi	</v>
      <v xml:space="preserve">http://creativecommons.org/licenses/by-sa/3.0/	</v>
    </spb>
    <spb s="0">
      <v xml:space="preserve">Wikipedia	sp2010.bps.go.id	</v>
      <v xml:space="preserve">CC-BY-SA		</v>
      <v xml:space="preserve">http://en.wikipedia.org/wiki/North_Sulawesi	https://sp2010.bps.go.id/index.php/site/tabel?tid=336&amp;wid=0000000000&amp;lang=en	</v>
      <v xml:space="preserve">http://creativecommons.org/licenses/by-sa/3.0/		</v>
    </spb>
    <spb s="10">
      <v>173</v>
      <v>174</v>
      <v>18</v>
      <v>173</v>
      <v>174</v>
      <v>173</v>
      <v>173</v>
      <v>173</v>
      <v>174</v>
      <v>173</v>
      <v>18</v>
    </spb>
    <spb s="0">
      <v xml:space="preserve">	</v>
      <v xml:space="preserve">	</v>
      <v xml:space="preserve">https://en.wikipedia.org/wiki/North_Sulawesi	</v>
      <v xml:space="preserve">https://creativecommons.org/licenses/by-sa/3.0	</v>
    </spb>
    <spb s="0">
      <v xml:space="preserve">Wikipedia	Wikipedia	</v>
      <v xml:space="preserve">CC-BY-SA	CC-BY-SA	</v>
      <v xml:space="preserve">http://en.wikipedia.org/wiki/West_Sumatra	http://es.wikipedia.org/wiki/Sumatra_Occidental	</v>
      <v xml:space="preserve">http://creativecommons.org/licenses/by-sa/3.0/	http://creativecommons.org/licenses/by-sa/3.0/	</v>
    </spb>
    <spb s="0">
      <v xml:space="preserve">Wikipedia	sp2010.bps.go.id	</v>
      <v xml:space="preserve">CC-BY-SA		</v>
      <v xml:space="preserve">http://en.wikipedia.org/wiki/West_Sumatra	https://sp2010.bps.go.id/index.php/site/tabel?tid=336&amp;wid=0000000000&amp;lang=en	</v>
      <v xml:space="preserve">http://creativecommons.org/licenses/by-sa/3.0/		</v>
    </spb>
    <spb s="0">
      <v xml:space="preserve">Wikipedia	</v>
      <v xml:space="preserve">CC-BY-SA	</v>
      <v xml:space="preserve">http://en.wikipedia.org/wiki/West_Sumatra	</v>
      <v xml:space="preserve">http://creativecommons.org/licenses/by-sa/3.0/	</v>
    </spb>
    <spb s="0">
      <v xml:space="preserve">Wikipedia	Wikipedia	sp2010.bps.go.id	</v>
      <v xml:space="preserve">CC-BY-SA	CC-BY-SA		</v>
      <v xml:space="preserve">http://en.wikipedia.org/wiki/West_Sumatra	https://en.wikipedia.org/wiki/West_Sumatra	https://sp2010.bps.go.id/index.php/site/tabel?tid=336&amp;wid=0000000000&amp;lang=en	</v>
      <v xml:space="preserve">http://creativecommons.org/licenses/by-sa/3.0/	http://creativecommons.org/licenses/by-sa/3.0/		</v>
    </spb>
    <spb s="10">
      <v>177</v>
      <v>178</v>
      <v>18</v>
      <v>179</v>
      <v>178</v>
      <v>179</v>
      <v>179</v>
      <v>179</v>
      <v>180</v>
      <v>179</v>
      <v>18</v>
    </spb>
    <spb s="0">
      <v xml:space="preserve">	</v>
      <v xml:space="preserve">	</v>
      <v xml:space="preserve">https://en.wikipedia.org/wiki/West_Sumatra	</v>
      <v xml:space="preserve">https://creativecommons.org/licenses/by-sa/3.0	</v>
    </spb>
    <spb s="0">
      <v xml:space="preserve">Wikipedia	Wikipedia	</v>
      <v xml:space="preserve">CC-BY-SA	CC-BY-SA	</v>
      <v xml:space="preserve">http://en.wikipedia.org/wiki/Padang	http://es.wikipedia.org/wiki/Padang	</v>
      <v xml:space="preserve">http://creativecommons.org/licenses/by-sa/3.0/	http://creativecommons.org/licenses/by-sa/3.0/	</v>
    </spb>
    <spb s="0">
      <v xml:space="preserve">Wikipedia	Weathertrends360	</v>
      <v xml:space="preserve">CC-BY-SA		</v>
      <v xml:space="preserve">http://en.wikipedia.org/wiki/Padang	https://www.weathertrends360.com/	</v>
      <v xml:space="preserve">http://creativecommons.org/licenses/by-sa/3.0/		</v>
    </spb>
    <spb s="0">
      <v xml:space="preserve">Wikipedia	</v>
      <v xml:space="preserve">CC-BY-SA	</v>
      <v xml:space="preserve">http://en.wikipedia.org/wiki/Padang	</v>
      <v xml:space="preserve">http://creativecommons.org/licenses/by-sa/3.0/	</v>
    </spb>
    <spb s="0">
      <v xml:space="preserve">Wikipedia	Wikipedia	</v>
      <v xml:space="preserve">CC-BY-SA	CC-BY-SA	</v>
      <v xml:space="preserve">http://en.wikipedia.org/wiki/Padang	https://en.wikipedia.org/wiki/Padang	</v>
      <v xml:space="preserve">http://creativecommons.org/licenses/by-sa/3.0/	http://creativecommons.org/licenses/by-sa/3.0/	</v>
    </spb>
    <spb s="13">
      <v>183</v>
      <v>184</v>
      <v>185</v>
      <v>184</v>
      <v>185</v>
      <v>186</v>
      <v>183</v>
    </spb>
    <spb s="0">
      <v xml:space="preserve">	</v>
      <v xml:space="preserve">	</v>
      <v xml:space="preserve">https://en.wikipedia.org/wiki/Padang	</v>
      <v xml:space="preserve">https://creativecommons.org/licenses/by-sa/3.0	</v>
    </spb>
    <spb s="0">
      <v xml:space="preserve">Wikipedia	Wikipedia	Wikipedia	</v>
      <v xml:space="preserve">CC-BY-SA	CC-BY-SA	CC-BY-SA	</v>
      <v xml:space="preserve">http://en.wikipedia.org/wiki/Balikpapan	http://es.wikipedia.org/wiki/Balikpapan	http://fr.wikipedia.org/wiki/Balikpapan	</v>
      <v xml:space="preserve">http://creativecommons.org/licenses/by-sa/3.0/	http://creativecommons.org/licenses/by-sa/3.0/	http://creativecommons.org/licenses/by-sa/3.0/	</v>
    </spb>
    <spb s="0">
      <v xml:space="preserve">Wikipedia	Weathertrends360	</v>
      <v xml:space="preserve">CC-BY-SA		</v>
      <v xml:space="preserve">http://en.wikipedia.org/wiki/Balikpapan	https://www.weathertrends360.com/	</v>
      <v xml:space="preserve">http://creativecommons.org/licenses/by-sa/3.0/		</v>
    </spb>
    <spb s="0">
      <v xml:space="preserve">Wikipedia	</v>
      <v xml:space="preserve">CC-BY-SA	</v>
      <v xml:space="preserve">http://en.wikipedia.org/wiki/Balikpapan	</v>
      <v xml:space="preserve">http://creativecommons.org/licenses/by-sa/3.0/	</v>
    </spb>
    <spb s="0">
      <v xml:space="preserve">Wikipedia	Wikipedia	</v>
      <v xml:space="preserve">CC-BY-SA	CC-BY-SA	</v>
      <v xml:space="preserve">http://en.wikipedia.org/wiki/Balikpapan	http://es.wikipedia.org/wiki/Balikpapan	</v>
      <v xml:space="preserve">http://creativecommons.org/licenses/by-sa/3.0/	http://creativecommons.org/licenses/by-sa/3.0/	</v>
    </spb>
    <spb s="13">
      <v>189</v>
      <v>190</v>
      <v>191</v>
      <v>190</v>
      <v>191</v>
      <v>191</v>
      <v>192</v>
    </spb>
    <spb s="0">
      <v xml:space="preserve">	</v>
      <v xml:space="preserve">	</v>
      <v xml:space="preserve">https://en.wikipedia.org/wiki/Balikpapan	</v>
      <v xml:space="preserve">https://creativecommons.org/licenses/by-sa/3.0	</v>
    </spb>
    <spb s="0">
      <v xml:space="preserve">Wikipedia	</v>
      <v xml:space="preserve">CC-BY-SA	</v>
      <v xml:space="preserve">http://en.wikipedia.org/wiki/Central_Java	</v>
      <v xml:space="preserve">http://creativecommons.org/licenses/by-sa/3.0/	</v>
    </spb>
    <spb s="0">
      <v xml:space="preserve">Wikipedia	sp2010.bps.go.id	</v>
      <v xml:space="preserve">CC-BY-SA		</v>
      <v xml:space="preserve">http://en.wikipedia.org/wiki/Central_Java	https://sp2010.bps.go.id/index.php/site/tabel?tid=336&amp;wid=0000000000&amp;lang=en	</v>
      <v xml:space="preserve">http://creativecommons.org/licenses/by-sa/3.0/		</v>
    </spb>
    <spb s="0">
      <v xml:space="preserve">Wikipedia	Wikipedia	sp2010.bps.go.id	</v>
      <v xml:space="preserve">CC-BY-SA	CC-BY-SA		</v>
      <v xml:space="preserve">http://en.wikipedia.org/wiki/Central_Java	https://en.wikipedia.org/wiki/Central_Java	https://sp2010.bps.go.id/index.php/site/tabel?tid=336&amp;wid=0000000000&amp;lang=en	</v>
      <v xml:space="preserve">http://creativecommons.org/licenses/by-sa/3.0/	http://creativecommons.org/licenses/by-sa/3.0/		</v>
    </spb>
    <spb s="10">
      <v>195</v>
      <v>196</v>
      <v>18</v>
      <v>195</v>
      <v>196</v>
      <v>195</v>
      <v>195</v>
      <v>195</v>
      <v>197</v>
      <v>195</v>
      <v>18</v>
    </spb>
    <spb s="0">
      <v xml:space="preserve">	</v>
      <v xml:space="preserve">	</v>
      <v xml:space="preserve">https://en.wikipedia.org/wiki/Central_Java	</v>
      <v xml:space="preserve">https://creativecommons.org/licenses/by-sa/3.0	</v>
    </spb>
    <spb s="0">
      <v xml:space="preserve">Wikipedia	</v>
      <v xml:space="preserve">CC-BY-SA	</v>
      <v xml:space="preserve">http://en.wikipedia.org/wiki/Semarang	</v>
      <v xml:space="preserve">http://creativecommons.org/licenses/by-sa/3.0/	</v>
    </spb>
    <spb s="0">
      <v xml:space="preserve">Wikipedia	Wikipedia	</v>
      <v xml:space="preserve">CC-BY-SA	CC-BY-SA	</v>
      <v xml:space="preserve">http://en.wikipedia.org/wiki/Semarang	https://en.wikipedia.org/wiki/Semarang	</v>
      <v xml:space="preserve">http://creativecommons.org/licenses/by-sa/3.0/	http://creativecommons.org/licenses/by-sa/3.0/	</v>
    </spb>
    <spb s="0">
      <v xml:space="preserve">Wikipedia	Wikipedia	</v>
      <v xml:space="preserve">CC-BY-SA	CC-BY-SA	</v>
      <v xml:space="preserve">http://en.wikipedia.org/wiki/Semarang	http://es.wikipedia.org/wiki/Semarang	</v>
      <v xml:space="preserve">http://creativecommons.org/licenses/by-sa/3.0/	http://creativecommons.org/licenses/by-sa/3.0/	</v>
    </spb>
    <spb s="13">
      <v>200</v>
      <v>200</v>
      <v>200</v>
      <v>200</v>
      <v>200</v>
      <v>201</v>
      <v>202</v>
    </spb>
    <spb s="0">
      <v xml:space="preserve">	</v>
      <v xml:space="preserve">	</v>
      <v xml:space="preserve">https://en.wikipedia.org/wiki/Semarang	</v>
      <v xml:space="preserve">https://creativecommons.org/licenses/by-sa/3.0	</v>
    </spb>
    <spb s="0">
      <v xml:space="preserve">Wikipedia	</v>
      <v xml:space="preserve">CC-BY-SA	</v>
      <v xml:space="preserve">http://en.wikipedia.org/wiki/Central_Sulawesi	</v>
      <v xml:space="preserve">http://creativecommons.org/licenses/by-sa/3.0/	</v>
    </spb>
    <spb s="0">
      <v xml:space="preserve">Wikipedia	sp2010.bps.go.id	</v>
      <v xml:space="preserve">CC-BY-SA		</v>
      <v xml:space="preserve">http://en.wikipedia.org/wiki/Central_Sulawesi	https://sp2010.bps.go.id/index.php/site/tabel?tid=336&amp;wid=0000000000&amp;lang=en	</v>
      <v xml:space="preserve">http://creativecommons.org/licenses/by-sa/3.0/		</v>
    </spb>
    <spb s="10">
      <v>205</v>
      <v>82</v>
      <v>18</v>
      <v>205</v>
      <v>82</v>
      <v>82</v>
      <v>205</v>
      <v>205</v>
      <v>206</v>
      <v>205</v>
      <v>18</v>
    </spb>
    <spb s="0">
      <v xml:space="preserve">	</v>
      <v xml:space="preserve">	</v>
      <v xml:space="preserve">https://en.wikipedia.org/wiki/Central_Sulawesi	</v>
      <v xml:space="preserve">https://creativecommons.org/licenses/by-sa/3.0	</v>
    </spb>
    <spb s="0">
      <v xml:space="preserve">Wikipedia	Wikipedia	</v>
      <v xml:space="preserve">CC-BY-SA	CC-BY-SA	</v>
      <v xml:space="preserve">http://en.wikipedia.org/wiki/Palu	http://es.wikipedia.org/wiki/Palu_(Indonesia)	</v>
      <v xml:space="preserve">http://creativecommons.org/licenses/by-sa/3.0/	http://creativecommons.org/licenses/by-sa/3.0/	</v>
    </spb>
    <spb s="0">
      <v xml:space="preserve">Wikipedia	Wikidata	</v>
      <v xml:space="preserve">CC-BY-SA		</v>
      <v xml:space="preserve">http://en.wikipedia.org/wiki/Palu	https://www.wikidata.org/wiki/Q24849683	</v>
      <v xml:space="preserve">http://creativecommons.org/licenses/by-sa/3.0/		</v>
    </spb>
    <spb s="0">
      <v xml:space="preserve">Wikipedia	</v>
      <v xml:space="preserve">CC-BY-SA	</v>
      <v xml:space="preserve">http://en.wikipedia.org/wiki/Palu	</v>
      <v xml:space="preserve">http://creativecommons.org/licenses/by-sa/3.0/	</v>
    </spb>
    <spb s="13">
      <v>209</v>
      <v>210</v>
      <v>211</v>
      <v>210</v>
      <v>211</v>
      <v>211</v>
      <v>209</v>
    </spb>
    <spb s="0">
      <v xml:space="preserve">	</v>
      <v xml:space="preserve">	</v>
      <v xml:space="preserve">https://en.wikipedia.org/wiki/Palu	</v>
      <v xml:space="preserve">https://creativecommons.org/licenses/by-sa/3.0	</v>
    </spb>
    <spb s="0">
      <v xml:space="preserve">Wikipedia	</v>
      <v xml:space="preserve">CC-BY-SA	</v>
      <v xml:space="preserve">http://en.wikipedia.org/wiki/South_Sulawesi	</v>
      <v xml:space="preserve">http://creativecommons.org/licenses/by-sa/3.0/	</v>
    </spb>
    <spb s="0">
      <v xml:space="preserve">Wikipedia	sp2010.bps.go.id	</v>
      <v xml:space="preserve">CC-BY-SA		</v>
      <v xml:space="preserve">http://en.wikipedia.org/wiki/South_Sulawesi	https://sp2010.bps.go.id/index.php/site/tabel?tid=336&amp;wid=0000000000&amp;lang=en	</v>
      <v xml:space="preserve">http://creativecommons.org/licenses/by-sa/3.0/		</v>
    </spb>
    <spb s="0">
      <v xml:space="preserve">Wikipedia	Wikipedia	sp2010.bps.go.id	</v>
      <v xml:space="preserve">CC-BY-SA	CC-BY-SA		</v>
      <v xml:space="preserve">http://en.wikipedia.org/wiki/South_Sulawesi	https://en.wikipedia.org/wiki/South_Sulawesi	https://sp2010.bps.go.id/index.php/site/tabel?tid=336&amp;wid=0000000000&amp;lang=en	</v>
      <v xml:space="preserve">http://creativecommons.org/licenses/by-sa/3.0/	http://creativecommons.org/licenses/by-sa/3.0/		</v>
    </spb>
    <spb s="10">
      <v>214</v>
      <v>215</v>
      <v>18</v>
      <v>214</v>
      <v>215</v>
      <v>214</v>
      <v>214</v>
      <v>214</v>
      <v>216</v>
      <v>214</v>
      <v>18</v>
    </spb>
    <spb s="0">
      <v xml:space="preserve">	</v>
      <v xml:space="preserve">	</v>
      <v xml:space="preserve">https://en.wikipedia.org/wiki/South_Sulawesi	</v>
      <v xml:space="preserve">https://creativecommons.org/licenses/by-sa/3.0	</v>
    </spb>
    <spb s="0">
      <v xml:space="preserve">Wikipedia	Wikipedia	</v>
      <v xml:space="preserve">CC-BY-SA	CC-BY-SA	</v>
      <v xml:space="preserve">http://en.wikipedia.org/wiki/Makassar	http://fr.wikipedia.org/wiki/Makassar_(ville)	</v>
      <v xml:space="preserve">http://creativecommons.org/licenses/by-sa/3.0/	http://creativecommons.org/licenses/by-sa/3.0/	</v>
    </spb>
    <spb s="0">
      <v xml:space="preserve">Wikipedia	Wikipedia	Tasteatlas	</v>
      <v xml:space="preserve">CC-BY-SA	CC-BY-SA		</v>
      <v xml:space="preserve">http://en.wikipedia.org/wiki/Makassar	http://sv.wikipedia.org/wiki/Makassar_(provinshuvudstad_i_Indonesien)	https://www.tasteatlas.com/makassar	</v>
      <v xml:space="preserve">http://creativecommons.org/licenses/by-sa/3.0/	http://creativecommons.org/licenses/by-sa/3.0/		</v>
    </spb>
    <spb s="0">
      <v xml:space="preserve">Wikipedia	Wikipedia	</v>
      <v xml:space="preserve">CC-BY-SA	CC-BY-SA	</v>
      <v xml:space="preserve">http://en.wikipedia.org/wiki/Makassar	http://it.wikipedia.org/wiki/Makassar	</v>
      <v xml:space="preserve">http://creativecommons.org/licenses/by-sa/3.0/	http://creativecommons.org/licenses/by-sa/3.0/	</v>
    </spb>
    <spb s="0">
      <v xml:space="preserve">Wikipedia	</v>
      <v xml:space="preserve">CC-BY-SA	</v>
      <v xml:space="preserve">http://en.wikipedia.org/wiki/Makassar	</v>
      <v xml:space="preserve">http://creativecommons.org/licenses/by-sa/3.0/	</v>
    </spb>
    <spb s="0">
      <v xml:space="preserve">Wikipedia	Wikipedia	</v>
      <v xml:space="preserve">CC-BY-SA	CC-BY-SA	</v>
      <v xml:space="preserve">http://en.wikipedia.org/wiki/Makassar	https://en.wikipedia.org/wiki/Makassar	</v>
      <v xml:space="preserve">http://creativecommons.org/licenses/by-sa/3.0/	http://creativecommons.org/licenses/by-sa/3.0/	</v>
    </spb>
    <spb s="0">
      <v xml:space="preserve">Wikipedia	Wikipedia	Tasteatlas	</v>
      <v xml:space="preserve">CC-BY-SA	CC-BY-SA		</v>
      <v xml:space="preserve">http://en.wikipedia.org/wiki/Makassar	http://fr.wikipedia.org/wiki/Makassar_(ville)	https://www.tasteatlas.com/makassar	</v>
      <v xml:space="preserve">http://creativecommons.org/licenses/by-sa/3.0/	http://creativecommons.org/licenses/by-sa/3.0/		</v>
    </spb>
    <spb s="1">
      <v>219</v>
      <v>220</v>
      <v>221</v>
      <v>221</v>
      <v>222</v>
      <v>220</v>
      <v>222</v>
      <v>223</v>
      <v>224</v>
    </spb>
    <spb s="0">
      <v xml:space="preserve">	</v>
      <v xml:space="preserve">	</v>
      <v xml:space="preserve">https://en.wikipedia.org/wiki/Makassar	</v>
      <v xml:space="preserve">https://creativecommons.org/licenses/by-sa/3.0	</v>
    </spb>
    <spb s="0">
      <v xml:space="preserve">Wikipedia	</v>
      <v xml:space="preserve">CC-BY-SA	</v>
      <v xml:space="preserve">http://en.wikipedia.org/wiki/Purwakarta	</v>
      <v xml:space="preserve">http://creativecommons.org/licenses/by-sa/3.0/	</v>
    </spb>
    <spb s="21">
      <v>82</v>
      <v>82</v>
      <v>227</v>
      <v>227</v>
      <v>82</v>
      <v>82</v>
      <v>82</v>
      <v>227</v>
      <v>227</v>
      <v>227</v>
    </spb>
    <spb s="2">
      <v>11</v>
      <v>Name</v>
      <v>LearnMoreOnLink</v>
    </spb>
    <spb s="0">
      <v xml:space="preserve">	</v>
      <v xml:space="preserve">	</v>
      <v xml:space="preserve">https://en.wikipedia.org/wiki/Purwakarta	</v>
      <v xml:space="preserve">https://creativecommons.org/licenses/by-sa/3.0	</v>
    </spb>
  </spbData>
</supportingPropertyBags>
</file>

<file path=xl/richData/rdsupportingpropertybagstructure.xml><?xml version="1.0" encoding="utf-8"?>
<spbStructures xmlns="http://schemas.microsoft.com/office/spreadsheetml/2017/richdata2" count="22">
  <s>
    <k n="SourceText" t="s"/>
    <k n="LicenseText" t="s"/>
    <k n="SourceAddress" t="s"/>
    <k n="LicenseAddress" t="s"/>
  </s>
  <s>
    <k n="Area" t="spb"/>
    <k n="Name" t="spb"/>
    <k n="Latitude" t="spb"/>
    <k n="Longitude" t="spb"/>
    <k n="Population" t="spb"/>
    <k n="UniqueName" t="spb"/>
    <k n="Description" t="spb"/>
    <k n="Country/region" t="spb"/>
    <k n="Admin Division 1 (State/province/other)" t="spb"/>
  </s>
  <s>
    <k n="^Order" t="spba"/>
    <k n="TitleProperty" t="s"/>
    <k n="SubTitleProperty" t="s"/>
  </s>
  <s>
    <k n="ShowInCardView" t="b"/>
    <k n="ShowInDotNotation" t="b"/>
    <k n="ShowInAutoComplete" t="b"/>
  </s>
  <s>
    <k n="ShowInDotNotation" t="b"/>
    <k n="ShowInAutoComplete" t="b"/>
  </s>
  <s>
    <k n="UniqueName" t="spb"/>
    <k n="VDPID/VSID" t="spb"/>
    <k n="Description" t="spb"/>
    <k n="LearnMoreOnLink" t="spb"/>
  </s>
  <s>
    <k n="Name" t="i"/>
    <k n="Image" t="i"/>
    <k n="Description" t="i"/>
  </s>
  <s>
    <k n="link" t="s"/>
    <k n="logo" t="s"/>
    <k n="name" t="s"/>
  </s>
  <s>
    <k n="Area" t="s"/>
    <k n="Population" t="s"/>
  </s>
  <s>
    <k n="_Self" t="i"/>
  </s>
  <s>
    <k n="Area" t="spb"/>
    <k n="Name" t="spb"/>
    <k n="Households" t="spb"/>
    <k n="Population" t="spb"/>
    <k n="UniqueName" t="spb"/>
    <k n="Description" t="spb"/>
    <k n="Abbreviation" t="spb"/>
    <k n="Largest city" t="spb"/>
    <k n="Country/region" t="spb"/>
    <k n="Capital/Major City" t="spb"/>
    <k n="Persons per household" t="spb"/>
  </s>
  <s>
    <k n="Area" t="s"/>
    <k n="Households" t="s"/>
    <k n="Population" t="s"/>
    <k n="Persons per household" t="s"/>
  </s>
  <s>
    <k n="Area" t="spb"/>
    <k n="Name" t="spb"/>
    <k n="Households" t="spb"/>
    <k n="Population" t="spb"/>
    <k n="UniqueName" t="spb"/>
    <k n="Description" t="spb"/>
    <k n="Abbreviation" t="spb"/>
    <k n="Country/region" t="spb"/>
    <k n="Persons per household" t="spb"/>
  </s>
  <s>
    <k n="Area" t="spb"/>
    <k n="Name" t="spb"/>
    <k n="Population" t="spb"/>
    <k n="UniqueName" t="spb"/>
    <k n="Description" t="spb"/>
    <k n="Country/region" t="spb"/>
    <k n="Admin Division 1 (State/province/other)" t="spb"/>
  </s>
  <s>
    <k n="Area" t="spb"/>
    <k n="Name" t="spb"/>
    <k n="Households" t="spb"/>
    <k n="Population" t="spb"/>
    <k n="UniqueName" t="spb"/>
    <k n="Description" t="spb"/>
    <k n="Abbreviation" t="spb"/>
    <k n="Country/region" t="spb"/>
    <k n="Capital/Major City" t="spb"/>
    <k n="Persons per household" t="spb"/>
  </s>
  <s>
    <k n="Name" t="i"/>
    <k n="Description" t="i"/>
  </s>
  <s>
    <k n="UniqueName" t="spb"/>
    <k n="VDPID/VSID" t="spb"/>
    <k n="LearnMoreOnLink" t="spb"/>
  </s>
  <s>
    <k n="Name" t="i"/>
    <k n="Image" t="i"/>
  </s>
  <s>
    <k n="Area" t="spb"/>
    <k n="Name" t="spb"/>
    <k n="Population" t="spb"/>
    <k n="UniqueName" t="spb"/>
    <k n="Description" t="spb"/>
    <k n="Abbreviation" t="spb"/>
    <k n="Country/region" t="spb"/>
    <k n="Capital/Major City" t="spb"/>
  </s>
  <s>
    <k n="Area" t="spb"/>
    <k n="Name" t="spb"/>
    <k n="UniqueName" t="spb"/>
    <k n="Description" t="spb"/>
    <k n="Country/region" t="spb"/>
    <k n="Admin Division 1 (State/province/other)" t="spb"/>
  </s>
  <s>
    <k n="Area" t="s"/>
  </s>
  <s>
    <k n="Area" t="spb"/>
    <k n="Name" t="spb"/>
    <k n="Latitude" t="spb"/>
    <k n="Longitude" t="spb"/>
    <k n="Population" t="spb"/>
    <k n="UniqueName" t="spb"/>
    <k n="Description" t="spb"/>
    <k n="Country/region" t="spb"/>
    <k n="Admin Division 1 (State/province/other)" t="spb"/>
    <k n="Admin Division 2 (County/district/other)" t="spb"/>
  </s>
</spbStructures>
</file>

<file path=xl/richData/richStyles.xml><?xml version="1.0" encoding="utf-8"?>
<richStyleSheet xmlns="http://schemas.microsoft.com/office/spreadsheetml/2017/richdata2" xmlns:mc="http://schemas.openxmlformats.org/markup-compatibility/2006" xmlns:x="http://schemas.openxmlformats.org/spreadsheetml/2006/main" mc:Ignorable="x">
  <dxfs count="3">
    <x:dxf>
      <x:numFmt numFmtId="3" formatCode="#,##0"/>
    </x:dxf>
    <x:dxf>
      <x:numFmt numFmtId="0" formatCode="General"/>
    </x:dxf>
    <x:dxf>
      <x:numFmt numFmtId="2" formatCode="0.00"/>
    </x:dxf>
  </dxfs>
  <richProperties>
    <rPr n="IsTitleField" t="b"/>
    <rPr n="IsHeroField" t="b"/>
    <rPr n="RequiresInlineAttribution" t="b"/>
    <rPr n="NumberFormat" t="s"/>
  </richProperties>
  <richStyles>
    <rSty>
      <rpv i="0">1</rpv>
    </rSty>
    <rSty>
      <rpv i="1">1</rpv>
    </rSty>
    <rSty>
      <rpv i="2">1</rpv>
    </rSty>
    <rSty dxfid="0">
      <rpv i="3">#,##0</rpv>
    </rSty>
    <rSty dxfid="1">
      <rpv i="3">0.0000</rpv>
    </rSty>
    <rSty dxfid="2">
      <rpv i="3">0.00</rpv>
    </rSty>
  </richStyles>
</richStyleShee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3A0693A-D68E-4B4E-9016-7C2D1B33E3D7}" name="DATA_MASTER" displayName="DATA_MASTER" ref="A1:V125" totalsRowCount="1" headerRowDxfId="211" dataDxfId="209" headerRowBorderDxfId="210" tableBorderDxfId="208">
  <autoFilter ref="A1:V124" xr:uid="{53A0693A-D68E-4B4E-9016-7C2D1B33E3D7}"/>
  <sortState xmlns:xlrd2="http://schemas.microsoft.com/office/spreadsheetml/2017/richdata2" ref="A2:V117">
    <sortCondition ref="A1:A117"/>
  </sortState>
  <tableColumns count="22">
    <tableColumn id="2" xr3:uid="{549F80E8-191C-40E7-AF0F-E59B07DEEACC}" name="NO. PON" dataDxfId="207" totalsRowDxfId="206"/>
    <tableColumn id="3" xr3:uid="{5A77B1F9-D745-4E50-8E16-63812F4FB562}" name="Type _x000a_Struktur" dataDxfId="205" totalsRowDxfId="204"/>
    <tableColumn id="13" xr3:uid="{45F2BBEB-C9D4-4716-AF48-F291E721B34B}" name="Qty_x000a_(Unit)" dataDxfId="203" totalsRowDxfId="202"/>
    <tableColumn id="4" xr3:uid="{691C2357-C6C5-426C-8589-D3625794716D}" name="Marking_x000a_Struktur" dataDxfId="201" totalsRowDxfId="200"/>
    <tableColumn id="5" xr3:uid="{8667E453-DE0F-4A02-835E-E43B9E571D9C}" name="Deskripsi _x000a_Pekerjaan " dataDxfId="199" totalsRowDxfId="198"/>
    <tableColumn id="6" xr3:uid="{CD378716-A63E-4E2F-B52B-BD96457B5025}" name="Client" dataDxfId="197" totalsRowDxfId="196"/>
    <tableColumn id="7" xr3:uid="{76FDD4F1-D370-4BF5-9520-2A2EC68ED6DC}" name="Daerah" dataDxfId="195" totalsRowDxfId="194"/>
    <tableColumn id="11" xr3:uid="{9B622463-088F-450A-B650-762D43B683EA}" name="Total Berat_x000a_(Kg)" totalsRowFunction="sum" dataDxfId="193" totalsRowDxfId="192" dataCellStyle="Comma [0]">
      <calculatedColumnFormula>IFERROR(SUMIF(FABRIKASI[No.PON],DATA_MASTER[[#This Row],[NO. PON]],FABRIKASI[Berat Fabrikasi])+SUMIF(AKSESORIS[No.PON],DATA_MASTER[[#This Row],[NO. PON]],AKSESORIS[Total Berat
Aksesories
(Kg)])+SUMIF(BNW[No.PON],DATA_MASTER[[#This Row],[NO. PON]],BNW[Total Berat Baut
(Kg)])," ")*DATA_MASTER[[#This Row],[Qty
(Unit)]]</calculatedColumnFormula>
    </tableColumn>
    <tableColumn id="12" xr3:uid="{173AAF8B-5ED0-4AC6-A379-950C9BEAABD2}" name="Status" dataDxfId="191" totalsRowDxfId="190"/>
    <tableColumn id="8" xr3:uid="{7E6E5A75-4ACC-4558-9066-394B06314952}" name="Marketing" dataDxfId="189" totalsRowDxfId="188"/>
    <tableColumn id="14" xr3:uid="{899CA579-0751-44EB-956E-4054293C849C}" name="Progress" dataDxfId="187" totalsRowDxfId="186" dataCellStyle="Percent"/>
    <tableColumn id="1" xr3:uid="{83226F05-08B5-421F-B239-44F034C7E838}" name="Issue" dataDxfId="185" totalsRowDxfId="184" dataCellStyle="Percent"/>
    <tableColumn id="16" xr3:uid="{57DB7EA6-BD5F-468A-884B-64A1751AC1CE}" name="SUPPLY LIST" dataDxfId="183" totalsRowDxfId="182" dataCellStyle="Percent"/>
    <tableColumn id="9" xr3:uid="{3E75D604-E015-47BF-96B4-5654046013C2}" name="Date PON" dataDxfId="181" totalsRowDxfId="180"/>
    <tableColumn id="10" xr3:uid="{6C50CA50-1273-4DEE-BB8B-D492E3C6BB2A}" name="Date Finish" dataDxfId="179" totalsRowDxfId="178"/>
    <tableColumn id="22" xr3:uid="{CE256269-4A62-4A0F-8AEB-3393747149A2}" name="Column1" dataDxfId="177" totalsRowDxfId="176"/>
    <tableColumn id="17" xr3:uid="{FD49C921-35E3-44E8-90A0-216A8321C30E}" name="Date Aktual Finish" dataDxfId="175" totalsRowDxfId="174"/>
    <tableColumn id="19" xr3:uid="{D08DE00D-688A-4DE4-B3B4-E67929B668F6}" name="Finish Fabrikasi" dataDxfId="173" totalsRowDxfId="172"/>
    <tableColumn id="18" xr3:uid="{BBB9307E-B16A-4B85-BC5B-D6D7B2CD7FF3}" name="Date Aktual Delivery to Site" dataDxfId="171" totalsRowDxfId="170">
      <calculatedColumnFormula>DATA_MASTER[[#This Row],[Date Finish]]-DATA_MASTER[[#This Row],[Finish Fabrikasi]]</calculatedColumnFormula>
    </tableColumn>
    <tableColumn id="20" xr3:uid="{A606D5E0-487F-460C-A4E6-5C25BFDF4C9D}" name="REMINDER" dataDxfId="169" totalsRowDxfId="168">
      <calculatedColumnFormula>IF(DATA_MASTER[[#This Row],[Date Aktual Delivery to Site]]&lt;0,"Terlambat",IF(DATA_MASTER[[#This Row],[Date Aktual Delivery to Site]]&gt;30,"Sesuai Schedule",IF(DATA_MASTER[[#This Row],[Date Aktual Delivery to Site]]=0,"On schedule")))</calculatedColumnFormula>
    </tableColumn>
    <tableColumn id="21" xr3:uid="{05E9ACBB-CF5D-47F6-83C3-8B93FA367F6A}" name="Keterangan" dataDxfId="167" totalsRowDxfId="166">
      <calculatedColumnFormula>IF(DATA_MASTER[[#This Row],[Status]]="completed","COMPLETED",IF(DATA_MASTER[[#This Row],[Status]]="RFD","WAKTU",IF(DATA_MASTER[[#This Row],[Status]]="ON GOING","PRIORITAS")))</calculatedColumnFormula>
    </tableColumn>
    <tableColumn id="15" xr3:uid="{3B33F3C7-096F-4242-8884-A469C46DC386}" name="TAHUN" dataDxfId="165" totalsRowDxfId="164">
      <calculatedColumnFormula>2023</calculatedColumnFormula>
    </tableColumn>
  </tableColumns>
  <tableStyleInfo name="TableStyleMedium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72CF1C5F-E9AF-4128-8DE6-340EE0A6C108}" name="FABRIKASI" displayName="FABRIKASI" ref="A1:O131" totalsRowCount="1" headerRowDxfId="163">
  <autoFilter ref="A1:O130" xr:uid="{72CF1C5F-E9AF-4128-8DE6-340EE0A6C108}">
    <filterColumn colId="2">
      <filters>
        <filter val="Panel Bailey STOCK"/>
      </filters>
    </filterColumn>
  </autoFilter>
  <sortState xmlns:xlrd2="http://schemas.microsoft.com/office/spreadsheetml/2017/richdata2" ref="A2:O120">
    <sortCondition ref="A1:A120"/>
  </sortState>
  <tableColumns count="15">
    <tableColumn id="2" xr3:uid="{4F066CCB-3DFA-49EB-A808-4304F4C0911D}" name="No.PON"/>
    <tableColumn id="3" xr3:uid="{7F6F2798-04C9-45FF-8611-BE216E68EACC}" name="Vendor"/>
    <tableColumn id="4" xr3:uid="{843F3479-CD30-489A-A10A-3375FB28242C}" name="Type _x000a_Struktur">
      <calculatedColumnFormula>IFERROR(VLOOKUP(A2,'DATA MASTER'!A:O,2,0)," ")</calculatedColumnFormula>
    </tableColumn>
    <tableColumn id="5" xr3:uid="{A649ACBE-8D9B-4B48-8F2F-34F4D2C61B8E}" name="Marking_x000a_Struktur">
      <calculatedColumnFormula>IFERROR(VLOOKUP(A2,'DATA MASTER'!A:V,4,0)," ")</calculatedColumnFormula>
    </tableColumn>
    <tableColumn id="9" xr3:uid="{A21F02E0-EF12-4EF9-9E40-B98AB20FD602}" name="Berat Fabrikasi" totalsRowFunction="sum" dataDxfId="162" totalsRowDxfId="161" dataCellStyle="Comma [0]"/>
    <tableColumn id="10" xr3:uid="{C1B6C71C-3BC6-4FCB-8584-FE35638AF25A}" name="Date Release SD" dataDxfId="160" totalsRowDxfId="159"/>
    <tableColumn id="11" xr3:uid="{F9E9D947-CE0F-4297-BF4F-EC9DF880A501}" name="Date Start _x000a_PON" totalsRowDxfId="158"/>
    <tableColumn id="12" xr3:uid="{549EC289-2DDD-4951-A0B5-C6C47F800532}" name="Date Finish_x000a_ PON" totalsRowDxfId="157"/>
    <tableColumn id="1" xr3:uid="{C31CF658-7A68-408A-AC0A-1632171FB53A}" name="Qty" dataDxfId="156" totalsRowDxfId="155">
      <calculatedColumnFormula>SUMIF(DATA_MASTER[NO. PON],FABRIKASI[[#This Row],[No.PON]],DATA_MASTER[Qty
(Unit)])</calculatedColumnFormula>
    </tableColumn>
    <tableColumn id="8" xr3:uid="{666ED104-EA04-4E1E-B6C9-419F6C311FD4}" name="SUM_x000a_Total" totalsRowFunction="sum" dataDxfId="154" totalsRowDxfId="153">
      <calculatedColumnFormula>FABRIKASI[[#This Row],[Qty]]*FABRIKASI[[#This Row],[Berat Fabrikasi]]</calculatedColumnFormula>
    </tableColumn>
    <tableColumn id="13" xr3:uid="{1A3D58E7-252D-47CC-96C6-233DE96FA279}" name="Date Finish _x000a_Aktual"/>
    <tableColumn id="7" xr3:uid="{8CB0D5DC-02D2-4B83-B8F8-C9ACC8B3642D}" name="Progress_x000a_(%)"/>
    <tableColumn id="14" xr3:uid="{896404D9-B4AF-4EB6-ABC5-1B439272E6AC}" name="ISSUE"/>
    <tableColumn id="15" xr3:uid="{8A1C8406-64DF-44BC-BA78-DB4C5F87BD51}" name="STATUS"/>
    <tableColumn id="6" xr3:uid="{DE8FDC81-C025-41AB-9897-698BA7C9EAEF}" name="Keterangan" totalsRowDxfId="152"/>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6C0B51C9-B56B-4D5A-B91C-38395453FACC}" name="Table4" displayName="Table4" ref="A1:E8" totalsRowShown="0" headerRowDxfId="151" headerRowBorderDxfId="150" tableBorderDxfId="149">
  <autoFilter ref="A1:E8" xr:uid="{6C0B51C9-B56B-4D5A-B91C-38395453FACC}"/>
  <tableColumns count="5">
    <tableColumn id="2" xr3:uid="{7DE9F1FE-477A-45C9-825B-702673E48C2D}" name="No.PON"/>
    <tableColumn id="4" xr3:uid="{41A5E0DC-12B2-4FF8-AF20-1689336B2C29}" name="Type _x000a_Struktur">
      <calculatedColumnFormula>IFERROR(VLOOKUP(A2,'DATA MASTER'!A:O,2,0)," ")</calculatedColumnFormula>
    </tableColumn>
    <tableColumn id="5" xr3:uid="{67ADE543-3D9F-49DB-8F58-6C2FD95D2A0F}" name="Marking_x000a_Struktur">
      <calculatedColumnFormula>IFERROR(VLOOKUP(A2,'DATA MASTER'!A:V,4,0)," ")</calculatedColumnFormula>
    </tableColumn>
    <tableColumn id="7" xr3:uid="{FD69B51D-9BBF-43BF-8DDD-F54975FC7AA5}" name="Date Issue"/>
    <tableColumn id="11" xr3:uid="{1488FE3F-93A3-4FE2-A4B0-198FDFB929B8}" name="ISSUE"/>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3CDC0CA-C9B6-4679-8035-2C3F39ABC9D7}" name="AKSESORIS" displayName="AKSESORIS" ref="A1:P467" totalsRowCount="1" headerRowDxfId="148" headerRowBorderDxfId="147" tableBorderDxfId="146">
  <autoFilter ref="A1:P466" xr:uid="{13CDC0CA-C9B6-4679-8035-2C3F39ABC9D7}"/>
  <sortState xmlns:xlrd2="http://schemas.microsoft.com/office/spreadsheetml/2017/richdata2" ref="A157:P157">
    <sortCondition ref="A1:A435"/>
  </sortState>
  <tableColumns count="16">
    <tableColumn id="2" xr3:uid="{FB0B4947-5093-4F0B-968B-248ABB195163}" name="No.PON"/>
    <tableColumn id="3" xr3:uid="{C91AE23F-9061-4170-AECE-5CD758D2B718}" name="Type _x000a_Struktur">
      <calculatedColumnFormula>IFERROR(VLOOKUP(A2,'DATA MASTER'!A:O,2,0)," ")</calculatedColumnFormula>
    </tableColumn>
    <tableColumn id="4" xr3:uid="{A6CF8508-C13F-4DED-9866-AB3A4E1A7306}" name="Marking_x000a_Struktur" dataDxfId="145" totalsRowDxfId="144">
      <calculatedColumnFormula>IFERROR(VLOOKUP(A2,'DATA MASTER'!A:O,4,0)," ")</calculatedColumnFormula>
    </tableColumn>
    <tableColumn id="13" xr3:uid="{4165BE0A-7022-46F4-B244-EA0A13862C1A}" name="Vendor" dataDxfId="143" totalsRowDxfId="142"/>
    <tableColumn id="15" xr3:uid="{2F81889D-FCDF-491E-88DF-EC447B24C0DB}" name="No. PO" dataDxfId="141" totalsRowDxfId="140"/>
    <tableColumn id="5" xr3:uid="{4D8479F2-2A56-422C-B002-4CB213013DDC}" name="Purchase" dataDxfId="139" totalsRowDxfId="138"/>
    <tableColumn id="6" xr3:uid="{16244478-C899-4286-AB06-7F9803DE86DC}" name="Marking_x000a_Aksesories" dataDxfId="137" totalsRowDxfId="136"/>
    <tableColumn id="12" xr3:uid="{F2C29A59-A701-411B-8148-596AC728BBEC}" name="Dimensi/Ukuran" dataDxfId="135" totalsRowDxfId="134"/>
    <tableColumn id="11" xr3:uid="{9D6701A0-1363-4EDA-A201-F5FA1800FDE1}" name="Panjang" dataDxfId="133" totalsRowDxfId="132"/>
    <tableColumn id="17" xr3:uid="{C83154E1-D093-4D2B-9D5C-2A6D747300FA}" name="Total _x000a_(pcs)" dataDxfId="131" totalsRowDxfId="130" dataCellStyle="Comma [0]"/>
    <tableColumn id="8" xr3:uid="{330E8F3E-3879-462E-889C-63B18614D6F4}" name="Berat/pcs_x000a_(Kg)" dataDxfId="129" totalsRowDxfId="128" dataCellStyle="Comma [0]"/>
    <tableColumn id="9" xr3:uid="{45E0C529-D430-43F0-99B1-1897654A2205}" name="Total Berat_x000a_Aksesories_x000a_(Kg)" totalsRowFunction="sum" dataDxfId="127" totalsRowDxfId="126">
      <calculatedColumnFormula>AKSESORIS[[#This Row],[Total 
(pcs)]]*AKSESORIS[[#This Row],[Berat/pcs
(Kg)]]</calculatedColumnFormula>
    </tableColumn>
    <tableColumn id="7" xr3:uid="{6351F17B-4C99-4612-AC73-3BF5855BFA44}" name="UNIT" dataDxfId="125" totalsRowDxfId="124" dataCellStyle="Comma [0]">
      <calculatedColumnFormula>SUMIF(DATA_MASTER[NO. PON],AKSESORIS[[#This Row],[No.PON]],DATA_MASTER[Qty
(Unit)])</calculatedColumnFormula>
    </tableColumn>
    <tableColumn id="10" xr3:uid="{15DACF70-8A06-4A15-A6DF-4FB06BB8DF94}" name="TOTAL KESELURUHAN" dataDxfId="123" totalsRowDxfId="122" dataCellStyle="Comma [0]">
      <calculatedColumnFormula>AKSESORIS[[#This Row],[Total 
(pcs)]]*AKSESORIS[[#This Row],[UNIT]]</calculatedColumnFormula>
    </tableColumn>
    <tableColumn id="14" xr3:uid="{238F9D27-7A49-4ABD-A2BD-E735E06F65CB}" name="Keterangan" dataDxfId="121" totalsRowDxfId="120"/>
    <tableColumn id="1" xr3:uid="{F6562EEA-AD5A-40C8-B2D6-D44EF0BAA30A}" name="Qty" dataDxfId="119" totalsRowDxfId="118"/>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95079D1-81DB-4BB3-A6C0-F2DC74402123}" name="BNW" displayName="BNW" ref="A1:O791" totalsRowCount="1" headerRowDxfId="117" headerRowBorderDxfId="116" tableBorderDxfId="115">
  <autoFilter ref="A1:O790" xr:uid="{095079D1-81DB-4BB3-A6C0-F2DC74402123}"/>
  <sortState xmlns:xlrd2="http://schemas.microsoft.com/office/spreadsheetml/2017/richdata2" ref="A2:O679">
    <sortCondition ref="A1:A679"/>
  </sortState>
  <tableColumns count="15">
    <tableColumn id="2" xr3:uid="{32727B2B-E1EA-4CA8-ACB3-BA6485FA9335}" name="No.PON"/>
    <tableColumn id="3" xr3:uid="{494E0ACD-99AD-45EC-AF53-5BBFDBD4A12E}" name="Type _x000a_Struktur">
      <calculatedColumnFormula>IFERROR(VLOOKUP(A2,'DATA MASTER'!A:O,2,0)," ")</calculatedColumnFormula>
    </tableColumn>
    <tableColumn id="4" xr3:uid="{21812639-FBEF-406C-A454-7CBBBBC8C520}" name="Marking_x000a_Struktur">
      <calculatedColumnFormula>IFERROR(VLOOKUP(A2,'DATA MASTER'!A:O,4,0)," ")</calculatedColumnFormula>
    </tableColumn>
    <tableColumn id="5" xr3:uid="{8394F29C-56DB-4A3D-A0B3-AA8AB7CCB7E9}" name="Dimensi"/>
    <tableColumn id="6" xr3:uid="{6F80321E-90B1-4CC9-94B9-3CE6F9FF0E3D}" name="Spesifikasi"/>
    <tableColumn id="7" xr3:uid="{EE3F2057-1350-4FBD-87CD-3B6083F75C3C}" name="Grade" dataDxfId="114" totalsRowDxfId="113"/>
    <tableColumn id="8" xr3:uid="{03A00B8B-32A9-483D-A2E0-F91ABFFEB2B1}" name="Qty_x000a_(Set)" dataDxfId="112" totalsRowDxfId="111"/>
    <tableColumn id="9" xr3:uid="{E6923D8E-C6C4-4972-B2C6-C7FA61683174}" name="Berat Satuan_x000a_(Kg)"/>
    <tableColumn id="10" xr3:uid="{C4245262-CE37-434E-BE7E-2E1CB5597DDB}" name="Total Berat Baut_x000a_(Kg)" totalsRowFunction="sum" dataDxfId="110" totalsRowDxfId="109">
      <calculatedColumnFormula>BNW[[#This Row],[Berat Satuan
(Kg)]]*BNW[[#This Row],[Qty
(Set)]]</calculatedColumnFormula>
    </tableColumn>
    <tableColumn id="13" xr3:uid="{CFBA7648-1AD2-425C-BDAD-245A7ED3006C}" name="Vendor"/>
    <tableColumn id="1" xr3:uid="{47ED945B-C63B-4B2F-8C45-CD8A88F6F14F}" name="TOTAL UNIT" dataDxfId="108" totalsRowDxfId="107">
      <calculatedColumnFormula>SUMIF(DATA_MASTER[NO. PON],BNW[[#This Row],[No.PON]],DATA_MASTER[Qty
(Unit)])</calculatedColumnFormula>
    </tableColumn>
    <tableColumn id="15" xr3:uid="{12EC123F-7E2E-48D4-A387-E4C0D1898439}" name="Total Berat UNIT _x000a_(KG)" totalsRowFunction="sum" dataDxfId="106" totalsRowDxfId="105">
      <calculatedColumnFormula>BNW[[#This Row],[TOTAL UNIT]]*BNW[[#This Row],[Total Berat Baut
(Kg)]]</calculatedColumnFormula>
    </tableColumn>
    <tableColumn id="11" xr3:uid="{52C513A6-963E-4BC4-8C40-8205052E9EF6}" name="Date Release"/>
    <tableColumn id="14" xr3:uid="{65807B08-4A8E-4667-BF4F-4D3D0B3796FB}" name="Keterangan"/>
    <tableColumn id="12" xr3:uid="{CEA9F3F8-D9D9-4ABB-B853-F35AD0BC77C4}" name="Status" dataDxfId="104" totalsRowDxfId="103" dataCellStyle="Percent"/>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D1C1070-8987-4822-A518-672E700585F0}" name="Table32" displayName="Table32" ref="B6:P87" totalsRowCount="1" headerRowDxfId="102">
  <autoFilter ref="B6:P86" xr:uid="{72CF1C5F-E9AF-4128-8DE6-340EE0A6C108}"/>
  <sortState xmlns:xlrd2="http://schemas.microsoft.com/office/spreadsheetml/2017/richdata2" ref="B7:P60">
    <sortCondition ref="B6:B60"/>
  </sortState>
  <tableColumns count="15">
    <tableColumn id="2" xr3:uid="{C3139E39-540F-45E4-9C46-09CC23705B08}" name="No.PON" dataDxfId="101"/>
    <tableColumn id="4" xr3:uid="{254A95A8-1B33-46E5-8611-DB752591B989}" name="Type _x000a_Struktur" dataDxfId="100">
      <calculatedColumnFormula>IFERROR(VLOOKUP(B7,'DATA MASTER'!A:O,2,0)," ")</calculatedColumnFormula>
    </tableColumn>
    <tableColumn id="5" xr3:uid="{C4A189ED-DC91-49E8-BF37-8F4D0B550212}" name="Marking_x000a_Struktur" dataDxfId="99">
      <calculatedColumnFormula>IFERROR(VLOOKUP(B7,'DATA MASTER'!A:V,4,0)," ")</calculatedColumnFormula>
    </tableColumn>
    <tableColumn id="9" xr3:uid="{7F216125-1354-4758-8C29-684DA9CDEF20}" name="Berat Packing" totalsRowFunction="sum" dataDxfId="98" totalsRowDxfId="97" dataCellStyle="Comma [0]"/>
    <tableColumn id="11" xr3:uid="{51BABC9B-28FE-4D65-A160-695758B80BA2}" name="Harga Satuan_x000a_(Rp)" dataDxfId="96" totalsRowDxfId="95" dataCellStyle="Comma [0]"/>
    <tableColumn id="7" xr3:uid="{361F0648-C88B-4D5E-91AE-49F2E541FEB7}" name="Harga Satuan_x000a_(Rp) WGJ" dataDxfId="94" totalsRowDxfId="93" dataCellStyle="Currency [0]"/>
    <tableColumn id="14" xr3:uid="{62DC8E54-6A8F-4DC8-BA2A-9A8E4229A806}" name="Total Tagihan WGJ" totalsRowFunction="sum" dataDxfId="92" totalsRowDxfId="91" dataCellStyle="Currency [0]">
      <calculatedColumnFormula>Table32[[#This Row],[Harga Satuan
(Rp) WGJ]]*Table32[[#This Row],[Berat Packing]]</calculatedColumnFormula>
    </tableColumn>
    <tableColumn id="1" xr3:uid="{BCBF722E-60DF-453D-9624-FECD51F93162}" name="Total Tagihan_x000a_(Rp)" totalsRowFunction="sum" dataDxfId="90" totalsRowDxfId="89"/>
    <tableColumn id="3" xr3:uid="{3B2F120A-F544-46AC-B9EF-287CAA2FB25D}" name="Tanggal Penagihan ke P. AGUS" dataDxfId="88"/>
    <tableColumn id="15" xr3:uid="{3CDED9BA-6BAA-4F9F-B97D-0EEEC4C747E6}" name="STATUS" dataDxfId="87"/>
    <tableColumn id="8" xr3:uid="{30B3F90E-4CA4-4DB8-85E1-9F63AC2ED103}" name="KETERANGAN" dataDxfId="86" totalsRowDxfId="85"/>
    <tableColumn id="10" xr3:uid="{81748A73-2FA3-436F-AE07-BE62FA851526}" name="Tanggal Penagihan ke _x000a_WGJ" dataDxfId="84" totalsRowDxfId="83"/>
    <tableColumn id="12" xr3:uid="{E1550B46-93BD-41C2-ABE8-002FEBB4404A}" name="STATUS_x000a_PENAGIHAN" dataDxfId="82"/>
    <tableColumn id="13" xr3:uid="{6AABFA3E-D9EF-4851-BA98-557418F511F4}" name="Date Finish _x000a_Aktual"/>
    <tableColumn id="6" xr3:uid="{ED361EA6-14A7-4FA7-B031-C19017F02643}" name="Keterangan2"/>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4D7A4C63-0014-4FED-8306-A69DA4673440}" name="Table328" displayName="Table328" ref="C2:M52" totalsRowCount="1" headerRowDxfId="81">
  <autoFilter ref="C2:M51" xr:uid="{72CF1C5F-E9AF-4128-8DE6-340EE0A6C108}"/>
  <tableColumns count="11">
    <tableColumn id="2" xr3:uid="{E4E02FB5-1011-4DC4-9EB4-E92A013B59A2}" name="No.PON"/>
    <tableColumn id="4" xr3:uid="{A8471181-43F8-44E0-904F-AD0DE5BC3253}" name="Type _x000a_Struktur">
      <calculatedColumnFormula>IFERROR(VLOOKUP(C3,'DATA MASTER'!A:O,2,0)," ")</calculatedColumnFormula>
    </tableColumn>
    <tableColumn id="5" xr3:uid="{2AFE8BA4-1CF8-4C3C-AA10-6F091A7B7A9D}" name="Marking_x000a_Struktur">
      <calculatedColumnFormula>IFERROR(VLOOKUP(C3,'DATA MASTER'!A:V,4,0)," ")</calculatedColumnFormula>
    </tableColumn>
    <tableColumn id="9" xr3:uid="{B7769A5C-9502-42A0-A471-51F536071331}" name="Deskripsi Consumable" dataDxfId="80" dataCellStyle="Comma [0]"/>
    <tableColumn id="11" xr3:uid="{38903996-C69D-40B1-B63C-8B0FE4A458A7}" name="Harga Satuan_x000a_(Rp)" dataDxfId="79" totalsRowDxfId="78" dataCellStyle="Comma [0]"/>
    <tableColumn id="7" xr3:uid="{429CF79E-40A3-45CB-ADDA-EE7D5DC7E411}" name="Qty_x000a_(pcs)" dataDxfId="77" totalsRowDxfId="76" dataCellStyle="Currency [0]"/>
    <tableColumn id="1" xr3:uid="{0E39DA5C-410C-4479-B5A6-7E79465B4458}" name="Total Belanja" totalsRowFunction="sum" totalsRowDxfId="75"/>
    <tableColumn id="3" xr3:uid="{33781C3E-DEE4-4C9A-97F9-5F79051E84FE}" name="Tanggal _x000a_Pengajuan" dataDxfId="74" totalsRowDxfId="73" dataCellStyle="Currency [0]"/>
    <tableColumn id="8" xr3:uid="{90F0D87D-550A-4F3E-A4CC-6D7DB5617554}" name="KETERANGAN" dataDxfId="72" totalsRowDxfId="71"/>
    <tableColumn id="13" xr3:uid="{7E28B7F8-5BF8-42E8-9B37-5EA9F8169942}" name="Date Finish _x000a_Aktual"/>
    <tableColumn id="6" xr3:uid="{DCC24380-26B2-4FA8-9D48-AB39ED480E0C}" name="Keterangan2"/>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BBDE61BE-DCB4-416A-93CC-E147BE01DA65}" name="Table10" displayName="Table10" ref="C6:P26" insertRowShift="1" totalsRowCount="1" headerRowDxfId="70" dataDxfId="68" headerRowBorderDxfId="69" tableBorderDxfId="67">
  <autoFilter ref="C6:P25" xr:uid="{BBDE61BE-DCB4-416A-93CC-E147BE01DA65}"/>
  <tableColumns count="14">
    <tableColumn id="1" xr3:uid="{67738416-28EF-439E-928C-C0FE34F05C28}" name="No." dataDxfId="66" totalsRowDxfId="65"/>
    <tableColumn id="3" xr3:uid="{0A645BA9-0A18-488F-B701-ACA04AC11F6E}" name="Type" dataDxfId="64" totalsRowDxfId="63"/>
    <tableColumn id="4" xr3:uid="{886092A6-BD62-486F-8E79-404C6CE7B791}" name="Harga ke Tim Trial_x000a_(Rp)" dataDxfId="62" totalsRowDxfId="61" dataCellStyle="Currency [0]"/>
    <tableColumn id="12" xr3:uid="{C72238DC-0F1F-4038-9766-E1A8944BB354}" name="Harga ke DHJ" dataDxfId="60" totalsRowDxfId="59" dataCellStyle="Currency [0]"/>
    <tableColumn id="5" xr3:uid="{FB0BE4F6-0909-44D4-9790-075B1271C9BD}" name="Berat_x000a_(Kg)" totalsRowFunction="sum" dataDxfId="58" totalsRowDxfId="57" dataCellStyle="Comma [0]"/>
    <tableColumn id="6" xr3:uid="{25C54502-DB1C-44EA-A3B2-21029E147866}" name="Total Harga_x000a_(Rp)" dataDxfId="56" totalsRowDxfId="55" dataCellStyle="Currency [0]">
      <calculatedColumnFormula>Table10[[#This Row],[Berat
(Kg)]]*Table10[[#This Row],[Harga ke Tim Trial
(Rp)]]</calculatedColumnFormula>
    </tableColumn>
    <tableColumn id="13" xr3:uid="{DFEBCD41-8621-47EC-99AA-01F6F58786D1}" name="Total Harga DHJ_x000a_(Rp)" dataDxfId="54" totalsRowDxfId="53" dataCellStyle="Currency [0]">
      <calculatedColumnFormula>Table10[[#This Row],[Harga ke DHJ]]*Table10[[#This Row],[Berat
(Kg)]]</calculatedColumnFormula>
    </tableColumn>
    <tableColumn id="7" xr3:uid="{8B126B28-1843-4B3C-82BD-08BEF66DC0D3}" name="No.PON" dataDxfId="52" totalsRowDxfId="51"/>
    <tableColumn id="9" xr3:uid="{3C917BB2-C795-48A8-A8F9-6EF587160FCD}" name="Tanggal Pencairan" dataDxfId="50" totalsRowDxfId="49"/>
    <tableColumn id="10" xr3:uid="{2B48EA6A-59E6-4765-B796-7C8B118038E4}" name="Tanggal Pengiriman _x000a_Data ke Soleh" dataDxfId="48" totalsRowDxfId="47"/>
    <tableColumn id="2" xr3:uid="{6F1B6C59-0754-4810-A214-1AF7D7F4CB92}" name="Tanggal Pengiriman _x000a_Invoice" dataDxfId="46" totalsRowDxfId="45"/>
    <tableColumn id="8" xr3:uid="{1C7ACE76-9E6D-46AD-B53F-959C73E7606A}" name="No. Invoice" dataDxfId="44" totalsRowDxfId="43"/>
    <tableColumn id="14" xr3:uid="{AF2F80F9-E500-4054-BAD5-097EB987F9E6}" name="Status Ke DHJ" dataDxfId="42" totalsRowDxfId="41"/>
    <tableColumn id="11" xr3:uid="{37B9552F-6248-42AA-A10F-F1715DA55AFB}" name="Status_x000a_Ke Tim Trial" dataDxfId="40" totalsRowDxfId="39"/>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9D3D5C5F-C0F0-42CF-BB6A-4B5B7A3686A8}" name="Table8" displayName="Table8" ref="A1:E76" totalsRowShown="0" headerRowDxfId="38">
  <autoFilter ref="A1:E76" xr:uid="{9D3D5C5F-C0F0-42CF-BB6A-4B5B7A3686A8}"/>
  <tableColumns count="5">
    <tableColumn id="1" xr3:uid="{CE8AE802-86BB-4E59-A47E-6A96501ACC27}" name="Year" dataDxfId="37"/>
    <tableColumn id="2" xr3:uid="{32A0BB61-3B11-475E-89DB-BB611B276B71}" name="Category" dataDxfId="36"/>
    <tableColumn id="3" xr3:uid="{33BDB8A7-2D5D-4E5A-B74E-21592A035A83}" name="Product" dataDxfId="35"/>
    <tableColumn id="4" xr3:uid="{A635EA62-7ADF-473A-A822-53F7275D6D23}" name="Sales" dataDxfId="34"/>
    <tableColumn id="5" xr3:uid="{74E33A9B-BB29-4B17-ABC2-3583C66B3796}" name="Rating" dataDxfId="33"/>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ebextensions/_rels/taskpanes.xml.rels><?xml version="1.0" encoding="UTF-8" standalone="yes"?>
<Relationships xmlns="http://schemas.openxmlformats.org/package/2006/relationships"><Relationship Id="rId3" Type="http://schemas.microsoft.com/office/2011/relationships/webextension" Target="webextension3.xml"/><Relationship Id="rId2" Type="http://schemas.microsoft.com/office/2011/relationships/webextension" Target="webextension2.xml"/><Relationship Id="rId1" Type="http://schemas.microsoft.com/office/2011/relationships/webextension" Target="webextension1.xml"/><Relationship Id="rId4" Type="http://schemas.microsoft.com/office/2011/relationships/webextension" Target="webextension4.xml"/></Relationships>
</file>

<file path=xl/webextensions/taskpanes.xml><?xml version="1.0" encoding="utf-8"?>
<wetp:taskpanes xmlns:wetp="http://schemas.microsoft.com/office/webextensions/taskpanes/2010/11">
  <wetp:taskpane dockstate="right" visibility="0" width="438" row="9">
    <wetp:webextensionref xmlns:r="http://schemas.openxmlformats.org/officeDocument/2006/relationships" r:id="rId1"/>
  </wetp:taskpane>
  <wetp:taskpane dockstate="right" visibility="0" width="438" row="10">
    <wetp:webextensionref xmlns:r="http://schemas.openxmlformats.org/officeDocument/2006/relationships" r:id="rId2"/>
  </wetp:taskpane>
  <wetp:taskpane dockstate="right" visibility="0" width="438" row="10">
    <wetp:webextensionref xmlns:r="http://schemas.openxmlformats.org/officeDocument/2006/relationships" r:id="rId3"/>
  </wetp:taskpane>
  <wetp:taskpane dockstate="right" visibility="0" width="438" row="9">
    <wetp:webextensionref xmlns:r="http://schemas.openxmlformats.org/officeDocument/2006/relationships" r:id="rId4"/>
  </wetp:taskpane>
</wetp:taskpanes>
</file>

<file path=xl/webextensions/webextension1.xml><?xml version="1.0" encoding="utf-8"?>
<we:webextension xmlns:we="http://schemas.microsoft.com/office/webextensions/webextension/2010/11" id="{2989204A-5386-4690-84EB-93D27A0C7DAA}">
  <we:reference id="wa104381181" version="2.0.0.2" store="en-US" storeType="OMEX"/>
  <we:alternateReferences>
    <we:reference id="wa104381181" version="2.0.0.2" store="WA104381181" storeType="OMEX"/>
  </we:alternateReferences>
  <we:properties>
    <we:property name="41_1lines" value="&quot;7fe14d1a-eb2e6ca7-5c8e920f&quot;"/>
    <we:property name="abcAnalysisclassificationData" value="&quot;7a42a87d-939fa825-855440a0&quot;"/>
    <we:property name="abcAnalysis2dClassificationData" value="&quot;1e7905bf-b71318e8-8906cfed&quot;"/>
    <we:property name="abcAnalysisclassificationResult" value="&quot;0d2a89ea-ecd23a02-e82c3f14&quot;"/>
    <we:property name="abcAnalysisclassificationStatistics" value="&quot;595ec0d6-d1d28e09-7d40e0ff&quot;"/>
    <we:property name="abcAnalysisparameters" value="&quot;205d03bc-f94d307b-a2d437ab&quot;"/>
  </we:properties>
  <we:bindings>
    <we:binding id="7fe14d1a-eb2e6ca7-5c8e920f" type="matrix" appref="{D260D8E3-ACB9-4C7F-941E-8B99430F1EE5}"/>
    <we:binding id="1e7905bf-b71318e8-8906cfed" type="matrix" appref="{1B8D4CB7-37D3-4E16-9C5D-B293E8621B28}"/>
    <we:binding id="7a42a87d-939fa825-855440a0" type="matrix" appref="{194238F7-A1E7-4CC1-802B-0D9DEDC03D17}"/>
    <we:binding id="0d2a89ea-ecd23a02-e82c3f14" type="table" appref="{9652F32F-CF5E-4181-B8AC-C90B94FA8CAF}"/>
    <we:binding id="595ec0d6-d1d28e09-7d40e0ff" type="table" appref="{93519E26-5BCA-45B3-A1AE-1C22C4A1CE65}"/>
    <we:binding id="205d03bc-f94d307b-a2d437ab" type="table" appref="{4DA769D2-5E31-46B6-B582-086241992C47}"/>
  </we:bindings>
  <we:snapshot xmlns:r="http://schemas.openxmlformats.org/officeDocument/2006/relationships"/>
</we:webextension>
</file>

<file path=xl/webextensions/webextension2.xml><?xml version="1.0" encoding="utf-8"?>
<we:webextension xmlns:we="http://schemas.microsoft.com/office/webextensions/webextension/2010/11" id="{4F9AD220-B062-4A55-9F7F-317A4273DB4B}">
  <we:reference id="wa200004935" version="5.0.0.0" store="en-US" storeType="OMEX"/>
  <we:alternateReferences>
    <we:reference id="wa200004935" version="5.0.0.0" store="WA200004935" storeType="OMEX"/>
  </we:alternateReferences>
  <we:properties/>
  <we:bindings/>
  <we:snapshot xmlns:r="http://schemas.openxmlformats.org/officeDocument/2006/relationships"/>
  <we:extLst>
    <a:ext xmlns:a="http://schemas.openxmlformats.org/drawingml/2006/main" uri="{D87F86FE-615C-45B5-9D79-34F1136793EB}">
      <we:containsCustomFunctions/>
    </a:ext>
    <a:ext xmlns:a="http://schemas.openxmlformats.org/drawingml/2006/main" uri="{7C84B067-C214-45C3-A712-C9D94CD141B2}">
      <we:customFunctionIdList>
        <we:customFunctionIds>_xldudf_FORMULABOT_CLASSIFY</we:customFunctionIds>
        <we:customFunctionIds>_xldudf_FORMULABOT_EXTRACT</we:customFunctionIds>
        <we:customFunctionIds>_xldudf_FORMULABOT_SENTIMENT</we:customFunctionIds>
        <we:customFunctionIds>_xldudf_FORMULABOT_INFO</we:customFunctionIds>
        <we:customFunctionIds>_xldudf_FORMULABOT_FREEFORM</we:customFunctionIds>
        <we:customFunctionIds>_xldudf_FORMULABOT_INFER</we:customFunctionIds>
      </we:customFunctionIdList>
    </a:ext>
  </we:extLst>
</we:webextension>
</file>

<file path=xl/webextensions/webextension3.xml><?xml version="1.0" encoding="utf-8"?>
<we:webextension xmlns:we="http://schemas.microsoft.com/office/webextensions/webextension/2010/11" id="{41A40AA7-4629-40E6-871C-893F1C2846E9}">
  <we:reference id="wa200005271" version="1.1.0.0" store="en-US" storeType="OMEX"/>
  <we:alternateReferences>
    <we:reference id="WA200005271" version="1.1.0.0" store="WA200005271" storeType="OMEX"/>
  </we:alternateReferences>
  <we:properties/>
  <we:bindings/>
  <we:snapshot xmlns:r="http://schemas.openxmlformats.org/officeDocument/2006/relationships"/>
  <we:extLst>
    <a:ext xmlns:a="http://schemas.openxmlformats.org/drawingml/2006/main" uri="{D87F86FE-615C-45B5-9D79-34F1136793EB}">
      <we:containsCustomFunctions/>
    </a:ext>
    <a:ext xmlns:a="http://schemas.openxmlformats.org/drawingml/2006/main" uri="{7C84B067-C214-45C3-A712-C9D94CD141B2}">
      <we:customFunctionIdList>
        <we:customFunctionIds>_xldudf_AI_FILL</we:customFunctionIds>
        <we:customFunctionIds>_xldudf_AI_LIST</we:customFunctionIds>
        <we:customFunctionIds>_xldudf_AI_ASK</we:customFunctionIds>
        <we:customFunctionIds>_xldudf_AI_FORMAT</we:customFunctionIds>
        <we:customFunctionIds>_xldudf_AI_EXTRACT</we:customFunctionIds>
        <we:customFunctionIds>_xldudf_AI_TRANSLATE</we:customFunctionIds>
      </we:customFunctionIdList>
    </a:ext>
  </we:extLst>
</we:webextension>
</file>

<file path=xl/webextensions/webextension4.xml><?xml version="1.0" encoding="utf-8"?>
<we:webextension xmlns:we="http://schemas.microsoft.com/office/webextensions/webextension/2010/11" id="{1FD3F967-DA9B-40A8-8BF7-CC3FE2830108}">
  <we:reference id="wa200001627" version="1.0.0.4" store="en-US" storeType="OMEX"/>
  <we:alternateReferences>
    <we:reference id="wa200001627" version="1.0.0.4" store="WA200001627" storeType="OMEX"/>
  </we:alternateReferences>
  <we:properties/>
  <we:bindings/>
  <we:snapshot xmlns:r="http://schemas.openxmlformats.org/officeDocument/2006/relationships"/>
</we:webextension>
</file>

<file path=xl/worksheets/_rels/sheet10.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1" Type="http://schemas.openxmlformats.org/officeDocument/2006/relationships/table" Target="../tables/table9.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4.xml"/><Relationship Id="rId2" Type="http://schemas.openxmlformats.org/officeDocument/2006/relationships/pivotTable" Target="../pivotTables/pivotTable3.xml"/><Relationship Id="rId1" Type="http://schemas.openxmlformats.org/officeDocument/2006/relationships/pivotTable" Target="../pivotTables/pivotTable2.xml"/><Relationship Id="rId5" Type="http://schemas.openxmlformats.org/officeDocument/2006/relationships/pivotTable" Target="../pivotTables/pivotTable6.xml"/><Relationship Id="rId4" Type="http://schemas.openxmlformats.org/officeDocument/2006/relationships/pivotTable" Target="../pivotTables/pivotTable5.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09B462-BC43-4900-8E5E-72EB72B8A3AE}">
  <sheetPr codeName="Sheet1"/>
  <dimension ref="A1:I1"/>
  <sheetViews>
    <sheetView workbookViewId="0">
      <selection activeCell="H7" sqref="H7"/>
    </sheetView>
  </sheetViews>
  <sheetFormatPr defaultRowHeight="14.4" x14ac:dyDescent="0.3"/>
  <sheetData>
    <row r="1" spans="1:9" ht="15" thickBot="1" x14ac:dyDescent="0.35">
      <c r="A1" s="26" t="s">
        <v>0</v>
      </c>
      <c r="B1" s="26" t="s">
        <v>9</v>
      </c>
      <c r="C1" s="26" t="s">
        <v>9</v>
      </c>
      <c r="D1" s="26" t="s">
        <v>9</v>
      </c>
      <c r="E1" s="26" t="s">
        <v>9</v>
      </c>
      <c r="F1" s="26" t="s">
        <v>9</v>
      </c>
      <c r="G1" s="26" t="s">
        <v>9</v>
      </c>
      <c r="H1" s="26" t="s">
        <v>9</v>
      </c>
      <c r="I1" s="26" t="s">
        <v>9</v>
      </c>
    </row>
  </sheetData>
  <pageMargins left="0.7" right="0.7" top="0.75" bottom="0.75" header="0.3" footer="0.3"/>
  <extLst>
    <ext xmlns:x15="http://schemas.microsoft.com/office/spreadsheetml/2010/11/main" uri="{F7C9EE02-42E1-4005-9D12-6889AFFD525C}">
      <x15:webExtensions xmlns:xm="http://schemas.microsoft.com/office/excel/2006/main">
        <x15:webExtension appRef="{1B8D4CB7-37D3-4E16-9C5D-B293E8621B28}">
          <xm:f>#REF!</xm:f>
        </x15:webExtension>
        <x15:webExtension appRef="{194238F7-A1E7-4CC1-802B-0D9DEDC03D17}">
          <xm:f>#REF!</xm:f>
        </x15:webExtension>
        <x15:webExtension appRef="{9652F32F-CF5E-4181-B8AC-C90B94FA8CAF}">
          <xm:f>#REF!</xm:f>
        </x15:webExtension>
        <x15:webExtension appRef="{93519E26-5BCA-45B3-A1AE-1C22C4A1CE65}">
          <xm:f>#REF!</xm:f>
        </x15:webExtension>
        <x15:webExtension appRef="{4DA769D2-5E31-46B6-B582-086241992C47}">
          <xm:f>#REF!</xm:f>
        </x15:webExtension>
      </x15:webExtens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2D728B-8252-4C31-8DE7-75A287B31D19}">
  <sheetPr codeName="Sheet9"/>
  <dimension ref="A1:O791"/>
  <sheetViews>
    <sheetView topLeftCell="D775" zoomScale="85" zoomScaleNormal="85" workbookViewId="0">
      <selection activeCell="L790" sqref="L790"/>
    </sheetView>
  </sheetViews>
  <sheetFormatPr defaultRowHeight="14.4" x14ac:dyDescent="0.3"/>
  <cols>
    <col min="1" max="1" width="9.6640625" customWidth="1"/>
    <col min="2" max="2" width="20.44140625" bestFit="1" customWidth="1"/>
    <col min="3" max="3" width="20.6640625" bestFit="1" customWidth="1"/>
    <col min="4" max="4" width="12.109375" bestFit="1" customWidth="1"/>
    <col min="5" max="5" width="24.88671875" bestFit="1" customWidth="1"/>
    <col min="6" max="7" width="8.88671875" style="1"/>
    <col min="9" max="9" width="14" customWidth="1"/>
    <col min="11" max="11" width="13.5546875" style="1" customWidth="1"/>
    <col min="12" max="12" width="13.5546875" customWidth="1"/>
    <col min="13" max="13" width="25.44140625" bestFit="1" customWidth="1"/>
    <col min="14" max="14" width="16.109375" style="1" customWidth="1"/>
  </cols>
  <sheetData>
    <row r="1" spans="1:15" ht="43.2" x14ac:dyDescent="0.3">
      <c r="A1" s="12" t="s">
        <v>27</v>
      </c>
      <c r="B1" s="13" t="s">
        <v>11</v>
      </c>
      <c r="C1" s="13" t="s">
        <v>12</v>
      </c>
      <c r="D1" s="12" t="s">
        <v>71</v>
      </c>
      <c r="E1" s="12" t="s">
        <v>74</v>
      </c>
      <c r="F1" s="13" t="s">
        <v>72</v>
      </c>
      <c r="G1" s="13" t="s">
        <v>73</v>
      </c>
      <c r="H1" s="15" t="s">
        <v>75</v>
      </c>
      <c r="I1" s="13" t="s">
        <v>292</v>
      </c>
      <c r="J1" s="13" t="s">
        <v>29</v>
      </c>
      <c r="K1" s="13" t="s">
        <v>879</v>
      </c>
      <c r="L1" s="13" t="s">
        <v>932</v>
      </c>
      <c r="M1" s="13" t="s">
        <v>76</v>
      </c>
      <c r="N1" s="13" t="s">
        <v>98</v>
      </c>
      <c r="O1" s="14" t="s">
        <v>26</v>
      </c>
    </row>
    <row r="2" spans="1:15" x14ac:dyDescent="0.3">
      <c r="A2" t="s">
        <v>300</v>
      </c>
      <c r="B2" t="str">
        <f>IFERROR(VLOOKUP(A2,'DATA MASTER'!A:O,2,0)," ")</f>
        <v>PIPE RACK</v>
      </c>
      <c r="C2" t="str">
        <f>IFERROR(VLOOKUP(A2,'DATA MASTER'!A:O,4,0)," ")</f>
        <v>PIPE RACK</v>
      </c>
      <c r="D2" t="s">
        <v>202</v>
      </c>
      <c r="E2" t="s">
        <v>106</v>
      </c>
      <c r="F2" s="1">
        <v>8.8000000000000007</v>
      </c>
      <c r="G2" s="1">
        <v>215</v>
      </c>
      <c r="H2">
        <v>0.27400000000000002</v>
      </c>
      <c r="I2" s="16">
        <f>BNW[[#This Row],[Berat Satuan
(Kg)]]*BNW[[#This Row],[Qty
(Set)]]</f>
        <v>58.910000000000004</v>
      </c>
      <c r="K2" s="1">
        <f>SUMIF(DATA_MASTER[NO. PON],BNW[[#This Row],[No.PON]],DATA_MASTER[Qty
(Unit)])</f>
        <v>1</v>
      </c>
      <c r="L2" s="16">
        <f>BNW[[#This Row],[TOTAL UNIT]]*BNW[[#This Row],[Total Berat Baut
(Kg)]]</f>
        <v>58.910000000000004</v>
      </c>
      <c r="N2"/>
      <c r="O2" s="25"/>
    </row>
    <row r="3" spans="1:15" x14ac:dyDescent="0.3">
      <c r="A3" t="s">
        <v>300</v>
      </c>
      <c r="B3" t="str">
        <f>IFERROR(VLOOKUP(A3,'DATA MASTER'!A:O,2,0)," ")</f>
        <v>PIPE RACK</v>
      </c>
      <c r="C3" t="str">
        <f>IFERROR(VLOOKUP(A3,'DATA MASTER'!A:O,4,0)," ")</f>
        <v>PIPE RACK</v>
      </c>
      <c r="D3" t="s">
        <v>87</v>
      </c>
      <c r="E3" t="s">
        <v>106</v>
      </c>
      <c r="F3" s="1">
        <v>8.8000000000000007</v>
      </c>
      <c r="G3" s="1">
        <v>196</v>
      </c>
      <c r="H3">
        <v>0.254</v>
      </c>
      <c r="I3" s="16">
        <f>BNW[[#This Row],[Berat Satuan
(Kg)]]*BNW[[#This Row],[Qty
(Set)]]</f>
        <v>49.783999999999999</v>
      </c>
      <c r="K3" s="1">
        <f>SUMIF(DATA_MASTER[NO. PON],BNW[[#This Row],[No.PON]],DATA_MASTER[Qty
(Unit)])</f>
        <v>1</v>
      </c>
      <c r="L3" s="16">
        <f>BNW[[#This Row],[TOTAL UNIT]]*BNW[[#This Row],[Total Berat Baut
(Kg)]]</f>
        <v>49.783999999999999</v>
      </c>
      <c r="N3"/>
      <c r="O3" s="25"/>
    </row>
    <row r="4" spans="1:15" x14ac:dyDescent="0.3">
      <c r="A4" t="s">
        <v>300</v>
      </c>
      <c r="B4" t="str">
        <f>IFERROR(VLOOKUP(A4,'DATA MASTER'!A:O,2,0)," ")</f>
        <v>PIPE RACK</v>
      </c>
      <c r="C4" t="str">
        <f>IFERROR(VLOOKUP(A4,'DATA MASTER'!A:O,4,0)," ")</f>
        <v>PIPE RACK</v>
      </c>
      <c r="D4" t="s">
        <v>88</v>
      </c>
      <c r="E4" t="s">
        <v>106</v>
      </c>
      <c r="F4" s="1">
        <v>8.8000000000000007</v>
      </c>
      <c r="G4" s="1">
        <v>546</v>
      </c>
      <c r="H4">
        <v>0.24400000000000002</v>
      </c>
      <c r="I4" s="16">
        <f>BNW[[#This Row],[Berat Satuan
(Kg)]]*BNW[[#This Row],[Qty
(Set)]]</f>
        <v>133.22400000000002</v>
      </c>
      <c r="K4" s="1">
        <f>SUMIF(DATA_MASTER[NO. PON],BNW[[#This Row],[No.PON]],DATA_MASTER[Qty
(Unit)])</f>
        <v>1</v>
      </c>
      <c r="L4" s="16">
        <f>BNW[[#This Row],[TOTAL UNIT]]*BNW[[#This Row],[Total Berat Baut
(Kg)]]</f>
        <v>133.22400000000002</v>
      </c>
      <c r="N4"/>
      <c r="O4" s="43"/>
    </row>
    <row r="5" spans="1:15" x14ac:dyDescent="0.3">
      <c r="A5" t="s">
        <v>300</v>
      </c>
      <c r="B5" t="str">
        <f>IFERROR(VLOOKUP(A5,'DATA MASTER'!A:O,2,0)," ")</f>
        <v>PIPE RACK</v>
      </c>
      <c r="C5" t="str">
        <f>IFERROR(VLOOKUP(A5,'DATA MASTER'!A:O,4,0)," ")</f>
        <v>PIPE RACK</v>
      </c>
      <c r="D5" t="s">
        <v>203</v>
      </c>
      <c r="E5" t="s">
        <v>106</v>
      </c>
      <c r="F5" s="1">
        <v>8.8000000000000007</v>
      </c>
      <c r="G5" s="1">
        <v>7</v>
      </c>
      <c r="H5">
        <v>0.23400000000000001</v>
      </c>
      <c r="I5" s="16">
        <f>BNW[[#This Row],[Berat Satuan
(Kg)]]*BNW[[#This Row],[Qty
(Set)]]</f>
        <v>1.6380000000000001</v>
      </c>
      <c r="K5" s="1">
        <f>SUMIF(DATA_MASTER[NO. PON],BNW[[#This Row],[No.PON]],DATA_MASTER[Qty
(Unit)])</f>
        <v>1</v>
      </c>
      <c r="L5" s="16">
        <f>BNW[[#This Row],[TOTAL UNIT]]*BNW[[#This Row],[Total Berat Baut
(Kg)]]</f>
        <v>1.6380000000000001</v>
      </c>
      <c r="N5"/>
      <c r="O5" s="43"/>
    </row>
    <row r="6" spans="1:15" x14ac:dyDescent="0.3">
      <c r="A6" t="s">
        <v>67</v>
      </c>
      <c r="B6" t="str">
        <f>IFERROR(VLOOKUP(A6,'DATA MASTER'!A:O,2,0)," ")</f>
        <v>Jembatan Gantung</v>
      </c>
      <c r="C6" t="str">
        <f>IFERROR(VLOOKUP(A6,'DATA MASTER'!A:O,4,0)," ")</f>
        <v>JG105 - PIPA</v>
      </c>
      <c r="D6" t="s">
        <v>160</v>
      </c>
      <c r="E6" t="s">
        <v>106</v>
      </c>
      <c r="F6" s="1">
        <v>8.8000000000000007</v>
      </c>
      <c r="G6" s="1">
        <v>17</v>
      </c>
      <c r="H6">
        <v>0.59199999999999997</v>
      </c>
      <c r="I6" s="16">
        <f>BNW[[#This Row],[Berat Satuan
(Kg)]]*BNW[[#This Row],[Qty
(Set)]]</f>
        <v>10.064</v>
      </c>
      <c r="K6" s="1">
        <f>SUMIF(DATA_MASTER[NO. PON],BNW[[#This Row],[No.PON]],DATA_MASTER[Qty
(Unit)])</f>
        <v>1</v>
      </c>
      <c r="L6" s="16">
        <f>BNW[[#This Row],[TOTAL UNIT]]*BNW[[#This Row],[Total Berat Baut
(Kg)]]</f>
        <v>10.064</v>
      </c>
      <c r="M6" s="9">
        <v>44967</v>
      </c>
      <c r="N6"/>
      <c r="O6" s="25"/>
    </row>
    <row r="7" spans="1:15" x14ac:dyDescent="0.3">
      <c r="A7" t="s">
        <v>67</v>
      </c>
      <c r="B7" t="str">
        <f>IFERROR(VLOOKUP(A7,'DATA MASTER'!A:O,2,0)," ")</f>
        <v>Jembatan Gantung</v>
      </c>
      <c r="C7" t="str">
        <f>IFERROR(VLOOKUP(A7,'DATA MASTER'!A:O,4,0)," ")</f>
        <v>JG105 - PIPA</v>
      </c>
      <c r="D7" t="s">
        <v>199</v>
      </c>
      <c r="E7" t="s">
        <v>106</v>
      </c>
      <c r="F7" s="1">
        <v>8.8000000000000007</v>
      </c>
      <c r="G7" s="1">
        <v>5</v>
      </c>
      <c r="H7">
        <v>0.55200000000000005</v>
      </c>
      <c r="I7" s="16">
        <f>BNW[[#This Row],[Berat Satuan
(Kg)]]*BNW[[#This Row],[Qty
(Set)]]</f>
        <v>2.7600000000000002</v>
      </c>
      <c r="K7" s="1">
        <f>SUMIF(DATA_MASTER[NO. PON],BNW[[#This Row],[No.PON]],DATA_MASTER[Qty
(Unit)])</f>
        <v>1</v>
      </c>
      <c r="L7" s="16">
        <f>BNW[[#This Row],[TOTAL UNIT]]*BNW[[#This Row],[Total Berat Baut
(Kg)]]</f>
        <v>2.7600000000000002</v>
      </c>
      <c r="M7" s="9">
        <v>44967</v>
      </c>
      <c r="N7"/>
      <c r="O7" s="25"/>
    </row>
    <row r="8" spans="1:15" x14ac:dyDescent="0.3">
      <c r="A8" t="s">
        <v>67</v>
      </c>
      <c r="B8" t="str">
        <f>IFERROR(VLOOKUP(A8,'DATA MASTER'!A:O,2,0)," ")</f>
        <v>Jembatan Gantung</v>
      </c>
      <c r="C8" t="str">
        <f>IFERROR(VLOOKUP(A8,'DATA MASTER'!A:O,4,0)," ")</f>
        <v>JG105 - PIPA</v>
      </c>
      <c r="D8" t="s">
        <v>80</v>
      </c>
      <c r="E8" t="s">
        <v>106</v>
      </c>
      <c r="F8" s="1">
        <v>8.8000000000000007</v>
      </c>
      <c r="G8" s="1">
        <v>248</v>
      </c>
      <c r="H8">
        <v>0.27400000000000002</v>
      </c>
      <c r="I8" s="16">
        <f>BNW[[#This Row],[Berat Satuan
(Kg)]]*BNW[[#This Row],[Qty
(Set)]]</f>
        <v>67.951999999999998</v>
      </c>
      <c r="K8" s="1">
        <f>SUMIF(DATA_MASTER[NO. PON],BNW[[#This Row],[No.PON]],DATA_MASTER[Qty
(Unit)])</f>
        <v>1</v>
      </c>
      <c r="L8" s="16">
        <f>BNW[[#This Row],[TOTAL UNIT]]*BNW[[#This Row],[Total Berat Baut
(Kg)]]</f>
        <v>67.951999999999998</v>
      </c>
      <c r="M8" s="9">
        <v>44967</v>
      </c>
      <c r="N8"/>
      <c r="O8" s="25"/>
    </row>
    <row r="9" spans="1:15" x14ac:dyDescent="0.3">
      <c r="A9" t="s">
        <v>67</v>
      </c>
      <c r="B9" t="str">
        <f>IFERROR(VLOOKUP(A9,'DATA MASTER'!A:O,2,0)," ")</f>
        <v>Jembatan Gantung</v>
      </c>
      <c r="C9" t="str">
        <f>IFERROR(VLOOKUP(A9,'DATA MASTER'!A:O,4,0)," ")</f>
        <v>JG105 - PIPA</v>
      </c>
      <c r="D9" t="s">
        <v>81</v>
      </c>
      <c r="E9" t="s">
        <v>106</v>
      </c>
      <c r="F9" s="1">
        <v>8.8000000000000007</v>
      </c>
      <c r="G9" s="1">
        <v>264</v>
      </c>
      <c r="H9">
        <v>0.26400000000000001</v>
      </c>
      <c r="I9" s="16">
        <f>BNW[[#This Row],[Berat Satuan
(Kg)]]*BNW[[#This Row],[Qty
(Set)]]</f>
        <v>69.695999999999998</v>
      </c>
      <c r="K9" s="1">
        <f>SUMIF(DATA_MASTER[NO. PON],BNW[[#This Row],[No.PON]],DATA_MASTER[Qty
(Unit)])</f>
        <v>1</v>
      </c>
      <c r="L9" s="16">
        <f>BNW[[#This Row],[TOTAL UNIT]]*BNW[[#This Row],[Total Berat Baut
(Kg)]]</f>
        <v>69.695999999999998</v>
      </c>
      <c r="M9" s="9">
        <v>44967</v>
      </c>
      <c r="N9"/>
      <c r="O9" s="25"/>
    </row>
    <row r="10" spans="1:15" x14ac:dyDescent="0.3">
      <c r="A10" t="s">
        <v>67</v>
      </c>
      <c r="B10" t="str">
        <f>IFERROR(VLOOKUP(A10,'DATA MASTER'!A:O,2,0)," ")</f>
        <v>Jembatan Gantung</v>
      </c>
      <c r="C10" t="str">
        <f>IFERROR(VLOOKUP(A10,'DATA MASTER'!A:O,4,0)," ")</f>
        <v>JG105 - PIPA</v>
      </c>
      <c r="D10" t="s">
        <v>82</v>
      </c>
      <c r="E10" t="s">
        <v>106</v>
      </c>
      <c r="F10" s="1">
        <v>8.8000000000000007</v>
      </c>
      <c r="G10" s="1">
        <v>244</v>
      </c>
      <c r="H10">
        <v>0.254</v>
      </c>
      <c r="I10" s="16">
        <f>BNW[[#This Row],[Berat Satuan
(Kg)]]*BNW[[#This Row],[Qty
(Set)]]</f>
        <v>61.975999999999999</v>
      </c>
      <c r="K10" s="1">
        <f>SUMIF(DATA_MASTER[NO. PON],BNW[[#This Row],[No.PON]],DATA_MASTER[Qty
(Unit)])</f>
        <v>1</v>
      </c>
      <c r="L10" s="16">
        <f>BNW[[#This Row],[TOTAL UNIT]]*BNW[[#This Row],[Total Berat Baut
(Kg)]]</f>
        <v>61.975999999999999</v>
      </c>
      <c r="M10" s="9">
        <v>44967</v>
      </c>
      <c r="N10"/>
      <c r="O10" s="25"/>
    </row>
    <row r="11" spans="1:15" x14ac:dyDescent="0.3">
      <c r="A11" t="s">
        <v>67</v>
      </c>
      <c r="B11" t="str">
        <f>IFERROR(VLOOKUP(A11,'DATA MASTER'!A:O,2,0)," ")</f>
        <v>Jembatan Gantung</v>
      </c>
      <c r="C11" t="str">
        <f>IFERROR(VLOOKUP(A11,'DATA MASTER'!A:O,4,0)," ")</f>
        <v>JG105 - PIPA</v>
      </c>
      <c r="D11" t="s">
        <v>200</v>
      </c>
      <c r="E11" t="s">
        <v>106</v>
      </c>
      <c r="F11" s="1">
        <v>8.8000000000000007</v>
      </c>
      <c r="G11" s="1">
        <v>132</v>
      </c>
      <c r="H11">
        <v>0.24400000000000002</v>
      </c>
      <c r="I11" s="16">
        <f>BNW[[#This Row],[Berat Satuan
(Kg)]]*BNW[[#This Row],[Qty
(Set)]]</f>
        <v>32.208000000000006</v>
      </c>
      <c r="K11" s="1">
        <f>SUMIF(DATA_MASTER[NO. PON],BNW[[#This Row],[No.PON]],DATA_MASTER[Qty
(Unit)])</f>
        <v>1</v>
      </c>
      <c r="L11" s="16">
        <f>BNW[[#This Row],[TOTAL UNIT]]*BNW[[#This Row],[Total Berat Baut
(Kg)]]</f>
        <v>32.208000000000006</v>
      </c>
      <c r="M11" s="9">
        <v>44967</v>
      </c>
      <c r="N11"/>
      <c r="O11" s="25"/>
    </row>
    <row r="12" spans="1:15" x14ac:dyDescent="0.3">
      <c r="A12" t="s">
        <v>67</v>
      </c>
      <c r="B12" t="str">
        <f>IFERROR(VLOOKUP(A12,'DATA MASTER'!A:O,2,0)," ")</f>
        <v>Jembatan Gantung</v>
      </c>
      <c r="C12" t="str">
        <f>IFERROR(VLOOKUP(A12,'DATA MASTER'!A:O,4,0)," ")</f>
        <v>JG105 - PIPA</v>
      </c>
      <c r="D12" t="s">
        <v>201</v>
      </c>
      <c r="E12" t="s">
        <v>106</v>
      </c>
      <c r="F12" s="1">
        <v>8.8000000000000007</v>
      </c>
      <c r="G12" s="1">
        <v>101</v>
      </c>
      <c r="H12">
        <v>0.31900000000000006</v>
      </c>
      <c r="I12" s="16">
        <f>BNW[[#This Row],[Berat Satuan
(Kg)]]*BNW[[#This Row],[Qty
(Set)]]</f>
        <v>32.219000000000008</v>
      </c>
      <c r="K12" s="1">
        <f>SUMIF(DATA_MASTER[NO. PON],BNW[[#This Row],[No.PON]],DATA_MASTER[Qty
(Unit)])</f>
        <v>1</v>
      </c>
      <c r="L12" s="16">
        <f>BNW[[#This Row],[TOTAL UNIT]]*BNW[[#This Row],[Total Berat Baut
(Kg)]]</f>
        <v>32.219000000000008</v>
      </c>
      <c r="M12" s="9">
        <v>44967</v>
      </c>
      <c r="N12"/>
      <c r="O12" s="25"/>
    </row>
    <row r="13" spans="1:15" x14ac:dyDescent="0.3">
      <c r="A13" t="s">
        <v>67</v>
      </c>
      <c r="B13" t="str">
        <f>IFERROR(VLOOKUP(A13,'DATA MASTER'!A:O,2,0)," ")</f>
        <v>Jembatan Gantung</v>
      </c>
      <c r="C13" t="str">
        <f>IFERROR(VLOOKUP(A13,'DATA MASTER'!A:O,4,0)," ")</f>
        <v>JG105 - PIPA</v>
      </c>
      <c r="D13" t="s">
        <v>202</v>
      </c>
      <c r="E13" t="s">
        <v>106</v>
      </c>
      <c r="F13" s="1">
        <v>8.8000000000000007</v>
      </c>
      <c r="G13" s="1">
        <v>42</v>
      </c>
      <c r="H13">
        <v>0.15400000000000003</v>
      </c>
      <c r="I13" s="16">
        <f>BNW[[#This Row],[Berat Satuan
(Kg)]]*BNW[[#This Row],[Qty
(Set)]]</f>
        <v>6.4680000000000009</v>
      </c>
      <c r="K13" s="1">
        <f>SUMIF(DATA_MASTER[NO. PON],BNW[[#This Row],[No.PON]],DATA_MASTER[Qty
(Unit)])</f>
        <v>1</v>
      </c>
      <c r="L13" s="16">
        <f>BNW[[#This Row],[TOTAL UNIT]]*BNW[[#This Row],[Total Berat Baut
(Kg)]]</f>
        <v>6.4680000000000009</v>
      </c>
      <c r="M13" s="9">
        <v>44967</v>
      </c>
      <c r="N13"/>
      <c r="O13" s="25"/>
    </row>
    <row r="14" spans="1:15" x14ac:dyDescent="0.3">
      <c r="A14" t="s">
        <v>67</v>
      </c>
      <c r="B14" t="str">
        <f>IFERROR(VLOOKUP(A14,'DATA MASTER'!A:O,2,0)," ")</f>
        <v>Jembatan Gantung</v>
      </c>
      <c r="C14" t="str">
        <f>IFERROR(VLOOKUP(A14,'DATA MASTER'!A:O,4,0)," ")</f>
        <v>JG105 - PIPA</v>
      </c>
      <c r="D14" t="s">
        <v>203</v>
      </c>
      <c r="E14" t="s">
        <v>106</v>
      </c>
      <c r="F14" s="1">
        <v>8.8000000000000007</v>
      </c>
      <c r="G14" s="1">
        <v>425</v>
      </c>
      <c r="H14">
        <v>0.129</v>
      </c>
      <c r="I14" s="16">
        <f>BNW[[#This Row],[Berat Satuan
(Kg)]]*BNW[[#This Row],[Qty
(Set)]]</f>
        <v>54.825000000000003</v>
      </c>
      <c r="K14" s="1">
        <f>SUMIF(DATA_MASTER[NO. PON],BNW[[#This Row],[No.PON]],DATA_MASTER[Qty
(Unit)])</f>
        <v>1</v>
      </c>
      <c r="L14" s="16">
        <f>BNW[[#This Row],[TOTAL UNIT]]*BNW[[#This Row],[Total Berat Baut
(Kg)]]</f>
        <v>54.825000000000003</v>
      </c>
      <c r="M14" s="9">
        <v>44967</v>
      </c>
      <c r="N14"/>
      <c r="O14" s="25"/>
    </row>
    <row r="15" spans="1:15" x14ac:dyDescent="0.3">
      <c r="A15" t="s">
        <v>67</v>
      </c>
      <c r="B15" t="str">
        <f>IFERROR(VLOOKUP(A15,'DATA MASTER'!A:O,2,0)," ")</f>
        <v>Jembatan Gantung</v>
      </c>
      <c r="C15" t="str">
        <f>IFERROR(VLOOKUP(A15,'DATA MASTER'!A:O,4,0)," ")</f>
        <v>JG105 - PIPA</v>
      </c>
      <c r="D15" t="s">
        <v>204</v>
      </c>
      <c r="E15" t="s">
        <v>106</v>
      </c>
      <c r="F15" s="1">
        <v>8.8000000000000007</v>
      </c>
      <c r="G15" s="1">
        <v>99</v>
      </c>
      <c r="H15">
        <v>0.129</v>
      </c>
      <c r="I15" s="16">
        <f>BNW[[#This Row],[Berat Satuan
(Kg)]]*BNW[[#This Row],[Qty
(Set)]]</f>
        <v>12.771000000000001</v>
      </c>
      <c r="K15" s="1">
        <f>SUMIF(DATA_MASTER[NO. PON],BNW[[#This Row],[No.PON]],DATA_MASTER[Qty
(Unit)])</f>
        <v>1</v>
      </c>
      <c r="L15" s="16">
        <f>BNW[[#This Row],[TOTAL UNIT]]*BNW[[#This Row],[Total Berat Baut
(Kg)]]</f>
        <v>12.771000000000001</v>
      </c>
      <c r="M15" s="9">
        <v>44967</v>
      </c>
      <c r="N15"/>
      <c r="O15" s="25"/>
    </row>
    <row r="16" spans="1:15" x14ac:dyDescent="0.3">
      <c r="A16" t="s">
        <v>67</v>
      </c>
      <c r="B16" t="str">
        <f>IFERROR(VLOOKUP(A16,'DATA MASTER'!A:O,2,0)," ")</f>
        <v>Jembatan Gantung</v>
      </c>
      <c r="C16" t="str">
        <f>IFERROR(VLOOKUP(A16,'DATA MASTER'!A:O,4,0)," ")</f>
        <v>JG105 - PIPA</v>
      </c>
      <c r="D16" t="s">
        <v>205</v>
      </c>
      <c r="E16" t="s">
        <v>106</v>
      </c>
      <c r="F16" s="1">
        <v>8.8000000000000007</v>
      </c>
      <c r="G16" s="1">
        <v>50</v>
      </c>
      <c r="H16">
        <v>6.3E-2</v>
      </c>
      <c r="I16" s="16">
        <f>BNW[[#This Row],[Berat Satuan
(Kg)]]*BNW[[#This Row],[Qty
(Set)]]</f>
        <v>3.15</v>
      </c>
      <c r="K16" s="1">
        <f>SUMIF(DATA_MASTER[NO. PON],BNW[[#This Row],[No.PON]],DATA_MASTER[Qty
(Unit)])</f>
        <v>1</v>
      </c>
      <c r="L16" s="16">
        <f>BNW[[#This Row],[TOTAL UNIT]]*BNW[[#This Row],[Total Berat Baut
(Kg)]]</f>
        <v>3.15</v>
      </c>
      <c r="M16" s="9">
        <v>44967</v>
      </c>
      <c r="N16"/>
      <c r="O16" s="25"/>
    </row>
    <row r="17" spans="1:15" x14ac:dyDescent="0.3">
      <c r="A17" t="s">
        <v>67</v>
      </c>
      <c r="B17" t="str">
        <f>IFERROR(VLOOKUP(A17,'DATA MASTER'!A:O,2,0)," ")</f>
        <v>Jembatan Gantung</v>
      </c>
      <c r="C17" t="str">
        <f>IFERROR(VLOOKUP(A17,'DATA MASTER'!A:O,4,0)," ")</f>
        <v>JG105 - PIPA</v>
      </c>
      <c r="D17" t="s">
        <v>206</v>
      </c>
      <c r="E17" t="s">
        <v>106</v>
      </c>
      <c r="F17" s="1">
        <v>8.8000000000000007</v>
      </c>
      <c r="G17" s="1">
        <v>792</v>
      </c>
      <c r="H17">
        <v>6.3E-2</v>
      </c>
      <c r="I17" s="16">
        <f>BNW[[#This Row],[Berat Satuan
(Kg)]]*BNW[[#This Row],[Qty
(Set)]]</f>
        <v>49.896000000000001</v>
      </c>
      <c r="K17" s="1">
        <f>SUMIF(DATA_MASTER[NO. PON],BNW[[#This Row],[No.PON]],DATA_MASTER[Qty
(Unit)])</f>
        <v>1</v>
      </c>
      <c r="L17" s="16">
        <f>BNW[[#This Row],[TOTAL UNIT]]*BNW[[#This Row],[Total Berat Baut
(Kg)]]</f>
        <v>49.896000000000001</v>
      </c>
      <c r="M17" s="9">
        <v>44967</v>
      </c>
      <c r="N17"/>
      <c r="O17" s="25"/>
    </row>
    <row r="18" spans="1:15" x14ac:dyDescent="0.3">
      <c r="A18" t="s">
        <v>67</v>
      </c>
      <c r="B18" t="str">
        <f>IFERROR(VLOOKUP(A18,'DATA MASTER'!A:O,2,0)," ")</f>
        <v>Jembatan Gantung</v>
      </c>
      <c r="C18" t="str">
        <f>IFERROR(VLOOKUP(A18,'DATA MASTER'!A:O,4,0)," ")</f>
        <v>JG105 - PIPA</v>
      </c>
      <c r="D18" t="s">
        <v>207</v>
      </c>
      <c r="E18" t="s">
        <v>106</v>
      </c>
      <c r="F18" s="1">
        <v>8.8000000000000007</v>
      </c>
      <c r="G18" s="1">
        <v>17</v>
      </c>
      <c r="H18">
        <v>1.0999999999999999E-2</v>
      </c>
      <c r="I18" s="16">
        <f>BNW[[#This Row],[Berat Satuan
(Kg)]]*BNW[[#This Row],[Qty
(Set)]]</f>
        <v>0.187</v>
      </c>
      <c r="K18" s="1">
        <f>SUMIF(DATA_MASTER[NO. PON],BNW[[#This Row],[No.PON]],DATA_MASTER[Qty
(Unit)])</f>
        <v>1</v>
      </c>
      <c r="L18" s="16">
        <f>BNW[[#This Row],[TOTAL UNIT]]*BNW[[#This Row],[Total Berat Baut
(Kg)]]</f>
        <v>0.187</v>
      </c>
      <c r="M18" s="9">
        <v>44967</v>
      </c>
      <c r="N18"/>
      <c r="O18" s="25"/>
    </row>
    <row r="19" spans="1:15" x14ac:dyDescent="0.3">
      <c r="A19" t="s">
        <v>67</v>
      </c>
      <c r="B19" t="str">
        <f>IFERROR(VLOOKUP(A19,'DATA MASTER'!A:O,2,0)," ")</f>
        <v>Jembatan Gantung</v>
      </c>
      <c r="C19" t="str">
        <f>IFERROR(VLOOKUP(A19,'DATA MASTER'!A:O,4,0)," ")</f>
        <v>JG105 - PIPA</v>
      </c>
      <c r="D19" t="s">
        <v>208</v>
      </c>
      <c r="E19" t="s">
        <v>106</v>
      </c>
      <c r="F19" s="1">
        <v>8.8000000000000007</v>
      </c>
      <c r="G19" s="1">
        <v>33</v>
      </c>
      <c r="H19">
        <v>0.01</v>
      </c>
      <c r="I19" s="16">
        <f>BNW[[#This Row],[Berat Satuan
(Kg)]]*BNW[[#This Row],[Qty
(Set)]]</f>
        <v>0.33</v>
      </c>
      <c r="K19" s="1">
        <f>SUMIF(DATA_MASTER[NO. PON],BNW[[#This Row],[No.PON]],DATA_MASTER[Qty
(Unit)])</f>
        <v>1</v>
      </c>
      <c r="L19" s="16">
        <f>BNW[[#This Row],[TOTAL UNIT]]*BNW[[#This Row],[Total Berat Baut
(Kg)]]</f>
        <v>0.33</v>
      </c>
      <c r="M19" s="9">
        <v>44967</v>
      </c>
      <c r="N19"/>
      <c r="O19" s="25"/>
    </row>
    <row r="20" spans="1:15" x14ac:dyDescent="0.3">
      <c r="A20" t="s">
        <v>10</v>
      </c>
      <c r="B20" t="str">
        <f>IFERROR(VLOOKUP(A20,'DATA MASTER'!A:O,2,0)," ")</f>
        <v>Girder</v>
      </c>
      <c r="C20" t="str">
        <f>IFERROR(VLOOKUP(A20,'DATA MASTER'!A:O,4,0)," ")</f>
        <v>AG30</v>
      </c>
      <c r="D20" t="s">
        <v>77</v>
      </c>
      <c r="E20" t="s">
        <v>90</v>
      </c>
      <c r="F20" s="1">
        <v>8.8000000000000007</v>
      </c>
      <c r="G20" s="1">
        <v>347</v>
      </c>
      <c r="H20" s="10">
        <v>0.40700000000000003</v>
      </c>
      <c r="I20" s="16">
        <f>BNW[[#This Row],[Berat Satuan
(Kg)]]*BNW[[#This Row],[Qty
(Set)]]</f>
        <v>141.22900000000001</v>
      </c>
      <c r="J20" s="16"/>
      <c r="K20" s="165">
        <f>SUMIF(DATA_MASTER[NO. PON],BNW[[#This Row],[No.PON]],DATA_MASTER[Qty
(Unit)])</f>
        <v>1</v>
      </c>
      <c r="L20" s="16">
        <f>BNW[[#This Row],[TOTAL UNIT]]*BNW[[#This Row],[Total Berat Baut
(Kg)]]</f>
        <v>141.22900000000001</v>
      </c>
      <c r="M20" s="9">
        <v>44939</v>
      </c>
      <c r="N20" s="9"/>
      <c r="O20" s="25">
        <v>1</v>
      </c>
    </row>
    <row r="21" spans="1:15" x14ac:dyDescent="0.3">
      <c r="A21" t="s">
        <v>10</v>
      </c>
      <c r="B21" t="str">
        <f>IFERROR(VLOOKUP(A21,'DATA MASTER'!A:O,2,0)," ")</f>
        <v>Girder</v>
      </c>
      <c r="C21" t="str">
        <f>IFERROR(VLOOKUP(A21,'DATA MASTER'!A:O,4,0)," ")</f>
        <v>AG30</v>
      </c>
      <c r="D21" t="s">
        <v>78</v>
      </c>
      <c r="E21" t="s">
        <v>90</v>
      </c>
      <c r="F21" s="1">
        <v>8.8000000000000007</v>
      </c>
      <c r="G21" s="1">
        <v>248</v>
      </c>
      <c r="H21" s="10">
        <v>0.38700000000000001</v>
      </c>
      <c r="I21" s="16">
        <f>BNW[[#This Row],[Berat Satuan
(Kg)]]*BNW[[#This Row],[Qty
(Set)]]</f>
        <v>95.975999999999999</v>
      </c>
      <c r="J21" s="16"/>
      <c r="K21" s="165">
        <f>SUMIF(DATA_MASTER[NO. PON],BNW[[#This Row],[No.PON]],DATA_MASTER[Qty
(Unit)])</f>
        <v>1</v>
      </c>
      <c r="L21" s="16">
        <f>BNW[[#This Row],[TOTAL UNIT]]*BNW[[#This Row],[Total Berat Baut
(Kg)]]</f>
        <v>95.975999999999999</v>
      </c>
      <c r="M21" s="9">
        <v>44939</v>
      </c>
      <c r="N21" s="9"/>
      <c r="O21" s="25">
        <v>1</v>
      </c>
    </row>
    <row r="22" spans="1:15" x14ac:dyDescent="0.3">
      <c r="A22" t="s">
        <v>10</v>
      </c>
      <c r="B22" t="str">
        <f>IFERROR(VLOOKUP(A22,'DATA MASTER'!A:O,2,0)," ")</f>
        <v>Girder</v>
      </c>
      <c r="C22" t="str">
        <f>IFERROR(VLOOKUP(A22,'DATA MASTER'!A:O,4,0)," ")</f>
        <v>AG30</v>
      </c>
      <c r="D22" t="s">
        <v>79</v>
      </c>
      <c r="E22" t="s">
        <v>90</v>
      </c>
      <c r="F22" s="1">
        <v>8.8000000000000007</v>
      </c>
      <c r="G22" s="1">
        <v>693</v>
      </c>
      <c r="H22" s="10">
        <v>0.34700000000000003</v>
      </c>
      <c r="I22" s="16">
        <f>BNW[[#This Row],[Berat Satuan
(Kg)]]*BNW[[#This Row],[Qty
(Set)]]</f>
        <v>240.47100000000003</v>
      </c>
      <c r="J22" s="16"/>
      <c r="K22" s="165">
        <f>SUMIF(DATA_MASTER[NO. PON],BNW[[#This Row],[No.PON]],DATA_MASTER[Qty
(Unit)])</f>
        <v>1</v>
      </c>
      <c r="L22" s="16">
        <f>BNW[[#This Row],[TOTAL UNIT]]*BNW[[#This Row],[Total Berat Baut
(Kg)]]</f>
        <v>240.47100000000003</v>
      </c>
      <c r="M22" s="9">
        <v>44939</v>
      </c>
      <c r="N22" s="9"/>
      <c r="O22" s="25">
        <v>1</v>
      </c>
    </row>
    <row r="23" spans="1:15" x14ac:dyDescent="0.3">
      <c r="A23" t="s">
        <v>10</v>
      </c>
      <c r="B23" t="str">
        <f>IFERROR(VLOOKUP(A23,'DATA MASTER'!A:O,2,0)," ")</f>
        <v>Girder</v>
      </c>
      <c r="C23" t="str">
        <f>IFERROR(VLOOKUP(A23,'DATA MASTER'!A:O,4,0)," ")</f>
        <v>AG30</v>
      </c>
      <c r="D23" t="s">
        <v>80</v>
      </c>
      <c r="E23" t="s">
        <v>91</v>
      </c>
      <c r="F23" s="1">
        <v>8.8000000000000007</v>
      </c>
      <c r="G23" s="1">
        <v>17</v>
      </c>
      <c r="H23" s="10">
        <v>0.15400000000000003</v>
      </c>
      <c r="I23" s="16">
        <f>BNW[[#This Row],[Berat Satuan
(Kg)]]*BNW[[#This Row],[Qty
(Set)]]</f>
        <v>2.6180000000000003</v>
      </c>
      <c r="J23" s="16"/>
      <c r="K23" s="165">
        <f>SUMIF(DATA_MASTER[NO. PON],BNW[[#This Row],[No.PON]],DATA_MASTER[Qty
(Unit)])</f>
        <v>1</v>
      </c>
      <c r="L23" s="16">
        <f>BNW[[#This Row],[TOTAL UNIT]]*BNW[[#This Row],[Total Berat Baut
(Kg)]]</f>
        <v>2.6180000000000003</v>
      </c>
      <c r="M23" s="9">
        <v>44939</v>
      </c>
      <c r="N23" s="9"/>
      <c r="O23" s="25">
        <v>1</v>
      </c>
    </row>
    <row r="24" spans="1:15" x14ac:dyDescent="0.3">
      <c r="A24" t="s">
        <v>10</v>
      </c>
      <c r="B24" t="str">
        <f>IFERROR(VLOOKUP(A24,'DATA MASTER'!A:O,2,0)," ")</f>
        <v>Girder</v>
      </c>
      <c r="C24" t="str">
        <f>IFERROR(VLOOKUP(A24,'DATA MASTER'!A:O,4,0)," ")</f>
        <v>AG30</v>
      </c>
      <c r="D24" t="s">
        <v>81</v>
      </c>
      <c r="E24" t="s">
        <v>91</v>
      </c>
      <c r="F24" s="1">
        <v>8.8000000000000007</v>
      </c>
      <c r="G24" s="1">
        <v>83</v>
      </c>
      <c r="H24" s="10">
        <v>0.14900000000000002</v>
      </c>
      <c r="I24" s="16">
        <f>BNW[[#This Row],[Berat Satuan
(Kg)]]*BNW[[#This Row],[Qty
(Set)]]</f>
        <v>12.367000000000001</v>
      </c>
      <c r="J24" s="16"/>
      <c r="K24" s="165">
        <f>SUMIF(DATA_MASTER[NO. PON],BNW[[#This Row],[No.PON]],DATA_MASTER[Qty
(Unit)])</f>
        <v>1</v>
      </c>
      <c r="L24" s="16">
        <f>BNW[[#This Row],[TOTAL UNIT]]*BNW[[#This Row],[Total Berat Baut
(Kg)]]</f>
        <v>12.367000000000001</v>
      </c>
      <c r="M24" s="9">
        <v>44939</v>
      </c>
      <c r="N24" s="9"/>
      <c r="O24" s="25">
        <v>1</v>
      </c>
    </row>
    <row r="25" spans="1:15" x14ac:dyDescent="0.3">
      <c r="A25" t="s">
        <v>10</v>
      </c>
      <c r="B25" t="str">
        <f>IFERROR(VLOOKUP(A25,'DATA MASTER'!A:O,2,0)," ")</f>
        <v>Girder</v>
      </c>
      <c r="C25" t="str">
        <f>IFERROR(VLOOKUP(A25,'DATA MASTER'!A:O,4,0)," ")</f>
        <v>AG30</v>
      </c>
      <c r="D25" t="s">
        <v>82</v>
      </c>
      <c r="E25" t="s">
        <v>91</v>
      </c>
      <c r="F25" s="1">
        <v>8.8000000000000007</v>
      </c>
      <c r="G25" s="1">
        <v>206</v>
      </c>
      <c r="H25" s="10">
        <v>0.13600000000000001</v>
      </c>
      <c r="I25" s="16">
        <f>BNW[[#This Row],[Berat Satuan
(Kg)]]*BNW[[#This Row],[Qty
(Set)]]</f>
        <v>28.016000000000002</v>
      </c>
      <c r="J25" s="16"/>
      <c r="K25" s="165">
        <f>SUMIF(DATA_MASTER[NO. PON],BNW[[#This Row],[No.PON]],DATA_MASTER[Qty
(Unit)])</f>
        <v>1</v>
      </c>
      <c r="L25" s="16">
        <f>BNW[[#This Row],[TOTAL UNIT]]*BNW[[#This Row],[Total Berat Baut
(Kg)]]</f>
        <v>28.016000000000002</v>
      </c>
      <c r="M25" s="9">
        <v>44939</v>
      </c>
      <c r="N25" s="9"/>
      <c r="O25" s="25">
        <v>1</v>
      </c>
    </row>
    <row r="26" spans="1:15" x14ac:dyDescent="0.3">
      <c r="A26" t="s">
        <v>10</v>
      </c>
      <c r="B26" t="str">
        <f>IFERROR(VLOOKUP(A26,'DATA MASTER'!A:O,2,0)," ")</f>
        <v>Girder</v>
      </c>
      <c r="C26" t="str">
        <f>IFERROR(VLOOKUP(A26,'DATA MASTER'!A:O,4,0)," ")</f>
        <v>AG30</v>
      </c>
      <c r="D26" t="s">
        <v>83</v>
      </c>
      <c r="E26" t="s">
        <v>91</v>
      </c>
      <c r="F26" s="1">
        <v>8.8000000000000007</v>
      </c>
      <c r="G26" s="1">
        <v>9</v>
      </c>
      <c r="H26" s="10">
        <v>8.1000000000000003E-2</v>
      </c>
      <c r="I26" s="16">
        <f>BNW[[#This Row],[Berat Satuan
(Kg)]]*BNW[[#This Row],[Qty
(Set)]]</f>
        <v>0.72899999999999998</v>
      </c>
      <c r="J26" s="16"/>
      <c r="K26" s="165">
        <f>SUMIF(DATA_MASTER[NO. PON],BNW[[#This Row],[No.PON]],DATA_MASTER[Qty
(Unit)])</f>
        <v>1</v>
      </c>
      <c r="L26" s="16">
        <f>BNW[[#This Row],[TOTAL UNIT]]*BNW[[#This Row],[Total Berat Baut
(Kg)]]</f>
        <v>0.72899999999999998</v>
      </c>
      <c r="M26" s="9">
        <v>44939</v>
      </c>
      <c r="N26" s="9"/>
      <c r="O26" s="25">
        <v>1</v>
      </c>
    </row>
    <row r="27" spans="1:15" x14ac:dyDescent="0.3">
      <c r="A27" t="s">
        <v>17</v>
      </c>
      <c r="B27" t="str">
        <f>IFERROR(VLOOKUP(A27,'DATA MASTER'!A:O,2,0)," ")</f>
        <v>Panel Bailey</v>
      </c>
      <c r="C27" t="str">
        <f>IFERROR(VLOOKUP(A27,'DATA MASTER'!A:O,4,0)," ")</f>
        <v>33M DSR2 - SS400</v>
      </c>
      <c r="D27" t="s">
        <v>108</v>
      </c>
      <c r="E27" t="s">
        <v>106</v>
      </c>
      <c r="F27" s="1" t="s">
        <v>115</v>
      </c>
      <c r="G27" s="1">
        <v>33</v>
      </c>
      <c r="H27">
        <v>0.185</v>
      </c>
      <c r="I27" s="16">
        <f>BNW[[#This Row],[Berat Satuan
(Kg)]]*BNW[[#This Row],[Qty
(Set)]]</f>
        <v>6.1049999999999995</v>
      </c>
      <c r="K27" s="1">
        <f>SUMIF(DATA_MASTER[NO. PON],BNW[[#This Row],[No.PON]],DATA_MASTER[Qty
(Unit)])</f>
        <v>1</v>
      </c>
      <c r="L27" s="16">
        <f>BNW[[#This Row],[TOTAL UNIT]]*BNW[[#This Row],[Total Berat Baut
(Kg)]]</f>
        <v>6.1049999999999995</v>
      </c>
      <c r="M27" s="9">
        <v>44957</v>
      </c>
      <c r="N27"/>
      <c r="O27" s="25">
        <v>1</v>
      </c>
    </row>
    <row r="28" spans="1:15" x14ac:dyDescent="0.3">
      <c r="A28" t="s">
        <v>17</v>
      </c>
      <c r="B28" t="str">
        <f>IFERROR(VLOOKUP(A28,'DATA MASTER'!A:O,2,0)," ")</f>
        <v>Panel Bailey</v>
      </c>
      <c r="C28" t="str">
        <f>IFERROR(VLOOKUP(A28,'DATA MASTER'!A:O,4,0)," ")</f>
        <v>33M DSR2 - SS400</v>
      </c>
      <c r="D28" t="s">
        <v>109</v>
      </c>
      <c r="E28" t="s">
        <v>106</v>
      </c>
      <c r="F28" s="1" t="s">
        <v>115</v>
      </c>
      <c r="G28" s="1">
        <v>3</v>
      </c>
      <c r="H28">
        <v>0.16400000000000001</v>
      </c>
      <c r="I28" s="16">
        <f>BNW[[#This Row],[Berat Satuan
(Kg)]]*BNW[[#This Row],[Qty
(Set)]]</f>
        <v>0.49199999999999999</v>
      </c>
      <c r="K28" s="1">
        <f>SUMIF(DATA_MASTER[NO. PON],BNW[[#This Row],[No.PON]],DATA_MASTER[Qty
(Unit)])</f>
        <v>1</v>
      </c>
      <c r="L28" s="16">
        <f>BNW[[#This Row],[TOTAL UNIT]]*BNW[[#This Row],[Total Berat Baut
(Kg)]]</f>
        <v>0.49199999999999999</v>
      </c>
      <c r="M28" s="9">
        <v>44957</v>
      </c>
      <c r="N28"/>
      <c r="O28" s="25"/>
    </row>
    <row r="29" spans="1:15" x14ac:dyDescent="0.3">
      <c r="A29" t="s">
        <v>17</v>
      </c>
      <c r="B29" t="str">
        <f>IFERROR(VLOOKUP(A29,'DATA MASTER'!A:O,2,0)," ")</f>
        <v>Panel Bailey</v>
      </c>
      <c r="C29" t="str">
        <f>IFERROR(VLOOKUP(A29,'DATA MASTER'!A:O,4,0)," ")</f>
        <v>33M DSR2 - SS400</v>
      </c>
      <c r="D29" t="s">
        <v>110</v>
      </c>
      <c r="E29" t="s">
        <v>106</v>
      </c>
      <c r="F29" s="1" t="s">
        <v>115</v>
      </c>
      <c r="G29" s="1">
        <v>36</v>
      </c>
      <c r="H29">
        <v>0.156</v>
      </c>
      <c r="I29" s="16">
        <f>BNW[[#This Row],[Berat Satuan
(Kg)]]*BNW[[#This Row],[Qty
(Set)]]</f>
        <v>5.6159999999999997</v>
      </c>
      <c r="K29" s="1">
        <f>SUMIF(DATA_MASTER[NO. PON],BNW[[#This Row],[No.PON]],DATA_MASTER[Qty
(Unit)])</f>
        <v>1</v>
      </c>
      <c r="L29" s="16">
        <f>BNW[[#This Row],[TOTAL UNIT]]*BNW[[#This Row],[Total Berat Baut
(Kg)]]</f>
        <v>5.6159999999999997</v>
      </c>
      <c r="M29" s="9">
        <v>44957</v>
      </c>
      <c r="N29"/>
      <c r="O29" s="25"/>
    </row>
    <row r="30" spans="1:15" x14ac:dyDescent="0.3">
      <c r="A30" t="s">
        <v>17</v>
      </c>
      <c r="B30" t="str">
        <f>IFERROR(VLOOKUP(A30,'DATA MASTER'!A:O,2,0)," ")</f>
        <v>Panel Bailey</v>
      </c>
      <c r="C30" t="str">
        <f>IFERROR(VLOOKUP(A30,'DATA MASTER'!A:O,4,0)," ")</f>
        <v>33M DSR2 - SS400</v>
      </c>
      <c r="D30" t="s">
        <v>111</v>
      </c>
      <c r="E30" t="s">
        <v>106</v>
      </c>
      <c r="F30" s="1" t="s">
        <v>115</v>
      </c>
      <c r="G30" s="1">
        <v>283</v>
      </c>
      <c r="H30">
        <v>0.14900000000000002</v>
      </c>
      <c r="I30" s="16">
        <f>BNW[[#This Row],[Berat Satuan
(Kg)]]*BNW[[#This Row],[Qty
(Set)]]</f>
        <v>42.167000000000009</v>
      </c>
      <c r="K30" s="1">
        <f>SUMIF(DATA_MASTER[NO. PON],BNW[[#This Row],[No.PON]],DATA_MASTER[Qty
(Unit)])</f>
        <v>1</v>
      </c>
      <c r="L30" s="16">
        <f>BNW[[#This Row],[TOTAL UNIT]]*BNW[[#This Row],[Total Berat Baut
(Kg)]]</f>
        <v>42.167000000000009</v>
      </c>
      <c r="M30" s="9">
        <v>44957</v>
      </c>
      <c r="N30"/>
      <c r="O30" s="25"/>
    </row>
    <row r="31" spans="1:15" x14ac:dyDescent="0.3">
      <c r="A31" t="s">
        <v>17</v>
      </c>
      <c r="B31" t="str">
        <f>IFERROR(VLOOKUP(A31,'DATA MASTER'!A:O,2,0)," ")</f>
        <v>Panel Bailey</v>
      </c>
      <c r="C31" t="str">
        <f>IFERROR(VLOOKUP(A31,'DATA MASTER'!A:O,4,0)," ")</f>
        <v>33M DSR2 - SS400</v>
      </c>
      <c r="D31" t="s">
        <v>112</v>
      </c>
      <c r="E31" t="s">
        <v>107</v>
      </c>
      <c r="F31" s="1" t="s">
        <v>116</v>
      </c>
      <c r="G31" s="1">
        <v>108</v>
      </c>
      <c r="H31">
        <v>0.158</v>
      </c>
      <c r="I31" s="16">
        <f>BNW[[#This Row],[Berat Satuan
(Kg)]]*BNW[[#This Row],[Qty
(Set)]]</f>
        <v>17.064</v>
      </c>
      <c r="K31" s="1">
        <f>SUMIF(DATA_MASTER[NO. PON],BNW[[#This Row],[No.PON]],DATA_MASTER[Qty
(Unit)])</f>
        <v>1</v>
      </c>
      <c r="L31" s="16">
        <f>BNW[[#This Row],[TOTAL UNIT]]*BNW[[#This Row],[Total Berat Baut
(Kg)]]</f>
        <v>17.064</v>
      </c>
      <c r="M31" s="9">
        <v>44957</v>
      </c>
      <c r="N31"/>
      <c r="O31" s="25"/>
    </row>
    <row r="32" spans="1:15" x14ac:dyDescent="0.3">
      <c r="A32" t="s">
        <v>17</v>
      </c>
      <c r="B32" t="str">
        <f>IFERROR(VLOOKUP(A32,'DATA MASTER'!A:O,2,0)," ")</f>
        <v>Panel Bailey</v>
      </c>
      <c r="C32" t="str">
        <f>IFERROR(VLOOKUP(A32,'DATA MASTER'!A:O,4,0)," ")</f>
        <v>33M DSR2 - SS400</v>
      </c>
      <c r="D32" t="s">
        <v>113</v>
      </c>
      <c r="E32" t="s">
        <v>107</v>
      </c>
      <c r="F32" s="1" t="s">
        <v>116</v>
      </c>
      <c r="G32" s="1">
        <v>46</v>
      </c>
      <c r="H32">
        <v>0.21800000000000003</v>
      </c>
      <c r="I32" s="16">
        <f>BNW[[#This Row],[Berat Satuan
(Kg)]]*BNW[[#This Row],[Qty
(Set)]]</f>
        <v>10.028</v>
      </c>
      <c r="K32" s="1">
        <f>SUMIF(DATA_MASTER[NO. PON],BNW[[#This Row],[No.PON]],DATA_MASTER[Qty
(Unit)])</f>
        <v>1</v>
      </c>
      <c r="L32" s="16">
        <f>BNW[[#This Row],[TOTAL UNIT]]*BNW[[#This Row],[Total Berat Baut
(Kg)]]</f>
        <v>10.028</v>
      </c>
      <c r="M32" s="9">
        <v>44957</v>
      </c>
      <c r="N32"/>
      <c r="O32" s="25"/>
    </row>
    <row r="33" spans="1:15" x14ac:dyDescent="0.3">
      <c r="A33" t="s">
        <v>17</v>
      </c>
      <c r="B33" t="str">
        <f>IFERROR(VLOOKUP(A33,'DATA MASTER'!A:O,2,0)," ")</f>
        <v>Panel Bailey</v>
      </c>
      <c r="C33" t="str">
        <f>IFERROR(VLOOKUP(A33,'DATA MASTER'!A:O,4,0)," ")</f>
        <v>33M DSR2 - SS400</v>
      </c>
      <c r="D33" t="s">
        <v>114</v>
      </c>
      <c r="E33" t="s">
        <v>107</v>
      </c>
      <c r="F33" s="1" t="s">
        <v>116</v>
      </c>
      <c r="G33" s="1">
        <v>297</v>
      </c>
      <c r="H33">
        <v>0.127</v>
      </c>
      <c r="I33" s="16">
        <f>BNW[[#This Row],[Berat Satuan
(Kg)]]*BNW[[#This Row],[Qty
(Set)]]</f>
        <v>37.719000000000001</v>
      </c>
      <c r="K33" s="1">
        <f>SUMIF(DATA_MASTER[NO. PON],BNW[[#This Row],[No.PON]],DATA_MASTER[Qty
(Unit)])</f>
        <v>1</v>
      </c>
      <c r="L33" s="16">
        <f>BNW[[#This Row],[TOTAL UNIT]]*BNW[[#This Row],[Total Berat Baut
(Kg)]]</f>
        <v>37.719000000000001</v>
      </c>
      <c r="M33" s="9">
        <v>44957</v>
      </c>
      <c r="N33"/>
      <c r="O33" s="25"/>
    </row>
    <row r="34" spans="1:15" x14ac:dyDescent="0.3">
      <c r="A34" t="s">
        <v>19</v>
      </c>
      <c r="B34" t="str">
        <f>IFERROR(VLOOKUP(A34,'DATA MASTER'!A:O,2,0)," ")</f>
        <v>Girder</v>
      </c>
      <c r="C34" t="str">
        <f>IFERROR(VLOOKUP(A34,'DATA MASTER'!A:O,4,0)," ")</f>
        <v>AG20</v>
      </c>
      <c r="D34" t="s">
        <v>84</v>
      </c>
      <c r="E34" t="s">
        <v>90</v>
      </c>
      <c r="F34" s="1">
        <v>8.8000000000000007</v>
      </c>
      <c r="G34" s="1">
        <v>520</v>
      </c>
      <c r="H34">
        <v>0.38700000000000001</v>
      </c>
      <c r="I34" s="16">
        <f>BNW[[#This Row],[Berat Satuan
(Kg)]]*BNW[[#This Row],[Qty
(Set)]]</f>
        <v>201.24</v>
      </c>
      <c r="K34" s="1">
        <f>SUMIF(DATA_MASTER[NO. PON],BNW[[#This Row],[No.PON]],DATA_MASTER[Qty
(Unit)])</f>
        <v>1</v>
      </c>
      <c r="L34" s="16">
        <f>BNW[[#This Row],[TOTAL UNIT]]*BNW[[#This Row],[Total Berat Baut
(Kg)]]</f>
        <v>201.24</v>
      </c>
      <c r="M34" s="9">
        <v>44942</v>
      </c>
      <c r="N34" s="9"/>
      <c r="O34" s="25">
        <v>1</v>
      </c>
    </row>
    <row r="35" spans="1:15" x14ac:dyDescent="0.3">
      <c r="A35" t="s">
        <v>19</v>
      </c>
      <c r="B35" t="str">
        <f>IFERROR(VLOOKUP(A35,'DATA MASTER'!A:O,2,0)," ")</f>
        <v>Girder</v>
      </c>
      <c r="C35" t="str">
        <f>IFERROR(VLOOKUP(A35,'DATA MASTER'!A:O,4,0)," ")</f>
        <v>AG20</v>
      </c>
      <c r="D35" t="s">
        <v>85</v>
      </c>
      <c r="E35" t="s">
        <v>90</v>
      </c>
      <c r="F35" s="1">
        <v>8.8000000000000007</v>
      </c>
      <c r="G35" s="1">
        <v>186</v>
      </c>
      <c r="H35">
        <v>0.36699999999999999</v>
      </c>
      <c r="I35" s="16">
        <f>BNW[[#This Row],[Berat Satuan
(Kg)]]*BNW[[#This Row],[Qty
(Set)]]</f>
        <v>68.262</v>
      </c>
      <c r="K35" s="1">
        <f>SUMIF(DATA_MASTER[NO. PON],BNW[[#This Row],[No.PON]],DATA_MASTER[Qty
(Unit)])</f>
        <v>1</v>
      </c>
      <c r="L35" s="16">
        <f>BNW[[#This Row],[TOTAL UNIT]]*BNW[[#This Row],[Total Berat Baut
(Kg)]]</f>
        <v>68.262</v>
      </c>
      <c r="M35" s="9">
        <v>44942</v>
      </c>
      <c r="N35" s="9"/>
      <c r="O35" s="25">
        <v>1</v>
      </c>
    </row>
    <row r="36" spans="1:15" x14ac:dyDescent="0.3">
      <c r="A36" t="s">
        <v>19</v>
      </c>
      <c r="B36" t="str">
        <f>IFERROR(VLOOKUP(A36,'DATA MASTER'!A:O,2,0)," ")</f>
        <v>Girder</v>
      </c>
      <c r="C36" t="str">
        <f>IFERROR(VLOOKUP(A36,'DATA MASTER'!A:O,4,0)," ")</f>
        <v>AG20</v>
      </c>
      <c r="D36" t="s">
        <v>86</v>
      </c>
      <c r="E36" t="s">
        <v>90</v>
      </c>
      <c r="F36" s="1">
        <v>8.8000000000000007</v>
      </c>
      <c r="G36" s="1">
        <v>557</v>
      </c>
      <c r="H36">
        <v>0.35700000000000004</v>
      </c>
      <c r="I36" s="16">
        <f>BNW[[#This Row],[Berat Satuan
(Kg)]]*BNW[[#This Row],[Qty
(Set)]]</f>
        <v>198.84900000000002</v>
      </c>
      <c r="K36" s="1">
        <f>SUMIF(DATA_MASTER[NO. PON],BNW[[#This Row],[No.PON]],DATA_MASTER[Qty
(Unit)])</f>
        <v>1</v>
      </c>
      <c r="L36" s="16">
        <f>BNW[[#This Row],[TOTAL UNIT]]*BNW[[#This Row],[Total Berat Baut
(Kg)]]</f>
        <v>198.84900000000002</v>
      </c>
      <c r="M36" s="9">
        <v>44942</v>
      </c>
      <c r="N36" s="9"/>
      <c r="O36" s="25">
        <v>1</v>
      </c>
    </row>
    <row r="37" spans="1:15" x14ac:dyDescent="0.3">
      <c r="A37" t="s">
        <v>19</v>
      </c>
      <c r="B37" t="str">
        <f>IFERROR(VLOOKUP(A37,'DATA MASTER'!A:O,2,0)," ")</f>
        <v>Girder</v>
      </c>
      <c r="C37" t="str">
        <f>IFERROR(VLOOKUP(A37,'DATA MASTER'!A:O,4,0)," ")</f>
        <v>AG20</v>
      </c>
      <c r="D37" t="s">
        <v>87</v>
      </c>
      <c r="E37" t="s">
        <v>91</v>
      </c>
      <c r="F37" s="1">
        <v>8.8000000000000007</v>
      </c>
      <c r="G37" s="1">
        <v>17</v>
      </c>
      <c r="H37">
        <v>0.14900000000000002</v>
      </c>
      <c r="I37" s="16">
        <f>BNW[[#This Row],[Berat Satuan
(Kg)]]*BNW[[#This Row],[Qty
(Set)]]</f>
        <v>2.5330000000000004</v>
      </c>
      <c r="K37" s="1">
        <f>SUMIF(DATA_MASTER[NO. PON],BNW[[#This Row],[No.PON]],DATA_MASTER[Qty
(Unit)])</f>
        <v>1</v>
      </c>
      <c r="L37" s="16">
        <f>BNW[[#This Row],[TOTAL UNIT]]*BNW[[#This Row],[Total Berat Baut
(Kg)]]</f>
        <v>2.5330000000000004</v>
      </c>
      <c r="M37" s="9">
        <v>44942</v>
      </c>
      <c r="N37" s="9"/>
      <c r="O37" s="25">
        <v>1</v>
      </c>
    </row>
    <row r="38" spans="1:15" x14ac:dyDescent="0.3">
      <c r="A38" t="s">
        <v>19</v>
      </c>
      <c r="B38" t="str">
        <f>IFERROR(VLOOKUP(A38,'DATA MASTER'!A:O,2,0)," ")</f>
        <v>Girder</v>
      </c>
      <c r="C38" t="str">
        <f>IFERROR(VLOOKUP(A38,'DATA MASTER'!A:O,4,0)," ")</f>
        <v>AG20</v>
      </c>
      <c r="D38" t="s">
        <v>88</v>
      </c>
      <c r="E38" t="s">
        <v>91</v>
      </c>
      <c r="F38" s="1">
        <v>8.8000000000000007</v>
      </c>
      <c r="G38" s="1">
        <v>206</v>
      </c>
      <c r="H38">
        <v>0.13600000000000001</v>
      </c>
      <c r="I38" s="16">
        <f>BNW[[#This Row],[Berat Satuan
(Kg)]]*BNW[[#This Row],[Qty
(Set)]]</f>
        <v>28.016000000000002</v>
      </c>
      <c r="K38" s="1">
        <f>SUMIF(DATA_MASTER[NO. PON],BNW[[#This Row],[No.PON]],DATA_MASTER[Qty
(Unit)])</f>
        <v>1</v>
      </c>
      <c r="L38" s="16">
        <f>BNW[[#This Row],[TOTAL UNIT]]*BNW[[#This Row],[Total Berat Baut
(Kg)]]</f>
        <v>28.016000000000002</v>
      </c>
      <c r="M38" s="9">
        <v>44942</v>
      </c>
      <c r="N38" s="9"/>
      <c r="O38" s="25">
        <v>1</v>
      </c>
    </row>
    <row r="39" spans="1:15" x14ac:dyDescent="0.3">
      <c r="A39" t="s">
        <v>19</v>
      </c>
      <c r="B39" t="str">
        <f>IFERROR(VLOOKUP(A39,'DATA MASTER'!A:O,2,0)," ")</f>
        <v>Girder</v>
      </c>
      <c r="C39" t="str">
        <f>IFERROR(VLOOKUP(A39,'DATA MASTER'!A:O,4,0)," ")</f>
        <v>AG20</v>
      </c>
      <c r="D39" t="s">
        <v>83</v>
      </c>
      <c r="E39" t="s">
        <v>91</v>
      </c>
      <c r="F39" s="1">
        <v>8.8000000000000007</v>
      </c>
      <c r="G39" s="1">
        <v>9</v>
      </c>
      <c r="H39">
        <v>8.1000000000000003E-2</v>
      </c>
      <c r="I39" s="16">
        <f>BNW[[#This Row],[Berat Satuan
(Kg)]]*BNW[[#This Row],[Qty
(Set)]]</f>
        <v>0.72899999999999998</v>
      </c>
      <c r="K39" s="1">
        <f>SUMIF(DATA_MASTER[NO. PON],BNW[[#This Row],[No.PON]],DATA_MASTER[Qty
(Unit)])</f>
        <v>1</v>
      </c>
      <c r="L39" s="16">
        <f>BNW[[#This Row],[TOTAL UNIT]]*BNW[[#This Row],[Total Berat Baut
(Kg)]]</f>
        <v>0.72899999999999998</v>
      </c>
      <c r="M39" s="9">
        <v>44942</v>
      </c>
      <c r="N39" s="9"/>
      <c r="O39" s="25">
        <v>1</v>
      </c>
    </row>
    <row r="40" spans="1:15" x14ac:dyDescent="0.3">
      <c r="A40" t="s">
        <v>19</v>
      </c>
      <c r="B40" t="str">
        <f>IFERROR(VLOOKUP(A40,'DATA MASTER'!A:O,2,0)," ")</f>
        <v>Girder</v>
      </c>
      <c r="C40" t="str">
        <f>IFERROR(VLOOKUP(A40,'DATA MASTER'!A:O,4,0)," ")</f>
        <v>AG20</v>
      </c>
      <c r="D40" t="s">
        <v>89</v>
      </c>
      <c r="E40" t="s">
        <v>91</v>
      </c>
      <c r="F40" s="1">
        <v>8.8000000000000007</v>
      </c>
      <c r="G40" s="1">
        <f>495</f>
        <v>495</v>
      </c>
      <c r="H40">
        <v>6.8000000000000005E-2</v>
      </c>
      <c r="I40" s="16">
        <f>BNW[[#This Row],[Berat Satuan
(Kg)]]*BNW[[#This Row],[Qty
(Set)]]</f>
        <v>33.660000000000004</v>
      </c>
      <c r="K40" s="1">
        <f>SUMIF(DATA_MASTER[NO. PON],BNW[[#This Row],[No.PON]],DATA_MASTER[Qty
(Unit)])</f>
        <v>1</v>
      </c>
      <c r="L40" s="16">
        <f>BNW[[#This Row],[TOTAL UNIT]]*BNW[[#This Row],[Total Berat Baut
(Kg)]]</f>
        <v>33.660000000000004</v>
      </c>
      <c r="M40" s="9">
        <v>44945</v>
      </c>
      <c r="N40" s="9" t="s">
        <v>99</v>
      </c>
      <c r="O40" s="25">
        <v>1</v>
      </c>
    </row>
    <row r="41" spans="1:15" x14ac:dyDescent="0.3">
      <c r="A41" t="s">
        <v>122</v>
      </c>
      <c r="B41" t="str">
        <f>IFERROR(VLOOKUP(A41,'DATA MASTER'!A:O,2,0)," ")</f>
        <v>Girder</v>
      </c>
      <c r="C41" t="str">
        <f>IFERROR(VLOOKUP(A41,'DATA MASTER'!A:O,4,0)," ")</f>
        <v>AG8</v>
      </c>
      <c r="D41" t="s">
        <v>88</v>
      </c>
      <c r="E41" t="s">
        <v>106</v>
      </c>
      <c r="F41" s="1">
        <v>8.8000000000000007</v>
      </c>
      <c r="G41" s="1">
        <f>248</f>
        <v>248</v>
      </c>
      <c r="H41">
        <v>0.13600000000000001</v>
      </c>
      <c r="I41" s="16">
        <f>BNW[[#This Row],[Berat Satuan
(Kg)]]*BNW[[#This Row],[Qty
(Set)]]</f>
        <v>33.728000000000002</v>
      </c>
      <c r="K41" s="1">
        <f>SUMIF(DATA_MASTER[NO. PON],BNW[[#This Row],[No.PON]],DATA_MASTER[Qty
(Unit)])</f>
        <v>1</v>
      </c>
      <c r="L41" s="16">
        <f>BNW[[#This Row],[TOTAL UNIT]]*BNW[[#This Row],[Total Berat Baut
(Kg)]]</f>
        <v>33.728000000000002</v>
      </c>
      <c r="M41" s="9">
        <v>44960</v>
      </c>
      <c r="N41"/>
      <c r="O41" s="25"/>
    </row>
    <row r="42" spans="1:15" x14ac:dyDescent="0.3">
      <c r="A42" t="s">
        <v>129</v>
      </c>
      <c r="B42" t="str">
        <f>IFERROR(VLOOKUP(A42,'DATA MASTER'!A:O,2,0)," ")</f>
        <v>Panel Bailey</v>
      </c>
      <c r="C42" t="str">
        <f>IFERROR(VLOOKUP(A42,'DATA MASTER'!A:O,4,0)," ")</f>
        <v>42 DSR2-EW + TRESTLE</v>
      </c>
      <c r="D42" t="s">
        <v>132</v>
      </c>
      <c r="E42" t="s">
        <v>106</v>
      </c>
      <c r="F42" s="1">
        <v>8.8000000000000007</v>
      </c>
      <c r="G42" s="1">
        <v>32</v>
      </c>
      <c r="H42">
        <v>0.67</v>
      </c>
      <c r="I42" s="16">
        <f>BNW[[#This Row],[Berat Satuan
(Kg)]]*BNW[[#This Row],[Qty
(Set)]]</f>
        <v>21.44</v>
      </c>
      <c r="K42" s="1">
        <f>SUMIF(DATA_MASTER[NO. PON],BNW[[#This Row],[No.PON]],DATA_MASTER[Qty
(Unit)])</f>
        <v>1</v>
      </c>
      <c r="L42" s="16">
        <f>BNW[[#This Row],[TOTAL UNIT]]*BNW[[#This Row],[Total Berat Baut
(Kg)]]</f>
        <v>21.44</v>
      </c>
      <c r="M42" s="9">
        <v>44960</v>
      </c>
      <c r="N42" t="s">
        <v>159</v>
      </c>
      <c r="O42" s="25"/>
    </row>
    <row r="43" spans="1:15" x14ac:dyDescent="0.3">
      <c r="A43" t="s">
        <v>129</v>
      </c>
      <c r="B43" t="str">
        <f>IFERROR(VLOOKUP(A43,'DATA MASTER'!A:O,2,0)," ")</f>
        <v>Panel Bailey</v>
      </c>
      <c r="C43" t="str">
        <f>IFERROR(VLOOKUP(A43,'DATA MASTER'!A:O,4,0)," ")</f>
        <v>42 DSR2-EW + TRESTLE</v>
      </c>
      <c r="D43" t="s">
        <v>133</v>
      </c>
      <c r="E43" t="s">
        <v>106</v>
      </c>
      <c r="F43" s="1">
        <v>8.8000000000000007</v>
      </c>
      <c r="G43" s="1">
        <v>384</v>
      </c>
      <c r="H43">
        <v>0.53</v>
      </c>
      <c r="I43" s="16">
        <f>BNW[[#This Row],[Berat Satuan
(Kg)]]*BNW[[#This Row],[Qty
(Set)]]</f>
        <v>203.52</v>
      </c>
      <c r="K43" s="1">
        <f>SUMIF(DATA_MASTER[NO. PON],BNW[[#This Row],[No.PON]],DATA_MASTER[Qty
(Unit)])</f>
        <v>1</v>
      </c>
      <c r="L43" s="16">
        <f>BNW[[#This Row],[TOTAL UNIT]]*BNW[[#This Row],[Total Berat Baut
(Kg)]]</f>
        <v>203.52</v>
      </c>
      <c r="M43" s="9">
        <v>44960</v>
      </c>
      <c r="N43" t="s">
        <v>159</v>
      </c>
      <c r="O43" s="25"/>
    </row>
    <row r="44" spans="1:15" x14ac:dyDescent="0.3">
      <c r="A44" t="s">
        <v>129</v>
      </c>
      <c r="B44" t="str">
        <f>IFERROR(VLOOKUP(A44,'DATA MASTER'!A:O,2,0)," ")</f>
        <v>Panel Bailey</v>
      </c>
      <c r="C44" t="str">
        <f>IFERROR(VLOOKUP(A44,'DATA MASTER'!A:O,4,0)," ")</f>
        <v>42 DSR2-EW + TRESTLE</v>
      </c>
      <c r="D44" t="s">
        <v>134</v>
      </c>
      <c r="E44" t="s">
        <v>106</v>
      </c>
      <c r="F44" s="1">
        <v>8.8000000000000007</v>
      </c>
      <c r="G44" s="1">
        <v>238</v>
      </c>
      <c r="H44">
        <v>0.46</v>
      </c>
      <c r="I44" s="16">
        <f>BNW[[#This Row],[Berat Satuan
(Kg)]]*BNW[[#This Row],[Qty
(Set)]]</f>
        <v>109.48</v>
      </c>
      <c r="K44" s="1">
        <f>SUMIF(DATA_MASTER[NO. PON],BNW[[#This Row],[No.PON]],DATA_MASTER[Qty
(Unit)])</f>
        <v>1</v>
      </c>
      <c r="L44" s="16">
        <f>BNW[[#This Row],[TOTAL UNIT]]*BNW[[#This Row],[Total Berat Baut
(Kg)]]</f>
        <v>109.48</v>
      </c>
      <c r="M44" s="9">
        <v>44960</v>
      </c>
      <c r="N44" t="s">
        <v>159</v>
      </c>
      <c r="O44" s="25"/>
    </row>
    <row r="45" spans="1:15" x14ac:dyDescent="0.3">
      <c r="A45" t="s">
        <v>129</v>
      </c>
      <c r="B45" t="str">
        <f>IFERROR(VLOOKUP(A45,'DATA MASTER'!A:O,2,0)," ")</f>
        <v>Panel Bailey</v>
      </c>
      <c r="C45" t="str">
        <f>IFERROR(VLOOKUP(A45,'DATA MASTER'!A:O,4,0)," ")</f>
        <v>42 DSR2-EW + TRESTLE</v>
      </c>
      <c r="D45" t="s">
        <v>135</v>
      </c>
      <c r="E45" t="s">
        <v>106</v>
      </c>
      <c r="F45" s="1">
        <v>8.8000000000000007</v>
      </c>
      <c r="G45" s="1">
        <v>112</v>
      </c>
      <c r="H45">
        <v>0.43</v>
      </c>
      <c r="I45" s="16">
        <f>BNW[[#This Row],[Berat Satuan
(Kg)]]*BNW[[#This Row],[Qty
(Set)]]</f>
        <v>48.16</v>
      </c>
      <c r="K45" s="1">
        <f>SUMIF(DATA_MASTER[NO. PON],BNW[[#This Row],[No.PON]],DATA_MASTER[Qty
(Unit)])</f>
        <v>1</v>
      </c>
      <c r="L45" s="16">
        <f>BNW[[#This Row],[TOTAL UNIT]]*BNW[[#This Row],[Total Berat Baut
(Kg)]]</f>
        <v>48.16</v>
      </c>
      <c r="M45" s="9">
        <v>44960</v>
      </c>
      <c r="N45" t="s">
        <v>159</v>
      </c>
      <c r="O45" s="25"/>
    </row>
    <row r="46" spans="1:15" x14ac:dyDescent="0.3">
      <c r="A46" t="s">
        <v>129</v>
      </c>
      <c r="B46" t="str">
        <f>IFERROR(VLOOKUP(A46,'DATA MASTER'!A:O,2,0)," ")</f>
        <v>Panel Bailey</v>
      </c>
      <c r="C46" t="str">
        <f>IFERROR(VLOOKUP(A46,'DATA MASTER'!A:O,4,0)," ")</f>
        <v>42 DSR2-EW + TRESTLE</v>
      </c>
      <c r="D46" t="s">
        <v>136</v>
      </c>
      <c r="E46" t="s">
        <v>106</v>
      </c>
      <c r="F46" s="1">
        <v>8.8000000000000007</v>
      </c>
      <c r="G46" s="1">
        <v>124</v>
      </c>
      <c r="H46">
        <v>0.41</v>
      </c>
      <c r="I46" s="16">
        <f>BNW[[#This Row],[Berat Satuan
(Kg)]]*BNW[[#This Row],[Qty
(Set)]]</f>
        <v>50.839999999999996</v>
      </c>
      <c r="K46" s="1">
        <f>SUMIF(DATA_MASTER[NO. PON],BNW[[#This Row],[No.PON]],DATA_MASTER[Qty
(Unit)])</f>
        <v>1</v>
      </c>
      <c r="L46" s="16">
        <f>BNW[[#This Row],[TOTAL UNIT]]*BNW[[#This Row],[Total Berat Baut
(Kg)]]</f>
        <v>50.839999999999996</v>
      </c>
      <c r="M46" s="9">
        <v>44960</v>
      </c>
      <c r="N46" t="s">
        <v>159</v>
      </c>
      <c r="O46" s="25"/>
    </row>
    <row r="47" spans="1:15" x14ac:dyDescent="0.3">
      <c r="A47" t="s">
        <v>129</v>
      </c>
      <c r="B47" t="str">
        <f>IFERROR(VLOOKUP(A47,'DATA MASTER'!A:O,2,0)," ")</f>
        <v>Panel Bailey</v>
      </c>
      <c r="C47" t="str">
        <f>IFERROR(VLOOKUP(A47,'DATA MASTER'!A:O,4,0)," ")</f>
        <v>42 DSR2-EW + TRESTLE</v>
      </c>
      <c r="D47" t="s">
        <v>137</v>
      </c>
      <c r="E47" t="s">
        <v>106</v>
      </c>
      <c r="F47" s="1">
        <v>8.8000000000000007</v>
      </c>
      <c r="G47" s="1">
        <v>240</v>
      </c>
      <c r="H47">
        <v>0.47399999999999998</v>
      </c>
      <c r="I47" s="16">
        <f>BNW[[#This Row],[Berat Satuan
(Kg)]]*BNW[[#This Row],[Qty
(Set)]]</f>
        <v>113.75999999999999</v>
      </c>
      <c r="K47" s="1">
        <f>SUMIF(DATA_MASTER[NO. PON],BNW[[#This Row],[No.PON]],DATA_MASTER[Qty
(Unit)])</f>
        <v>1</v>
      </c>
      <c r="L47" s="16">
        <f>BNW[[#This Row],[TOTAL UNIT]]*BNW[[#This Row],[Total Berat Baut
(Kg)]]</f>
        <v>113.75999999999999</v>
      </c>
      <c r="M47" s="9">
        <v>44960</v>
      </c>
      <c r="N47" t="s">
        <v>159</v>
      </c>
      <c r="O47" s="25"/>
    </row>
    <row r="48" spans="1:15" x14ac:dyDescent="0.3">
      <c r="A48" t="s">
        <v>129</v>
      </c>
      <c r="B48" t="str">
        <f>IFERROR(VLOOKUP(A48,'DATA MASTER'!A:O,2,0)," ")</f>
        <v>Panel Bailey</v>
      </c>
      <c r="C48" t="str">
        <f>IFERROR(VLOOKUP(A48,'DATA MASTER'!A:O,4,0)," ")</f>
        <v>42 DSR2-EW + TRESTLE</v>
      </c>
      <c r="D48" t="s">
        <v>138</v>
      </c>
      <c r="E48" t="s">
        <v>106</v>
      </c>
      <c r="F48" s="1">
        <v>8.8000000000000007</v>
      </c>
      <c r="G48" s="1">
        <v>24</v>
      </c>
      <c r="H48">
        <v>0.29399999999999998</v>
      </c>
      <c r="I48" s="16">
        <f>BNW[[#This Row],[Berat Satuan
(Kg)]]*BNW[[#This Row],[Qty
(Set)]]</f>
        <v>7.0559999999999992</v>
      </c>
      <c r="K48" s="1">
        <f>SUMIF(DATA_MASTER[NO. PON],BNW[[#This Row],[No.PON]],DATA_MASTER[Qty
(Unit)])</f>
        <v>1</v>
      </c>
      <c r="L48" s="16">
        <f>BNW[[#This Row],[TOTAL UNIT]]*BNW[[#This Row],[Total Berat Baut
(Kg)]]</f>
        <v>7.0559999999999992</v>
      </c>
      <c r="M48" s="9">
        <v>44960</v>
      </c>
      <c r="N48" t="s">
        <v>159</v>
      </c>
      <c r="O48" s="25"/>
    </row>
    <row r="49" spans="1:15" x14ac:dyDescent="0.3">
      <c r="A49" t="s">
        <v>129</v>
      </c>
      <c r="B49" t="str">
        <f>IFERROR(VLOOKUP(A49,'DATA MASTER'!A:O,2,0)," ")</f>
        <v>Panel Bailey</v>
      </c>
      <c r="C49" t="str">
        <f>IFERROR(VLOOKUP(A49,'DATA MASTER'!A:O,4,0)," ")</f>
        <v>42 DSR2-EW + TRESTLE</v>
      </c>
      <c r="D49" t="s">
        <v>139</v>
      </c>
      <c r="E49" t="s">
        <v>106</v>
      </c>
      <c r="F49" s="1">
        <v>8.8000000000000007</v>
      </c>
      <c r="G49" s="1">
        <v>14</v>
      </c>
      <c r="H49">
        <v>0.29399999999999998</v>
      </c>
      <c r="I49" s="16">
        <f>BNW[[#This Row],[Berat Satuan
(Kg)]]*BNW[[#This Row],[Qty
(Set)]]</f>
        <v>4.1159999999999997</v>
      </c>
      <c r="K49" s="1">
        <f>SUMIF(DATA_MASTER[NO. PON],BNW[[#This Row],[No.PON]],DATA_MASTER[Qty
(Unit)])</f>
        <v>1</v>
      </c>
      <c r="L49" s="16">
        <f>BNW[[#This Row],[TOTAL UNIT]]*BNW[[#This Row],[Total Berat Baut
(Kg)]]</f>
        <v>4.1159999999999997</v>
      </c>
      <c r="M49" s="9">
        <v>44960</v>
      </c>
      <c r="N49" t="s">
        <v>159</v>
      </c>
      <c r="O49" s="25"/>
    </row>
    <row r="50" spans="1:15" x14ac:dyDescent="0.3">
      <c r="A50" t="s">
        <v>129</v>
      </c>
      <c r="B50" t="str">
        <f>IFERROR(VLOOKUP(A50,'DATA MASTER'!A:O,2,0)," ")</f>
        <v>Panel Bailey</v>
      </c>
      <c r="C50" t="str">
        <f>IFERROR(VLOOKUP(A50,'DATA MASTER'!A:O,4,0)," ")</f>
        <v>42 DSR2-EW + TRESTLE</v>
      </c>
      <c r="D50" t="s">
        <v>140</v>
      </c>
      <c r="E50" t="s">
        <v>106</v>
      </c>
      <c r="F50" s="1">
        <v>8.8000000000000007</v>
      </c>
      <c r="G50" s="1">
        <v>224</v>
      </c>
      <c r="H50">
        <v>0.24399999999999999</v>
      </c>
      <c r="I50" s="16">
        <f>BNW[[#This Row],[Berat Satuan
(Kg)]]*BNW[[#This Row],[Qty
(Set)]]</f>
        <v>54.655999999999999</v>
      </c>
      <c r="K50" s="1">
        <f>SUMIF(DATA_MASTER[NO. PON],BNW[[#This Row],[No.PON]],DATA_MASTER[Qty
(Unit)])</f>
        <v>1</v>
      </c>
      <c r="L50" s="16">
        <f>BNW[[#This Row],[TOTAL UNIT]]*BNW[[#This Row],[Total Berat Baut
(Kg)]]</f>
        <v>54.655999999999999</v>
      </c>
      <c r="M50" s="9">
        <v>44960</v>
      </c>
      <c r="N50" t="s">
        <v>159</v>
      </c>
      <c r="O50" s="25"/>
    </row>
    <row r="51" spans="1:15" x14ac:dyDescent="0.3">
      <c r="A51" t="s">
        <v>129</v>
      </c>
      <c r="B51" t="str">
        <f>IFERROR(VLOOKUP(A51,'DATA MASTER'!A:O,2,0)," ")</f>
        <v>Panel Bailey</v>
      </c>
      <c r="C51" t="str">
        <f>IFERROR(VLOOKUP(A51,'DATA MASTER'!A:O,4,0)," ")</f>
        <v>42 DSR2-EW + TRESTLE</v>
      </c>
      <c r="D51" t="s">
        <v>141</v>
      </c>
      <c r="E51" t="s">
        <v>106</v>
      </c>
      <c r="F51" s="1">
        <v>8.8000000000000007</v>
      </c>
      <c r="G51" s="1">
        <v>16</v>
      </c>
      <c r="H51">
        <v>0.14000000000000001</v>
      </c>
      <c r="I51" s="16">
        <f>BNW[[#This Row],[Berat Satuan
(Kg)]]*BNW[[#This Row],[Qty
(Set)]]</f>
        <v>2.2400000000000002</v>
      </c>
      <c r="K51" s="1">
        <f>SUMIF(DATA_MASTER[NO. PON],BNW[[#This Row],[No.PON]],DATA_MASTER[Qty
(Unit)])</f>
        <v>1</v>
      </c>
      <c r="L51" s="16">
        <f>BNW[[#This Row],[TOTAL UNIT]]*BNW[[#This Row],[Total Berat Baut
(Kg)]]</f>
        <v>2.2400000000000002</v>
      </c>
      <c r="M51" s="9">
        <v>44960</v>
      </c>
      <c r="N51" t="s">
        <v>159</v>
      </c>
      <c r="O51" s="25"/>
    </row>
    <row r="52" spans="1:15" x14ac:dyDescent="0.3">
      <c r="A52" t="s">
        <v>129</v>
      </c>
      <c r="B52" t="str">
        <f>IFERROR(VLOOKUP(A52,'DATA MASTER'!A:O,2,0)," ")</f>
        <v>Panel Bailey</v>
      </c>
      <c r="C52" t="str">
        <f>IFERROR(VLOOKUP(A52,'DATA MASTER'!A:O,4,0)," ")</f>
        <v>42 DSR2-EW + TRESTLE</v>
      </c>
      <c r="D52" t="s">
        <v>142</v>
      </c>
      <c r="E52" t="s">
        <v>106</v>
      </c>
      <c r="F52" s="1">
        <v>8.8000000000000007</v>
      </c>
      <c r="G52" s="1">
        <v>112</v>
      </c>
      <c r="H52">
        <v>0.13600000000000001</v>
      </c>
      <c r="I52" s="16">
        <f>BNW[[#This Row],[Berat Satuan
(Kg)]]*BNW[[#This Row],[Qty
(Set)]]</f>
        <v>15.232000000000001</v>
      </c>
      <c r="K52" s="1">
        <f>SUMIF(DATA_MASTER[NO. PON],BNW[[#This Row],[No.PON]],DATA_MASTER[Qty
(Unit)])</f>
        <v>1</v>
      </c>
      <c r="L52" s="16">
        <f>BNW[[#This Row],[TOTAL UNIT]]*BNW[[#This Row],[Total Berat Baut
(Kg)]]</f>
        <v>15.232000000000001</v>
      </c>
      <c r="M52" s="9">
        <v>44960</v>
      </c>
      <c r="N52" t="s">
        <v>159</v>
      </c>
      <c r="O52" s="25"/>
    </row>
    <row r="53" spans="1:15" x14ac:dyDescent="0.3">
      <c r="A53" t="s">
        <v>129</v>
      </c>
      <c r="B53" t="str">
        <f>IFERROR(VLOOKUP(A53,'DATA MASTER'!A:O,2,0)," ")</f>
        <v>Panel Bailey</v>
      </c>
      <c r="C53" t="str">
        <f>IFERROR(VLOOKUP(A53,'DATA MASTER'!A:O,4,0)," ")</f>
        <v>42 DSR2-EW + TRESTLE</v>
      </c>
      <c r="D53" t="s">
        <v>160</v>
      </c>
      <c r="E53" t="s">
        <v>106</v>
      </c>
      <c r="F53" s="1">
        <v>8.8000000000000007</v>
      </c>
      <c r="G53" s="1">
        <v>13</v>
      </c>
      <c r="H53">
        <v>0.44000000000000006</v>
      </c>
      <c r="I53" s="16">
        <f>BNW[[#This Row],[Berat Satuan
(Kg)]]*BNW[[#This Row],[Qty
(Set)]]</f>
        <v>5.7200000000000006</v>
      </c>
      <c r="K53" s="1">
        <f>SUMIF(DATA_MASTER[NO. PON],BNW[[#This Row],[No.PON]],DATA_MASTER[Qty
(Unit)])</f>
        <v>1</v>
      </c>
      <c r="L53" s="16">
        <f>BNW[[#This Row],[TOTAL UNIT]]*BNW[[#This Row],[Total Berat Baut
(Kg)]]</f>
        <v>5.7200000000000006</v>
      </c>
      <c r="M53" s="9">
        <v>44966</v>
      </c>
      <c r="N53" t="s">
        <v>162</v>
      </c>
      <c r="O53" s="25"/>
    </row>
    <row r="54" spans="1:15" x14ac:dyDescent="0.3">
      <c r="A54" t="s">
        <v>129</v>
      </c>
      <c r="B54" t="str">
        <f>IFERROR(VLOOKUP(A54,'DATA MASTER'!A:O,2,0)," ")</f>
        <v>Panel Bailey</v>
      </c>
      <c r="C54" t="str">
        <f>IFERROR(VLOOKUP(A54,'DATA MASTER'!A:O,4,0)," ")</f>
        <v>42 DSR2-EW + TRESTLE</v>
      </c>
      <c r="D54" t="s">
        <v>81</v>
      </c>
      <c r="E54" t="s">
        <v>106</v>
      </c>
      <c r="F54" s="1">
        <v>8.8000000000000007</v>
      </c>
      <c r="G54" s="1">
        <v>75</v>
      </c>
      <c r="H54">
        <v>0.26400000000000001</v>
      </c>
      <c r="I54" s="16">
        <f>BNW[[#This Row],[Berat Satuan
(Kg)]]*BNW[[#This Row],[Qty
(Set)]]</f>
        <v>19.8</v>
      </c>
      <c r="K54" s="1">
        <f>SUMIF(DATA_MASTER[NO. PON],BNW[[#This Row],[No.PON]],DATA_MASTER[Qty
(Unit)])</f>
        <v>1</v>
      </c>
      <c r="L54" s="16">
        <f>BNW[[#This Row],[TOTAL UNIT]]*BNW[[#This Row],[Total Berat Baut
(Kg)]]</f>
        <v>19.8</v>
      </c>
      <c r="M54" s="9">
        <v>44966</v>
      </c>
      <c r="N54" t="s">
        <v>162</v>
      </c>
      <c r="O54" s="25"/>
    </row>
    <row r="55" spans="1:15" x14ac:dyDescent="0.3">
      <c r="A55" t="s">
        <v>129</v>
      </c>
      <c r="B55" t="str">
        <f>IFERROR(VLOOKUP(A55,'DATA MASTER'!A:O,2,0)," ")</f>
        <v>Panel Bailey</v>
      </c>
      <c r="C55" t="str">
        <f>IFERROR(VLOOKUP(A55,'DATA MASTER'!A:O,4,0)," ")</f>
        <v>42 DSR2-EW + TRESTLE</v>
      </c>
      <c r="D55" t="s">
        <v>82</v>
      </c>
      <c r="E55" t="s">
        <v>106</v>
      </c>
      <c r="F55" s="1">
        <v>8.8000000000000007</v>
      </c>
      <c r="G55" s="1">
        <v>38</v>
      </c>
      <c r="H55">
        <v>0.254</v>
      </c>
      <c r="I55" s="16">
        <f>BNW[[#This Row],[Berat Satuan
(Kg)]]*BNW[[#This Row],[Qty
(Set)]]</f>
        <v>9.652000000000001</v>
      </c>
      <c r="K55" s="1">
        <f>SUMIF(DATA_MASTER[NO. PON],BNW[[#This Row],[No.PON]],DATA_MASTER[Qty
(Unit)])</f>
        <v>1</v>
      </c>
      <c r="L55" s="16">
        <f>BNW[[#This Row],[TOTAL UNIT]]*BNW[[#This Row],[Total Berat Baut
(Kg)]]</f>
        <v>9.652000000000001</v>
      </c>
      <c r="M55" s="9">
        <v>44966</v>
      </c>
      <c r="N55" t="s">
        <v>162</v>
      </c>
      <c r="O55" s="25"/>
    </row>
    <row r="56" spans="1:15" x14ac:dyDescent="0.3">
      <c r="A56" t="s">
        <v>129</v>
      </c>
      <c r="B56" t="str">
        <f>IFERROR(VLOOKUP(A56,'DATA MASTER'!A:O,2,0)," ")</f>
        <v>Panel Bailey</v>
      </c>
      <c r="C56" t="str">
        <f>IFERROR(VLOOKUP(A56,'DATA MASTER'!A:O,4,0)," ")</f>
        <v>42 DSR2-EW + TRESTLE</v>
      </c>
      <c r="D56" t="s">
        <v>161</v>
      </c>
      <c r="E56" t="s">
        <v>106</v>
      </c>
      <c r="F56" s="1">
        <v>8.8000000000000007</v>
      </c>
      <c r="G56" s="1">
        <v>33</v>
      </c>
      <c r="H56">
        <v>0.13600000000000001</v>
      </c>
      <c r="I56" s="16">
        <f>BNW[[#This Row],[Berat Satuan
(Kg)]]*BNW[[#This Row],[Qty
(Set)]]</f>
        <v>4.4880000000000004</v>
      </c>
      <c r="K56" s="1">
        <f>SUMIF(DATA_MASTER[NO. PON],BNW[[#This Row],[No.PON]],DATA_MASTER[Qty
(Unit)])</f>
        <v>1</v>
      </c>
      <c r="L56" s="16">
        <f>BNW[[#This Row],[TOTAL UNIT]]*BNW[[#This Row],[Total Berat Baut
(Kg)]]</f>
        <v>4.4880000000000004</v>
      </c>
      <c r="M56" s="9">
        <v>44966</v>
      </c>
      <c r="N56" t="s">
        <v>162</v>
      </c>
      <c r="O56" s="25"/>
    </row>
    <row r="57" spans="1:15" x14ac:dyDescent="0.3">
      <c r="A57" t="s">
        <v>215</v>
      </c>
      <c r="B57" t="str">
        <f>IFERROR(VLOOKUP(A57,'DATA MASTER'!A:O,2,0)," ")</f>
        <v>Panel Bailey</v>
      </c>
      <c r="C57" t="str">
        <f>IFERROR(VLOOKUP(A57,'DATA MASTER'!A:O,4,0)," ")</f>
        <v>12 SSR-EW</v>
      </c>
      <c r="D57" t="s">
        <v>133</v>
      </c>
      <c r="E57" t="s">
        <v>106</v>
      </c>
      <c r="F57" s="1" t="s">
        <v>296</v>
      </c>
      <c r="G57" s="1">
        <v>64</v>
      </c>
      <c r="H57">
        <v>0.79</v>
      </c>
      <c r="I57" s="16">
        <f>BNW[[#This Row],[Berat Satuan
(Kg)]]*BNW[[#This Row],[Qty
(Set)]]</f>
        <v>50.56</v>
      </c>
      <c r="K57" s="1">
        <f>SUMIF(DATA_MASTER[NO. PON],BNW[[#This Row],[No.PON]],DATA_MASTER[Qty
(Unit)])</f>
        <v>2</v>
      </c>
      <c r="L57" s="16">
        <f>BNW[[#This Row],[TOTAL UNIT]]*BNW[[#This Row],[Total Berat Baut
(Kg)]]</f>
        <v>101.12</v>
      </c>
      <c r="N57"/>
      <c r="O57" s="16"/>
    </row>
    <row r="58" spans="1:15" x14ac:dyDescent="0.3">
      <c r="A58" t="s">
        <v>215</v>
      </c>
      <c r="B58" t="str">
        <f>IFERROR(VLOOKUP(A58,'DATA MASTER'!A:O,2,0)," ")</f>
        <v>Panel Bailey</v>
      </c>
      <c r="C58" t="str">
        <f>IFERROR(VLOOKUP(A58,'DATA MASTER'!A:O,4,0)," ")</f>
        <v>12 SSR-EW</v>
      </c>
      <c r="D58" t="s">
        <v>134</v>
      </c>
      <c r="E58" t="s">
        <v>106</v>
      </c>
      <c r="F58" s="1">
        <v>8.8000000000000007</v>
      </c>
      <c r="G58" s="1">
        <v>4</v>
      </c>
      <c r="H58">
        <v>0.46</v>
      </c>
      <c r="I58" s="16">
        <f>BNW[[#This Row],[Berat Satuan
(Kg)]]*BNW[[#This Row],[Qty
(Set)]]</f>
        <v>1.84</v>
      </c>
      <c r="K58" s="1">
        <f>SUMIF(DATA_MASTER[NO. PON],BNW[[#This Row],[No.PON]],DATA_MASTER[Qty
(Unit)])</f>
        <v>2</v>
      </c>
      <c r="L58" s="16">
        <f>BNW[[#This Row],[TOTAL UNIT]]*BNW[[#This Row],[Total Berat Baut
(Kg)]]</f>
        <v>3.68</v>
      </c>
      <c r="N58"/>
      <c r="O58" s="25"/>
    </row>
    <row r="59" spans="1:15" x14ac:dyDescent="0.3">
      <c r="A59" t="s">
        <v>215</v>
      </c>
      <c r="B59" t="str">
        <f>IFERROR(VLOOKUP(A59,'DATA MASTER'!A:O,2,0)," ")</f>
        <v>Panel Bailey</v>
      </c>
      <c r="C59" t="str">
        <f>IFERROR(VLOOKUP(A59,'DATA MASTER'!A:O,4,0)," ")</f>
        <v>12 SSR-EW</v>
      </c>
      <c r="D59" t="s">
        <v>135</v>
      </c>
      <c r="E59" t="s">
        <v>106</v>
      </c>
      <c r="F59" s="1">
        <v>8.8000000000000007</v>
      </c>
      <c r="G59" s="1">
        <v>32</v>
      </c>
      <c r="H59">
        <v>0.43</v>
      </c>
      <c r="I59" s="16">
        <f>BNW[[#This Row],[Berat Satuan
(Kg)]]*BNW[[#This Row],[Qty
(Set)]]</f>
        <v>13.76</v>
      </c>
      <c r="K59" s="1">
        <f>SUMIF(DATA_MASTER[NO. PON],BNW[[#This Row],[No.PON]],DATA_MASTER[Qty
(Unit)])</f>
        <v>2</v>
      </c>
      <c r="L59" s="16">
        <f>BNW[[#This Row],[TOTAL UNIT]]*BNW[[#This Row],[Total Berat Baut
(Kg)]]</f>
        <v>27.52</v>
      </c>
      <c r="N59"/>
      <c r="O59" s="25"/>
    </row>
    <row r="60" spans="1:15" x14ac:dyDescent="0.3">
      <c r="A60" t="s">
        <v>215</v>
      </c>
      <c r="B60" t="str">
        <f>IFERROR(VLOOKUP(A60,'DATA MASTER'!A:O,2,0)," ")</f>
        <v>Panel Bailey</v>
      </c>
      <c r="C60" t="str">
        <f>IFERROR(VLOOKUP(A60,'DATA MASTER'!A:O,4,0)," ")</f>
        <v>12 SSR-EW</v>
      </c>
      <c r="D60" t="s">
        <v>136</v>
      </c>
      <c r="E60" t="s">
        <v>106</v>
      </c>
      <c r="F60" s="1">
        <v>8.8000000000000007</v>
      </c>
      <c r="G60" s="1">
        <v>24</v>
      </c>
      <c r="H60">
        <v>0.41</v>
      </c>
      <c r="I60" s="16">
        <f>BNW[[#This Row],[Berat Satuan
(Kg)]]*BNW[[#This Row],[Qty
(Set)]]</f>
        <v>9.84</v>
      </c>
      <c r="K60" s="1">
        <f>SUMIF(DATA_MASTER[NO. PON],BNW[[#This Row],[No.PON]],DATA_MASTER[Qty
(Unit)])</f>
        <v>2</v>
      </c>
      <c r="L60" s="16">
        <f>BNW[[#This Row],[TOTAL UNIT]]*BNW[[#This Row],[Total Berat Baut
(Kg)]]</f>
        <v>19.68</v>
      </c>
      <c r="N60"/>
      <c r="O60" s="25"/>
    </row>
    <row r="61" spans="1:15" x14ac:dyDescent="0.3">
      <c r="A61" t="s">
        <v>215</v>
      </c>
      <c r="B61" t="str">
        <f>IFERROR(VLOOKUP(A61,'DATA MASTER'!A:O,2,0)," ")</f>
        <v>Panel Bailey</v>
      </c>
      <c r="C61" t="str">
        <f>IFERROR(VLOOKUP(A61,'DATA MASTER'!A:O,4,0)," ")</f>
        <v>12 SSR-EW</v>
      </c>
      <c r="D61" t="s">
        <v>137</v>
      </c>
      <c r="E61" t="s">
        <v>106</v>
      </c>
      <c r="F61" s="1">
        <v>8.8000000000000007</v>
      </c>
      <c r="G61" s="1">
        <v>80</v>
      </c>
      <c r="H61">
        <v>0.47399999999999998</v>
      </c>
      <c r="I61" s="16">
        <f>BNW[[#This Row],[Berat Satuan
(Kg)]]*BNW[[#This Row],[Qty
(Set)]]</f>
        <v>37.92</v>
      </c>
      <c r="K61" s="1">
        <f>SUMIF(DATA_MASTER[NO. PON],BNW[[#This Row],[No.PON]],DATA_MASTER[Qty
(Unit)])</f>
        <v>2</v>
      </c>
      <c r="L61" s="16">
        <f>BNW[[#This Row],[TOTAL UNIT]]*BNW[[#This Row],[Total Berat Baut
(Kg)]]</f>
        <v>75.84</v>
      </c>
      <c r="N61"/>
      <c r="O61" s="25"/>
    </row>
    <row r="62" spans="1:15" x14ac:dyDescent="0.3">
      <c r="A62" t="s">
        <v>215</v>
      </c>
      <c r="B62" t="str">
        <f>IFERROR(VLOOKUP(A62,'DATA MASTER'!A:O,2,0)," ")</f>
        <v>Panel Bailey</v>
      </c>
      <c r="C62" t="str">
        <f>IFERROR(VLOOKUP(A62,'DATA MASTER'!A:O,4,0)," ")</f>
        <v>12 SSR-EW</v>
      </c>
      <c r="D62" t="s">
        <v>294</v>
      </c>
      <c r="E62" t="s">
        <v>106</v>
      </c>
      <c r="F62" s="1">
        <v>8.8000000000000007</v>
      </c>
      <c r="G62" s="1">
        <v>10</v>
      </c>
      <c r="H62">
        <v>0.35400000000000004</v>
      </c>
      <c r="I62" s="16">
        <f>BNW[[#This Row],[Berat Satuan
(Kg)]]*BNW[[#This Row],[Qty
(Set)]]</f>
        <v>3.5400000000000005</v>
      </c>
      <c r="K62" s="1">
        <f>SUMIF(DATA_MASTER[NO. PON],BNW[[#This Row],[No.PON]],DATA_MASTER[Qty
(Unit)])</f>
        <v>2</v>
      </c>
      <c r="L62" s="16">
        <f>BNW[[#This Row],[TOTAL UNIT]]*BNW[[#This Row],[Total Berat Baut
(Kg)]]</f>
        <v>7.080000000000001</v>
      </c>
      <c r="N62"/>
      <c r="O62" s="25"/>
    </row>
    <row r="63" spans="1:15" x14ac:dyDescent="0.3">
      <c r="A63" t="s">
        <v>215</v>
      </c>
      <c r="B63" t="str">
        <f>IFERROR(VLOOKUP(A63,'DATA MASTER'!A:O,2,0)," ")</f>
        <v>Panel Bailey</v>
      </c>
      <c r="C63" t="str">
        <f>IFERROR(VLOOKUP(A63,'DATA MASTER'!A:O,4,0)," ")</f>
        <v>12 SSR-EW</v>
      </c>
      <c r="D63" t="s">
        <v>295</v>
      </c>
      <c r="E63" t="s">
        <v>106</v>
      </c>
      <c r="F63" s="1">
        <v>8.8000000000000007</v>
      </c>
      <c r="G63" s="1">
        <v>10</v>
      </c>
      <c r="H63">
        <v>0.33400000000000002</v>
      </c>
      <c r="I63" s="16">
        <f>BNW[[#This Row],[Berat Satuan
(Kg)]]*BNW[[#This Row],[Qty
(Set)]]</f>
        <v>3.3400000000000003</v>
      </c>
      <c r="K63" s="1">
        <f>SUMIF(DATA_MASTER[NO. PON],BNW[[#This Row],[No.PON]],DATA_MASTER[Qty
(Unit)])</f>
        <v>2</v>
      </c>
      <c r="L63" s="16">
        <f>BNW[[#This Row],[TOTAL UNIT]]*BNW[[#This Row],[Total Berat Baut
(Kg)]]</f>
        <v>6.6800000000000006</v>
      </c>
      <c r="N63"/>
      <c r="O63" s="25"/>
    </row>
    <row r="64" spans="1:15" x14ac:dyDescent="0.3">
      <c r="A64" t="s">
        <v>215</v>
      </c>
      <c r="B64" t="str">
        <f>IFERROR(VLOOKUP(A64,'DATA MASTER'!A:O,2,0)," ")</f>
        <v>Panel Bailey</v>
      </c>
      <c r="C64" t="str">
        <f>IFERROR(VLOOKUP(A64,'DATA MASTER'!A:O,4,0)," ")</f>
        <v>12 SSR-EW</v>
      </c>
      <c r="D64" t="s">
        <v>138</v>
      </c>
      <c r="E64" t="s">
        <v>106</v>
      </c>
      <c r="F64" s="1">
        <v>8.8000000000000007</v>
      </c>
      <c r="G64" s="1">
        <v>16</v>
      </c>
      <c r="H64">
        <v>0.29399999999999998</v>
      </c>
      <c r="I64" s="16">
        <f>BNW[[#This Row],[Berat Satuan
(Kg)]]*BNW[[#This Row],[Qty
(Set)]]</f>
        <v>4.7039999999999997</v>
      </c>
      <c r="K64" s="1">
        <f>SUMIF(DATA_MASTER[NO. PON],BNW[[#This Row],[No.PON]],DATA_MASTER[Qty
(Unit)])</f>
        <v>2</v>
      </c>
      <c r="L64" s="16">
        <f>BNW[[#This Row],[TOTAL UNIT]]*BNW[[#This Row],[Total Berat Baut
(Kg)]]</f>
        <v>9.4079999999999995</v>
      </c>
      <c r="N64"/>
      <c r="O64" s="25"/>
    </row>
    <row r="65" spans="1:15" x14ac:dyDescent="0.3">
      <c r="A65" t="s">
        <v>215</v>
      </c>
      <c r="B65" t="str">
        <f>IFERROR(VLOOKUP(A65,'DATA MASTER'!A:O,2,0)," ")</f>
        <v>Panel Bailey</v>
      </c>
      <c r="C65" t="str">
        <f>IFERROR(VLOOKUP(A65,'DATA MASTER'!A:O,4,0)," ")</f>
        <v>12 SSR-EW</v>
      </c>
      <c r="D65" t="s">
        <v>139</v>
      </c>
      <c r="E65" t="s">
        <v>106</v>
      </c>
      <c r="F65" s="1">
        <v>8.8000000000000007</v>
      </c>
      <c r="G65" s="1">
        <v>4</v>
      </c>
      <c r="H65">
        <v>0.29399999999999998</v>
      </c>
      <c r="I65" s="16">
        <f>BNW[[#This Row],[Berat Satuan
(Kg)]]*BNW[[#This Row],[Qty
(Set)]]</f>
        <v>1.1759999999999999</v>
      </c>
      <c r="K65" s="1">
        <f>SUMIF(DATA_MASTER[NO. PON],BNW[[#This Row],[No.PON]],DATA_MASTER[Qty
(Unit)])</f>
        <v>2</v>
      </c>
      <c r="L65" s="16">
        <f>BNW[[#This Row],[TOTAL UNIT]]*BNW[[#This Row],[Total Berat Baut
(Kg)]]</f>
        <v>2.3519999999999999</v>
      </c>
      <c r="N65"/>
      <c r="O65" s="25"/>
    </row>
    <row r="66" spans="1:15" x14ac:dyDescent="0.3">
      <c r="A66" t="s">
        <v>215</v>
      </c>
      <c r="B66" t="str">
        <f>IFERROR(VLOOKUP(A66,'DATA MASTER'!A:O,2,0)," ")</f>
        <v>Panel Bailey</v>
      </c>
      <c r="C66" t="str">
        <f>IFERROR(VLOOKUP(A66,'DATA MASTER'!A:O,4,0)," ")</f>
        <v>12 SSR-EW</v>
      </c>
      <c r="D66" t="s">
        <v>140</v>
      </c>
      <c r="E66" t="s">
        <v>106</v>
      </c>
      <c r="F66" s="1">
        <v>8.8000000000000007</v>
      </c>
      <c r="G66" s="1">
        <v>32</v>
      </c>
      <c r="H66">
        <v>0.24399999999999999</v>
      </c>
      <c r="I66" s="16">
        <f>BNW[[#This Row],[Berat Satuan
(Kg)]]*BNW[[#This Row],[Qty
(Set)]]</f>
        <v>7.8079999999999998</v>
      </c>
      <c r="K66" s="1">
        <f>SUMIF(DATA_MASTER[NO. PON],BNW[[#This Row],[No.PON]],DATA_MASTER[Qty
(Unit)])</f>
        <v>2</v>
      </c>
      <c r="L66" s="16">
        <f>BNW[[#This Row],[TOTAL UNIT]]*BNW[[#This Row],[Total Berat Baut
(Kg)]]</f>
        <v>15.616</v>
      </c>
      <c r="N66"/>
      <c r="O66" s="25"/>
    </row>
    <row r="67" spans="1:15" x14ac:dyDescent="0.3">
      <c r="A67" t="s">
        <v>215</v>
      </c>
      <c r="B67" t="str">
        <f>IFERROR(VLOOKUP(A67,'DATA MASTER'!A:O,2,0)," ")</f>
        <v>Panel Bailey</v>
      </c>
      <c r="C67" t="str">
        <f>IFERROR(VLOOKUP(A67,'DATA MASTER'!A:O,4,0)," ")</f>
        <v>12 SSR-EW</v>
      </c>
      <c r="D67" t="s">
        <v>141</v>
      </c>
      <c r="E67" t="s">
        <v>106</v>
      </c>
      <c r="F67" s="1">
        <v>8.8000000000000007</v>
      </c>
      <c r="G67" s="1">
        <v>8</v>
      </c>
      <c r="H67">
        <v>0.13600000000000001</v>
      </c>
      <c r="I67" s="16">
        <f>BNW[[#This Row],[Berat Satuan
(Kg)]]*BNW[[#This Row],[Qty
(Set)]]</f>
        <v>1.0880000000000001</v>
      </c>
      <c r="K67" s="1">
        <f>SUMIF(DATA_MASTER[NO. PON],BNW[[#This Row],[No.PON]],DATA_MASTER[Qty
(Unit)])</f>
        <v>2</v>
      </c>
      <c r="L67" s="16">
        <f>BNW[[#This Row],[TOTAL UNIT]]*BNW[[#This Row],[Total Berat Baut
(Kg)]]</f>
        <v>2.1760000000000002</v>
      </c>
      <c r="N67"/>
      <c r="O67" s="25"/>
    </row>
    <row r="68" spans="1:15" x14ac:dyDescent="0.3">
      <c r="A68" t="s">
        <v>215</v>
      </c>
      <c r="B68" t="str">
        <f>IFERROR(VLOOKUP(A68,'DATA MASTER'!A:O,2,0)," ")</f>
        <v>Panel Bailey</v>
      </c>
      <c r="C68" t="str">
        <f>IFERROR(VLOOKUP(A68,'DATA MASTER'!A:O,4,0)," ")</f>
        <v>12 SSR-EW</v>
      </c>
      <c r="D68" t="s">
        <v>142</v>
      </c>
      <c r="E68" t="s">
        <v>106</v>
      </c>
      <c r="F68" s="1">
        <v>8.8000000000000007</v>
      </c>
      <c r="G68" s="1">
        <v>32</v>
      </c>
      <c r="H68">
        <v>0.13600000000000001</v>
      </c>
      <c r="I68" s="16">
        <f>BNW[[#This Row],[Berat Satuan
(Kg)]]*BNW[[#This Row],[Qty
(Set)]]</f>
        <v>4.3520000000000003</v>
      </c>
      <c r="K68" s="1">
        <f>SUMIF(DATA_MASTER[NO. PON],BNW[[#This Row],[No.PON]],DATA_MASTER[Qty
(Unit)])</f>
        <v>2</v>
      </c>
      <c r="L68" s="16">
        <f>BNW[[#This Row],[TOTAL UNIT]]*BNW[[#This Row],[Total Berat Baut
(Kg)]]</f>
        <v>8.7040000000000006</v>
      </c>
      <c r="N68"/>
      <c r="O68" s="25"/>
    </row>
    <row r="69" spans="1:15" x14ac:dyDescent="0.3">
      <c r="A69" t="s">
        <v>216</v>
      </c>
      <c r="B69" t="str">
        <f>IFERROR(VLOOKUP(A69,'DATA MASTER'!A:O,2,0)," ")</f>
        <v>Panel Bailey</v>
      </c>
      <c r="C69" t="str">
        <f>IFERROR(VLOOKUP(A69,'DATA MASTER'!A:O,4,0)," ")</f>
        <v>15 SSR-EW</v>
      </c>
      <c r="D69" t="s">
        <v>133</v>
      </c>
      <c r="E69" t="s">
        <v>106</v>
      </c>
      <c r="F69" s="1" t="s">
        <v>296</v>
      </c>
      <c r="G69" s="1">
        <v>80</v>
      </c>
      <c r="H69">
        <v>0.79</v>
      </c>
      <c r="I69" s="16">
        <f>BNW[[#This Row],[Berat Satuan
(Kg)]]*BNW[[#This Row],[Qty
(Set)]]</f>
        <v>63.2</v>
      </c>
      <c r="K69" s="1">
        <f>SUMIF(DATA_MASTER[NO. PON],BNW[[#This Row],[No.PON]],DATA_MASTER[Qty
(Unit)])</f>
        <v>3</v>
      </c>
      <c r="L69" s="16">
        <f>BNW[[#This Row],[TOTAL UNIT]]*BNW[[#This Row],[Total Berat Baut
(Kg)]]</f>
        <v>189.60000000000002</v>
      </c>
      <c r="N69"/>
      <c r="O69" s="25"/>
    </row>
    <row r="70" spans="1:15" x14ac:dyDescent="0.3">
      <c r="A70" t="s">
        <v>216</v>
      </c>
      <c r="B70" t="str">
        <f>IFERROR(VLOOKUP(A70,'DATA MASTER'!A:O,2,0)," ")</f>
        <v>Panel Bailey</v>
      </c>
      <c r="C70" t="str">
        <f>IFERROR(VLOOKUP(A70,'DATA MASTER'!A:O,4,0)," ")</f>
        <v>15 SSR-EW</v>
      </c>
      <c r="D70" t="s">
        <v>134</v>
      </c>
      <c r="E70" t="s">
        <v>106</v>
      </c>
      <c r="F70" s="1">
        <v>8.8000000000000007</v>
      </c>
      <c r="G70" s="1">
        <v>5</v>
      </c>
      <c r="H70">
        <v>0.46</v>
      </c>
      <c r="I70" s="16">
        <f>BNW[[#This Row],[Berat Satuan
(Kg)]]*BNW[[#This Row],[Qty
(Set)]]</f>
        <v>2.3000000000000003</v>
      </c>
      <c r="K70" s="1">
        <f>SUMIF(DATA_MASTER[NO. PON],BNW[[#This Row],[No.PON]],DATA_MASTER[Qty
(Unit)])</f>
        <v>3</v>
      </c>
      <c r="L70" s="16">
        <f>BNW[[#This Row],[TOTAL UNIT]]*BNW[[#This Row],[Total Berat Baut
(Kg)]]</f>
        <v>6.9</v>
      </c>
      <c r="N70"/>
      <c r="O70" s="25"/>
    </row>
    <row r="71" spans="1:15" x14ac:dyDescent="0.3">
      <c r="A71" t="s">
        <v>216</v>
      </c>
      <c r="B71" t="str">
        <f>IFERROR(VLOOKUP(A71,'DATA MASTER'!A:O,2,0)," ")</f>
        <v>Panel Bailey</v>
      </c>
      <c r="C71" t="str">
        <f>IFERROR(VLOOKUP(A71,'DATA MASTER'!A:O,4,0)," ")</f>
        <v>15 SSR-EW</v>
      </c>
      <c r="D71" t="s">
        <v>135</v>
      </c>
      <c r="E71" t="s">
        <v>106</v>
      </c>
      <c r="F71" s="1">
        <v>8.8000000000000007</v>
      </c>
      <c r="G71" s="1">
        <v>40</v>
      </c>
      <c r="H71">
        <v>0.43</v>
      </c>
      <c r="I71" s="16">
        <f>BNW[[#This Row],[Berat Satuan
(Kg)]]*BNW[[#This Row],[Qty
(Set)]]</f>
        <v>17.2</v>
      </c>
      <c r="K71" s="1">
        <f>SUMIF(DATA_MASTER[NO. PON],BNW[[#This Row],[No.PON]],DATA_MASTER[Qty
(Unit)])</f>
        <v>3</v>
      </c>
      <c r="L71" s="16">
        <f>BNW[[#This Row],[TOTAL UNIT]]*BNW[[#This Row],[Total Berat Baut
(Kg)]]</f>
        <v>51.599999999999994</v>
      </c>
      <c r="N71"/>
      <c r="O71" s="25"/>
    </row>
    <row r="72" spans="1:15" x14ac:dyDescent="0.3">
      <c r="A72" t="s">
        <v>216</v>
      </c>
      <c r="B72" t="str">
        <f>IFERROR(VLOOKUP(A72,'DATA MASTER'!A:O,2,0)," ")</f>
        <v>Panel Bailey</v>
      </c>
      <c r="C72" t="str">
        <f>IFERROR(VLOOKUP(A72,'DATA MASTER'!A:O,4,0)," ")</f>
        <v>15 SSR-EW</v>
      </c>
      <c r="D72" t="s">
        <v>136</v>
      </c>
      <c r="E72" t="s">
        <v>106</v>
      </c>
      <c r="F72" s="1">
        <v>8.8000000000000007</v>
      </c>
      <c r="G72" s="1">
        <v>28</v>
      </c>
      <c r="H72">
        <v>0.41</v>
      </c>
      <c r="I72" s="16">
        <f>BNW[[#This Row],[Berat Satuan
(Kg)]]*BNW[[#This Row],[Qty
(Set)]]</f>
        <v>11.479999999999999</v>
      </c>
      <c r="K72" s="1">
        <f>SUMIF(DATA_MASTER[NO. PON],BNW[[#This Row],[No.PON]],DATA_MASTER[Qty
(Unit)])</f>
        <v>3</v>
      </c>
      <c r="L72" s="16">
        <f>BNW[[#This Row],[TOTAL UNIT]]*BNW[[#This Row],[Total Berat Baut
(Kg)]]</f>
        <v>34.44</v>
      </c>
      <c r="N72"/>
      <c r="O72" s="25"/>
    </row>
    <row r="73" spans="1:15" x14ac:dyDescent="0.3">
      <c r="A73" t="s">
        <v>216</v>
      </c>
      <c r="B73" t="str">
        <f>IFERROR(VLOOKUP(A73,'DATA MASTER'!A:O,2,0)," ")</f>
        <v>Panel Bailey</v>
      </c>
      <c r="C73" t="str">
        <f>IFERROR(VLOOKUP(A73,'DATA MASTER'!A:O,4,0)," ")</f>
        <v>15 SSR-EW</v>
      </c>
      <c r="D73" t="s">
        <v>137</v>
      </c>
      <c r="E73" t="s">
        <v>106</v>
      </c>
      <c r="F73" s="1">
        <v>8.8000000000000007</v>
      </c>
      <c r="G73" s="1">
        <v>96</v>
      </c>
      <c r="H73">
        <v>0.47399999999999998</v>
      </c>
      <c r="I73" s="16">
        <f>BNW[[#This Row],[Berat Satuan
(Kg)]]*BNW[[#This Row],[Qty
(Set)]]</f>
        <v>45.503999999999998</v>
      </c>
      <c r="K73" s="1">
        <f>SUMIF(DATA_MASTER[NO. PON],BNW[[#This Row],[No.PON]],DATA_MASTER[Qty
(Unit)])</f>
        <v>3</v>
      </c>
      <c r="L73" s="16">
        <f>BNW[[#This Row],[TOTAL UNIT]]*BNW[[#This Row],[Total Berat Baut
(Kg)]]</f>
        <v>136.512</v>
      </c>
      <c r="N73"/>
      <c r="O73" s="25"/>
    </row>
    <row r="74" spans="1:15" x14ac:dyDescent="0.3">
      <c r="A74" t="s">
        <v>216</v>
      </c>
      <c r="B74" t="str">
        <f>IFERROR(VLOOKUP(A74,'DATA MASTER'!A:O,2,0)," ")</f>
        <v>Panel Bailey</v>
      </c>
      <c r="C74" t="str">
        <f>IFERROR(VLOOKUP(A74,'DATA MASTER'!A:O,4,0)," ")</f>
        <v>15 SSR-EW</v>
      </c>
      <c r="D74" t="s">
        <v>294</v>
      </c>
      <c r="E74" t="s">
        <v>106</v>
      </c>
      <c r="F74" s="1">
        <v>8.8000000000000007</v>
      </c>
      <c r="G74" s="1">
        <v>12</v>
      </c>
      <c r="H74">
        <v>0.35400000000000004</v>
      </c>
      <c r="I74" s="16">
        <f>BNW[[#This Row],[Berat Satuan
(Kg)]]*BNW[[#This Row],[Qty
(Set)]]</f>
        <v>4.2480000000000002</v>
      </c>
      <c r="K74" s="1">
        <f>SUMIF(DATA_MASTER[NO. PON],BNW[[#This Row],[No.PON]],DATA_MASTER[Qty
(Unit)])</f>
        <v>3</v>
      </c>
      <c r="L74" s="16">
        <f>BNW[[#This Row],[TOTAL UNIT]]*BNW[[#This Row],[Total Berat Baut
(Kg)]]</f>
        <v>12.744</v>
      </c>
      <c r="N74"/>
      <c r="O74" s="25"/>
    </row>
    <row r="75" spans="1:15" x14ac:dyDescent="0.3">
      <c r="A75" t="s">
        <v>216</v>
      </c>
      <c r="B75" t="str">
        <f>IFERROR(VLOOKUP(A75,'DATA MASTER'!A:O,2,0)," ")</f>
        <v>Panel Bailey</v>
      </c>
      <c r="C75" t="str">
        <f>IFERROR(VLOOKUP(A75,'DATA MASTER'!A:O,4,0)," ")</f>
        <v>15 SSR-EW</v>
      </c>
      <c r="D75" t="s">
        <v>295</v>
      </c>
      <c r="E75" t="s">
        <v>106</v>
      </c>
      <c r="F75" s="1">
        <v>8.8000000000000007</v>
      </c>
      <c r="G75" s="1">
        <v>12</v>
      </c>
      <c r="H75">
        <v>0.33400000000000002</v>
      </c>
      <c r="I75" s="16">
        <f>BNW[[#This Row],[Berat Satuan
(Kg)]]*BNW[[#This Row],[Qty
(Set)]]</f>
        <v>4.008</v>
      </c>
      <c r="K75" s="1">
        <f>SUMIF(DATA_MASTER[NO. PON],BNW[[#This Row],[No.PON]],DATA_MASTER[Qty
(Unit)])</f>
        <v>3</v>
      </c>
      <c r="L75" s="16">
        <f>BNW[[#This Row],[TOTAL UNIT]]*BNW[[#This Row],[Total Berat Baut
(Kg)]]</f>
        <v>12.024000000000001</v>
      </c>
      <c r="N75"/>
      <c r="O75" s="25"/>
    </row>
    <row r="76" spans="1:15" x14ac:dyDescent="0.3">
      <c r="A76" t="s">
        <v>216</v>
      </c>
      <c r="B76" t="str">
        <f>IFERROR(VLOOKUP(A76,'DATA MASTER'!A:O,2,0)," ")</f>
        <v>Panel Bailey</v>
      </c>
      <c r="C76" t="str">
        <f>IFERROR(VLOOKUP(A76,'DATA MASTER'!A:O,4,0)," ")</f>
        <v>15 SSR-EW</v>
      </c>
      <c r="D76" t="s">
        <v>138</v>
      </c>
      <c r="E76" t="s">
        <v>106</v>
      </c>
      <c r="F76" s="1">
        <v>8.8000000000000007</v>
      </c>
      <c r="G76" s="1">
        <v>16</v>
      </c>
      <c r="H76">
        <v>0.29399999999999998</v>
      </c>
      <c r="I76" s="16">
        <f>BNW[[#This Row],[Berat Satuan
(Kg)]]*BNW[[#This Row],[Qty
(Set)]]</f>
        <v>4.7039999999999997</v>
      </c>
      <c r="K76" s="1">
        <f>SUMIF(DATA_MASTER[NO. PON],BNW[[#This Row],[No.PON]],DATA_MASTER[Qty
(Unit)])</f>
        <v>3</v>
      </c>
      <c r="L76" s="16">
        <f>BNW[[#This Row],[TOTAL UNIT]]*BNW[[#This Row],[Total Berat Baut
(Kg)]]</f>
        <v>14.111999999999998</v>
      </c>
      <c r="N76"/>
      <c r="O76" s="25"/>
    </row>
    <row r="77" spans="1:15" x14ac:dyDescent="0.3">
      <c r="A77" t="s">
        <v>216</v>
      </c>
      <c r="B77" t="str">
        <f>IFERROR(VLOOKUP(A77,'DATA MASTER'!A:O,2,0)," ")</f>
        <v>Panel Bailey</v>
      </c>
      <c r="C77" t="str">
        <f>IFERROR(VLOOKUP(A77,'DATA MASTER'!A:O,4,0)," ")</f>
        <v>15 SSR-EW</v>
      </c>
      <c r="D77" t="s">
        <v>139</v>
      </c>
      <c r="E77" t="s">
        <v>106</v>
      </c>
      <c r="F77" s="1">
        <v>8.8000000000000007</v>
      </c>
      <c r="G77" s="1">
        <v>5</v>
      </c>
      <c r="H77">
        <v>0.29399999999999998</v>
      </c>
      <c r="I77" s="16">
        <f>BNW[[#This Row],[Berat Satuan
(Kg)]]*BNW[[#This Row],[Qty
(Set)]]</f>
        <v>1.47</v>
      </c>
      <c r="K77" s="1">
        <f>SUMIF(DATA_MASTER[NO. PON],BNW[[#This Row],[No.PON]],DATA_MASTER[Qty
(Unit)])</f>
        <v>3</v>
      </c>
      <c r="L77" s="16">
        <f>BNW[[#This Row],[TOTAL UNIT]]*BNW[[#This Row],[Total Berat Baut
(Kg)]]</f>
        <v>4.41</v>
      </c>
      <c r="N77"/>
      <c r="O77" s="25"/>
    </row>
    <row r="78" spans="1:15" x14ac:dyDescent="0.3">
      <c r="A78" t="s">
        <v>216</v>
      </c>
      <c r="B78" t="str">
        <f>IFERROR(VLOOKUP(A78,'DATA MASTER'!A:O,2,0)," ")</f>
        <v>Panel Bailey</v>
      </c>
      <c r="C78" t="str">
        <f>IFERROR(VLOOKUP(A78,'DATA MASTER'!A:O,4,0)," ")</f>
        <v>15 SSR-EW</v>
      </c>
      <c r="D78" t="s">
        <v>140</v>
      </c>
      <c r="E78" t="s">
        <v>106</v>
      </c>
      <c r="F78" s="1">
        <v>8.8000000000000007</v>
      </c>
      <c r="G78" s="1">
        <v>40</v>
      </c>
      <c r="H78">
        <v>0.24399999999999999</v>
      </c>
      <c r="I78" s="16">
        <f>BNW[[#This Row],[Berat Satuan
(Kg)]]*BNW[[#This Row],[Qty
(Set)]]</f>
        <v>9.76</v>
      </c>
      <c r="K78" s="1">
        <f>SUMIF(DATA_MASTER[NO. PON],BNW[[#This Row],[No.PON]],DATA_MASTER[Qty
(Unit)])</f>
        <v>3</v>
      </c>
      <c r="L78" s="16">
        <f>BNW[[#This Row],[TOTAL UNIT]]*BNW[[#This Row],[Total Berat Baut
(Kg)]]</f>
        <v>29.28</v>
      </c>
      <c r="N78"/>
      <c r="O78" s="25"/>
    </row>
    <row r="79" spans="1:15" x14ac:dyDescent="0.3">
      <c r="A79" t="s">
        <v>216</v>
      </c>
      <c r="B79" t="str">
        <f>IFERROR(VLOOKUP(A79,'DATA MASTER'!A:O,2,0)," ")</f>
        <v>Panel Bailey</v>
      </c>
      <c r="C79" t="str">
        <f>IFERROR(VLOOKUP(A79,'DATA MASTER'!A:O,4,0)," ")</f>
        <v>15 SSR-EW</v>
      </c>
      <c r="D79" t="s">
        <v>141</v>
      </c>
      <c r="E79" t="s">
        <v>106</v>
      </c>
      <c r="F79" s="1">
        <v>8.8000000000000007</v>
      </c>
      <c r="G79" s="1">
        <v>8</v>
      </c>
      <c r="H79">
        <v>0.13600000000000001</v>
      </c>
      <c r="I79" s="16">
        <f>BNW[[#This Row],[Berat Satuan
(Kg)]]*BNW[[#This Row],[Qty
(Set)]]</f>
        <v>1.0880000000000001</v>
      </c>
      <c r="K79" s="1">
        <f>SUMIF(DATA_MASTER[NO. PON],BNW[[#This Row],[No.PON]],DATA_MASTER[Qty
(Unit)])</f>
        <v>3</v>
      </c>
      <c r="L79" s="16">
        <f>BNW[[#This Row],[TOTAL UNIT]]*BNW[[#This Row],[Total Berat Baut
(Kg)]]</f>
        <v>3.2640000000000002</v>
      </c>
      <c r="N79"/>
      <c r="O79" s="25"/>
    </row>
    <row r="80" spans="1:15" x14ac:dyDescent="0.3">
      <c r="A80" t="s">
        <v>216</v>
      </c>
      <c r="B80" t="str">
        <f>IFERROR(VLOOKUP(A80,'DATA MASTER'!A:O,2,0)," ")</f>
        <v>Panel Bailey</v>
      </c>
      <c r="C80" t="str">
        <f>IFERROR(VLOOKUP(A80,'DATA MASTER'!A:O,4,0)," ")</f>
        <v>15 SSR-EW</v>
      </c>
      <c r="D80" t="s">
        <v>142</v>
      </c>
      <c r="E80" t="s">
        <v>106</v>
      </c>
      <c r="F80" s="1">
        <v>8.8000000000000007</v>
      </c>
      <c r="G80" s="1">
        <v>40</v>
      </c>
      <c r="H80">
        <v>0.13600000000000001</v>
      </c>
      <c r="I80" s="16">
        <f>BNW[[#This Row],[Berat Satuan
(Kg)]]*BNW[[#This Row],[Qty
(Set)]]</f>
        <v>5.44</v>
      </c>
      <c r="K80" s="1">
        <f>SUMIF(DATA_MASTER[NO. PON],BNW[[#This Row],[No.PON]],DATA_MASTER[Qty
(Unit)])</f>
        <v>3</v>
      </c>
      <c r="L80" s="16">
        <f>BNW[[#This Row],[TOTAL UNIT]]*BNW[[#This Row],[Total Berat Baut
(Kg)]]</f>
        <v>16.32</v>
      </c>
      <c r="N80"/>
      <c r="O80" s="25"/>
    </row>
    <row r="81" spans="1:15" x14ac:dyDescent="0.3">
      <c r="A81" t="s">
        <v>217</v>
      </c>
      <c r="B81" t="str">
        <f>IFERROR(VLOOKUP(A81,'DATA MASTER'!A:O,2,0)," ")</f>
        <v>Panel Bailey</v>
      </c>
      <c r="C81" t="str">
        <f>IFERROR(VLOOKUP(A81,'DATA MASTER'!A:O,4,0)," ")</f>
        <v>21 SSR-EW</v>
      </c>
      <c r="D81" t="s">
        <v>133</v>
      </c>
      <c r="E81" t="s">
        <v>106</v>
      </c>
      <c r="F81" s="1" t="s">
        <v>296</v>
      </c>
      <c r="G81" s="1">
        <v>112</v>
      </c>
      <c r="H81">
        <v>0.79</v>
      </c>
      <c r="I81" s="16">
        <f>BNW[[#This Row],[Berat Satuan
(Kg)]]*BNW[[#This Row],[Qty
(Set)]]</f>
        <v>88.48</v>
      </c>
      <c r="K81" s="1">
        <f>SUMIF(DATA_MASTER[NO. PON],BNW[[#This Row],[No.PON]],DATA_MASTER[Qty
(Unit)])</f>
        <v>1</v>
      </c>
      <c r="L81" s="16">
        <f>BNW[[#This Row],[TOTAL UNIT]]*BNW[[#This Row],[Total Berat Baut
(Kg)]]</f>
        <v>88.48</v>
      </c>
      <c r="N81"/>
      <c r="O81" s="25"/>
    </row>
    <row r="82" spans="1:15" x14ac:dyDescent="0.3">
      <c r="A82" t="s">
        <v>217</v>
      </c>
      <c r="B82" t="str">
        <f>IFERROR(VLOOKUP(A82,'DATA MASTER'!A:O,2,0)," ")</f>
        <v>Panel Bailey</v>
      </c>
      <c r="C82" t="str">
        <f>IFERROR(VLOOKUP(A82,'DATA MASTER'!A:O,4,0)," ")</f>
        <v>21 SSR-EW</v>
      </c>
      <c r="D82" t="s">
        <v>134</v>
      </c>
      <c r="E82" t="s">
        <v>106</v>
      </c>
      <c r="F82" s="1">
        <v>8.8000000000000007</v>
      </c>
      <c r="G82" s="1">
        <v>7</v>
      </c>
      <c r="H82">
        <v>0.46</v>
      </c>
      <c r="I82" s="16">
        <f>BNW[[#This Row],[Berat Satuan
(Kg)]]*BNW[[#This Row],[Qty
(Set)]]</f>
        <v>3.22</v>
      </c>
      <c r="K82" s="1">
        <f>SUMIF(DATA_MASTER[NO. PON],BNW[[#This Row],[No.PON]],DATA_MASTER[Qty
(Unit)])</f>
        <v>1</v>
      </c>
      <c r="L82" s="16">
        <f>BNW[[#This Row],[TOTAL UNIT]]*BNW[[#This Row],[Total Berat Baut
(Kg)]]</f>
        <v>3.22</v>
      </c>
      <c r="N82"/>
      <c r="O82" s="25"/>
    </row>
    <row r="83" spans="1:15" x14ac:dyDescent="0.3">
      <c r="A83" t="s">
        <v>217</v>
      </c>
      <c r="B83" t="str">
        <f>IFERROR(VLOOKUP(A83,'DATA MASTER'!A:O,2,0)," ")</f>
        <v>Panel Bailey</v>
      </c>
      <c r="C83" t="str">
        <f>IFERROR(VLOOKUP(A83,'DATA MASTER'!A:O,4,0)," ")</f>
        <v>21 SSR-EW</v>
      </c>
      <c r="D83" t="s">
        <v>135</v>
      </c>
      <c r="E83" t="s">
        <v>106</v>
      </c>
      <c r="F83" s="1">
        <v>8.8000000000000007</v>
      </c>
      <c r="G83" s="1">
        <v>56</v>
      </c>
      <c r="H83">
        <v>0.43</v>
      </c>
      <c r="I83" s="16">
        <f>BNW[[#This Row],[Berat Satuan
(Kg)]]*BNW[[#This Row],[Qty
(Set)]]</f>
        <v>24.08</v>
      </c>
      <c r="K83" s="1">
        <f>SUMIF(DATA_MASTER[NO. PON],BNW[[#This Row],[No.PON]],DATA_MASTER[Qty
(Unit)])</f>
        <v>1</v>
      </c>
      <c r="L83" s="16">
        <f>BNW[[#This Row],[TOTAL UNIT]]*BNW[[#This Row],[Total Berat Baut
(Kg)]]</f>
        <v>24.08</v>
      </c>
      <c r="N83"/>
      <c r="O83" s="25"/>
    </row>
    <row r="84" spans="1:15" x14ac:dyDescent="0.3">
      <c r="A84" t="s">
        <v>217</v>
      </c>
      <c r="B84" t="str">
        <f>IFERROR(VLOOKUP(A84,'DATA MASTER'!A:O,2,0)," ")</f>
        <v>Panel Bailey</v>
      </c>
      <c r="C84" t="str">
        <f>IFERROR(VLOOKUP(A84,'DATA MASTER'!A:O,4,0)," ")</f>
        <v>21 SSR-EW</v>
      </c>
      <c r="D84" t="s">
        <v>136</v>
      </c>
      <c r="E84" t="s">
        <v>106</v>
      </c>
      <c r="F84" s="1">
        <v>8.8000000000000007</v>
      </c>
      <c r="G84" s="1">
        <v>36</v>
      </c>
      <c r="H84">
        <v>0.41</v>
      </c>
      <c r="I84" s="16">
        <f>BNW[[#This Row],[Berat Satuan
(Kg)]]*BNW[[#This Row],[Qty
(Set)]]</f>
        <v>14.76</v>
      </c>
      <c r="K84" s="1">
        <f>SUMIF(DATA_MASTER[NO. PON],BNW[[#This Row],[No.PON]],DATA_MASTER[Qty
(Unit)])</f>
        <v>1</v>
      </c>
      <c r="L84" s="16">
        <f>BNW[[#This Row],[TOTAL UNIT]]*BNW[[#This Row],[Total Berat Baut
(Kg)]]</f>
        <v>14.76</v>
      </c>
      <c r="N84"/>
      <c r="O84" s="25"/>
    </row>
    <row r="85" spans="1:15" x14ac:dyDescent="0.3">
      <c r="A85" t="s">
        <v>217</v>
      </c>
      <c r="B85" t="str">
        <f>IFERROR(VLOOKUP(A85,'DATA MASTER'!A:O,2,0)," ")</f>
        <v>Panel Bailey</v>
      </c>
      <c r="C85" t="str">
        <f>IFERROR(VLOOKUP(A85,'DATA MASTER'!A:O,4,0)," ")</f>
        <v>21 SSR-EW</v>
      </c>
      <c r="D85" t="s">
        <v>137</v>
      </c>
      <c r="E85" t="s">
        <v>106</v>
      </c>
      <c r="F85" s="1">
        <v>8.8000000000000007</v>
      </c>
      <c r="G85" s="1">
        <v>128</v>
      </c>
      <c r="H85">
        <v>0.47399999999999998</v>
      </c>
      <c r="I85" s="16">
        <f>BNW[[#This Row],[Berat Satuan
(Kg)]]*BNW[[#This Row],[Qty
(Set)]]</f>
        <v>60.671999999999997</v>
      </c>
      <c r="K85" s="1">
        <f>SUMIF(DATA_MASTER[NO. PON],BNW[[#This Row],[No.PON]],DATA_MASTER[Qty
(Unit)])</f>
        <v>1</v>
      </c>
      <c r="L85" s="16">
        <f>BNW[[#This Row],[TOTAL UNIT]]*BNW[[#This Row],[Total Berat Baut
(Kg)]]</f>
        <v>60.671999999999997</v>
      </c>
      <c r="N85"/>
      <c r="O85" s="25"/>
    </row>
    <row r="86" spans="1:15" x14ac:dyDescent="0.3">
      <c r="A86" t="s">
        <v>217</v>
      </c>
      <c r="B86" t="str">
        <f>IFERROR(VLOOKUP(A86,'DATA MASTER'!A:O,2,0)," ")</f>
        <v>Panel Bailey</v>
      </c>
      <c r="C86" t="str">
        <f>IFERROR(VLOOKUP(A86,'DATA MASTER'!A:O,4,0)," ")</f>
        <v>21 SSR-EW</v>
      </c>
      <c r="D86" t="s">
        <v>294</v>
      </c>
      <c r="E86" t="s">
        <v>106</v>
      </c>
      <c r="F86" s="1">
        <v>8.8000000000000007</v>
      </c>
      <c r="G86" s="1">
        <v>16</v>
      </c>
      <c r="H86">
        <v>0.35400000000000004</v>
      </c>
      <c r="I86" s="16">
        <f>BNW[[#This Row],[Berat Satuan
(Kg)]]*BNW[[#This Row],[Qty
(Set)]]</f>
        <v>5.6640000000000006</v>
      </c>
      <c r="K86" s="1">
        <f>SUMIF(DATA_MASTER[NO. PON],BNW[[#This Row],[No.PON]],DATA_MASTER[Qty
(Unit)])</f>
        <v>1</v>
      </c>
      <c r="L86" s="16">
        <f>BNW[[#This Row],[TOTAL UNIT]]*BNW[[#This Row],[Total Berat Baut
(Kg)]]</f>
        <v>5.6640000000000006</v>
      </c>
      <c r="N86"/>
      <c r="O86" s="25"/>
    </row>
    <row r="87" spans="1:15" x14ac:dyDescent="0.3">
      <c r="A87" t="s">
        <v>217</v>
      </c>
      <c r="B87" t="str">
        <f>IFERROR(VLOOKUP(A87,'DATA MASTER'!A:O,2,0)," ")</f>
        <v>Panel Bailey</v>
      </c>
      <c r="C87" t="str">
        <f>IFERROR(VLOOKUP(A87,'DATA MASTER'!A:O,4,0)," ")</f>
        <v>21 SSR-EW</v>
      </c>
      <c r="D87" t="s">
        <v>295</v>
      </c>
      <c r="E87" t="s">
        <v>106</v>
      </c>
      <c r="F87" s="1">
        <v>8.8000000000000007</v>
      </c>
      <c r="G87" s="1">
        <v>16</v>
      </c>
      <c r="H87">
        <v>0.33400000000000002</v>
      </c>
      <c r="I87" s="16">
        <f>BNW[[#This Row],[Berat Satuan
(Kg)]]*BNW[[#This Row],[Qty
(Set)]]</f>
        <v>5.3440000000000003</v>
      </c>
      <c r="K87" s="1">
        <f>SUMIF(DATA_MASTER[NO. PON],BNW[[#This Row],[No.PON]],DATA_MASTER[Qty
(Unit)])</f>
        <v>1</v>
      </c>
      <c r="L87" s="16">
        <f>BNW[[#This Row],[TOTAL UNIT]]*BNW[[#This Row],[Total Berat Baut
(Kg)]]</f>
        <v>5.3440000000000003</v>
      </c>
      <c r="N87"/>
      <c r="O87" s="25"/>
    </row>
    <row r="88" spans="1:15" x14ac:dyDescent="0.3">
      <c r="A88" t="s">
        <v>217</v>
      </c>
      <c r="B88" t="str">
        <f>IFERROR(VLOOKUP(A88,'DATA MASTER'!A:O,2,0)," ")</f>
        <v>Panel Bailey</v>
      </c>
      <c r="C88" t="str">
        <f>IFERROR(VLOOKUP(A88,'DATA MASTER'!A:O,4,0)," ")</f>
        <v>21 SSR-EW</v>
      </c>
      <c r="D88" t="s">
        <v>138</v>
      </c>
      <c r="E88" t="s">
        <v>106</v>
      </c>
      <c r="F88" s="1">
        <v>8.8000000000000007</v>
      </c>
      <c r="G88" s="1">
        <v>16</v>
      </c>
      <c r="H88">
        <v>0.29399999999999998</v>
      </c>
      <c r="I88" s="16">
        <f>BNW[[#This Row],[Berat Satuan
(Kg)]]*BNW[[#This Row],[Qty
(Set)]]</f>
        <v>4.7039999999999997</v>
      </c>
      <c r="K88" s="1">
        <f>SUMIF(DATA_MASTER[NO. PON],BNW[[#This Row],[No.PON]],DATA_MASTER[Qty
(Unit)])</f>
        <v>1</v>
      </c>
      <c r="L88" s="16">
        <f>BNW[[#This Row],[TOTAL UNIT]]*BNW[[#This Row],[Total Berat Baut
(Kg)]]</f>
        <v>4.7039999999999997</v>
      </c>
      <c r="N88"/>
      <c r="O88" s="25"/>
    </row>
    <row r="89" spans="1:15" x14ac:dyDescent="0.3">
      <c r="A89" t="s">
        <v>217</v>
      </c>
      <c r="B89" t="str">
        <f>IFERROR(VLOOKUP(A89,'DATA MASTER'!A:O,2,0)," ")</f>
        <v>Panel Bailey</v>
      </c>
      <c r="C89" t="str">
        <f>IFERROR(VLOOKUP(A89,'DATA MASTER'!A:O,4,0)," ")</f>
        <v>21 SSR-EW</v>
      </c>
      <c r="D89" t="s">
        <v>139</v>
      </c>
      <c r="E89" t="s">
        <v>106</v>
      </c>
      <c r="F89" s="1">
        <v>8.8000000000000007</v>
      </c>
      <c r="G89" s="1">
        <v>7</v>
      </c>
      <c r="H89">
        <v>0.29399999999999998</v>
      </c>
      <c r="I89" s="16">
        <f>BNW[[#This Row],[Berat Satuan
(Kg)]]*BNW[[#This Row],[Qty
(Set)]]</f>
        <v>2.0579999999999998</v>
      </c>
      <c r="K89" s="1">
        <f>SUMIF(DATA_MASTER[NO. PON],BNW[[#This Row],[No.PON]],DATA_MASTER[Qty
(Unit)])</f>
        <v>1</v>
      </c>
      <c r="L89" s="16">
        <f>BNW[[#This Row],[TOTAL UNIT]]*BNW[[#This Row],[Total Berat Baut
(Kg)]]</f>
        <v>2.0579999999999998</v>
      </c>
      <c r="N89"/>
      <c r="O89" s="25"/>
    </row>
    <row r="90" spans="1:15" x14ac:dyDescent="0.3">
      <c r="A90" t="s">
        <v>217</v>
      </c>
      <c r="B90" t="str">
        <f>IFERROR(VLOOKUP(A90,'DATA MASTER'!A:O,2,0)," ")</f>
        <v>Panel Bailey</v>
      </c>
      <c r="C90" t="str">
        <f>IFERROR(VLOOKUP(A90,'DATA MASTER'!A:O,4,0)," ")</f>
        <v>21 SSR-EW</v>
      </c>
      <c r="D90" t="s">
        <v>140</v>
      </c>
      <c r="E90" t="s">
        <v>106</v>
      </c>
      <c r="F90" s="1">
        <v>8.8000000000000007</v>
      </c>
      <c r="G90" s="1">
        <v>56</v>
      </c>
      <c r="H90">
        <v>0.24399999999999999</v>
      </c>
      <c r="I90" s="16">
        <f>BNW[[#This Row],[Berat Satuan
(Kg)]]*BNW[[#This Row],[Qty
(Set)]]</f>
        <v>13.664</v>
      </c>
      <c r="K90" s="1">
        <f>SUMIF(DATA_MASTER[NO. PON],BNW[[#This Row],[No.PON]],DATA_MASTER[Qty
(Unit)])</f>
        <v>1</v>
      </c>
      <c r="L90" s="16">
        <f>BNW[[#This Row],[TOTAL UNIT]]*BNW[[#This Row],[Total Berat Baut
(Kg)]]</f>
        <v>13.664</v>
      </c>
      <c r="N90"/>
      <c r="O90" s="25"/>
    </row>
    <row r="91" spans="1:15" x14ac:dyDescent="0.3">
      <c r="A91" t="s">
        <v>217</v>
      </c>
      <c r="B91" t="str">
        <f>IFERROR(VLOOKUP(A91,'DATA MASTER'!A:O,2,0)," ")</f>
        <v>Panel Bailey</v>
      </c>
      <c r="C91" t="str">
        <f>IFERROR(VLOOKUP(A91,'DATA MASTER'!A:O,4,0)," ")</f>
        <v>21 SSR-EW</v>
      </c>
      <c r="D91" t="s">
        <v>141</v>
      </c>
      <c r="E91" t="s">
        <v>106</v>
      </c>
      <c r="F91" s="1">
        <v>8.8000000000000007</v>
      </c>
      <c r="G91" s="1">
        <v>8</v>
      </c>
      <c r="H91">
        <v>0.13600000000000001</v>
      </c>
      <c r="I91" s="16">
        <f>BNW[[#This Row],[Berat Satuan
(Kg)]]*BNW[[#This Row],[Qty
(Set)]]</f>
        <v>1.0880000000000001</v>
      </c>
      <c r="K91" s="1">
        <f>SUMIF(DATA_MASTER[NO. PON],BNW[[#This Row],[No.PON]],DATA_MASTER[Qty
(Unit)])</f>
        <v>1</v>
      </c>
      <c r="L91" s="16">
        <f>BNW[[#This Row],[TOTAL UNIT]]*BNW[[#This Row],[Total Berat Baut
(Kg)]]</f>
        <v>1.0880000000000001</v>
      </c>
      <c r="N91"/>
      <c r="O91" s="25"/>
    </row>
    <row r="92" spans="1:15" x14ac:dyDescent="0.3">
      <c r="A92" t="s">
        <v>217</v>
      </c>
      <c r="B92" t="str">
        <f>IFERROR(VLOOKUP(A92,'DATA MASTER'!A:O,2,0)," ")</f>
        <v>Panel Bailey</v>
      </c>
      <c r="C92" t="str">
        <f>IFERROR(VLOOKUP(A92,'DATA MASTER'!A:O,4,0)," ")</f>
        <v>21 SSR-EW</v>
      </c>
      <c r="D92" t="s">
        <v>142</v>
      </c>
      <c r="E92" t="s">
        <v>106</v>
      </c>
      <c r="F92" s="1">
        <v>8.8000000000000007</v>
      </c>
      <c r="G92" s="1">
        <v>56</v>
      </c>
      <c r="H92">
        <v>0.13600000000000001</v>
      </c>
      <c r="I92" s="16">
        <f>BNW[[#This Row],[Berat Satuan
(Kg)]]*BNW[[#This Row],[Qty
(Set)]]</f>
        <v>7.6160000000000005</v>
      </c>
      <c r="K92" s="1">
        <f>SUMIF(DATA_MASTER[NO. PON],BNW[[#This Row],[No.PON]],DATA_MASTER[Qty
(Unit)])</f>
        <v>1</v>
      </c>
      <c r="L92" s="16">
        <f>BNW[[#This Row],[TOTAL UNIT]]*BNW[[#This Row],[Total Berat Baut
(Kg)]]</f>
        <v>7.6160000000000005</v>
      </c>
      <c r="N92"/>
      <c r="O92" s="25"/>
    </row>
    <row r="93" spans="1:15" x14ac:dyDescent="0.3">
      <c r="A93" t="s">
        <v>128</v>
      </c>
      <c r="B93" t="str">
        <f>IFERROR(VLOOKUP(A93,'DATA MASTER'!A:O,2,0)," ")</f>
        <v>Panel Bailey</v>
      </c>
      <c r="C93" t="str">
        <f>IFERROR(VLOOKUP(A93,'DATA MASTER'!A:O,4,0)," ")</f>
        <v>KOMPONEN BAILEY</v>
      </c>
      <c r="D93" t="s">
        <v>149</v>
      </c>
      <c r="E93" t="s">
        <v>106</v>
      </c>
      <c r="F93" s="1">
        <v>8.8000000000000007</v>
      </c>
      <c r="G93" s="1">
        <f>100</f>
        <v>100</v>
      </c>
      <c r="H93">
        <v>0.47399999999999998</v>
      </c>
      <c r="I93" s="16">
        <f>BNW[[#This Row],[Berat Satuan
(Kg)]]*BNW[[#This Row],[Qty
(Set)]]</f>
        <v>47.4</v>
      </c>
      <c r="K93" s="1">
        <f>SUMIF(DATA_MASTER[NO. PON],BNW[[#This Row],[No.PON]],DATA_MASTER[Qty
(Unit)])</f>
        <v>1</v>
      </c>
      <c r="L93" s="16">
        <f>BNW[[#This Row],[TOTAL UNIT]]*BNW[[#This Row],[Total Berat Baut
(Kg)]]</f>
        <v>47.4</v>
      </c>
      <c r="M93" s="9">
        <v>44963</v>
      </c>
      <c r="N93" t="s">
        <v>159</v>
      </c>
      <c r="O93" s="25"/>
    </row>
    <row r="94" spans="1:15" x14ac:dyDescent="0.3">
      <c r="A94" t="s">
        <v>305</v>
      </c>
      <c r="B94" t="str">
        <f>IFERROR(VLOOKUP(A94,'DATA MASTER'!A:O,2,0)," ")</f>
        <v>Panel Bailey</v>
      </c>
      <c r="C94" t="str">
        <f>IFERROR(VLOOKUP(A94,'DATA MASTER'!A:O,4,0)," ")</f>
        <v>24 DSR2-EW</v>
      </c>
      <c r="D94" t="s">
        <v>133</v>
      </c>
      <c r="E94" t="s">
        <v>106</v>
      </c>
      <c r="F94" s="1" t="s">
        <v>296</v>
      </c>
      <c r="G94" s="1">
        <v>256</v>
      </c>
      <c r="H94">
        <v>0.79</v>
      </c>
      <c r="I94" s="16">
        <f>BNW[[#This Row],[Berat Satuan
(Kg)]]*BNW[[#This Row],[Qty
(Set)]]</f>
        <v>202.24</v>
      </c>
      <c r="K94" s="1">
        <f>SUMIF(DATA_MASTER[NO. PON],BNW[[#This Row],[No.PON]],DATA_MASTER[Qty
(Unit)])</f>
        <v>2</v>
      </c>
      <c r="L94" s="16">
        <f>BNW[[#This Row],[TOTAL UNIT]]*BNW[[#This Row],[Total Berat Baut
(Kg)]]</f>
        <v>404.48</v>
      </c>
      <c r="N94"/>
      <c r="O94" s="43"/>
    </row>
    <row r="95" spans="1:15" x14ac:dyDescent="0.3">
      <c r="A95" t="s">
        <v>305</v>
      </c>
      <c r="B95" t="str">
        <f>IFERROR(VLOOKUP(A95,'DATA MASTER'!A:O,2,0)," ")</f>
        <v>Panel Bailey</v>
      </c>
      <c r="C95" t="str">
        <f>IFERROR(VLOOKUP(A95,'DATA MASTER'!A:O,4,0)," ")</f>
        <v>24 DSR2-EW</v>
      </c>
      <c r="D95" t="s">
        <v>134</v>
      </c>
      <c r="E95" t="s">
        <v>106</v>
      </c>
      <c r="F95" s="1">
        <v>8.8000000000000007</v>
      </c>
      <c r="G95" s="1">
        <v>136</v>
      </c>
      <c r="H95">
        <v>0.46</v>
      </c>
      <c r="I95" s="16">
        <f>BNW[[#This Row],[Berat Satuan
(Kg)]]*BNW[[#This Row],[Qty
(Set)]]</f>
        <v>62.56</v>
      </c>
      <c r="K95" s="1">
        <f>SUMIF(DATA_MASTER[NO. PON],BNW[[#This Row],[No.PON]],DATA_MASTER[Qty
(Unit)])</f>
        <v>2</v>
      </c>
      <c r="L95" s="16">
        <f>BNW[[#This Row],[TOTAL UNIT]]*BNW[[#This Row],[Total Berat Baut
(Kg)]]</f>
        <v>125.12</v>
      </c>
      <c r="N95"/>
      <c r="O95" s="25"/>
    </row>
    <row r="96" spans="1:15" x14ac:dyDescent="0.3">
      <c r="A96" t="s">
        <v>305</v>
      </c>
      <c r="B96" t="str">
        <f>IFERROR(VLOOKUP(A96,'DATA MASTER'!A:O,2,0)," ")</f>
        <v>Panel Bailey</v>
      </c>
      <c r="C96" t="str">
        <f>IFERROR(VLOOKUP(A96,'DATA MASTER'!A:O,4,0)," ")</f>
        <v>24 DSR2-EW</v>
      </c>
      <c r="D96" t="s">
        <v>135</v>
      </c>
      <c r="E96" t="s">
        <v>106</v>
      </c>
      <c r="F96" s="1">
        <v>8.8000000000000007</v>
      </c>
      <c r="G96" s="1">
        <v>64</v>
      </c>
      <c r="H96">
        <v>0.43</v>
      </c>
      <c r="I96" s="16">
        <f>BNW[[#This Row],[Berat Satuan
(Kg)]]*BNW[[#This Row],[Qty
(Set)]]</f>
        <v>27.52</v>
      </c>
      <c r="K96" s="1">
        <f>SUMIF(DATA_MASTER[NO. PON],BNW[[#This Row],[No.PON]],DATA_MASTER[Qty
(Unit)])</f>
        <v>2</v>
      </c>
      <c r="L96" s="16">
        <f>BNW[[#This Row],[TOTAL UNIT]]*BNW[[#This Row],[Total Berat Baut
(Kg)]]</f>
        <v>55.04</v>
      </c>
      <c r="N96"/>
      <c r="O96" s="25"/>
    </row>
    <row r="97" spans="1:15" x14ac:dyDescent="0.3">
      <c r="A97" t="s">
        <v>305</v>
      </c>
      <c r="B97" t="str">
        <f>IFERROR(VLOOKUP(A97,'DATA MASTER'!A:O,2,0)," ")</f>
        <v>Panel Bailey</v>
      </c>
      <c r="C97" t="str">
        <f>IFERROR(VLOOKUP(A97,'DATA MASTER'!A:O,4,0)," ")</f>
        <v>24 DSR2-EW</v>
      </c>
      <c r="D97" t="s">
        <v>136</v>
      </c>
      <c r="E97" t="s">
        <v>106</v>
      </c>
      <c r="F97" s="1">
        <v>8.8000000000000007</v>
      </c>
      <c r="G97" s="1">
        <v>40</v>
      </c>
      <c r="H97">
        <v>0.41</v>
      </c>
      <c r="I97" s="16">
        <f>BNW[[#This Row],[Berat Satuan
(Kg)]]*BNW[[#This Row],[Qty
(Set)]]</f>
        <v>16.399999999999999</v>
      </c>
      <c r="K97" s="1">
        <f>SUMIF(DATA_MASTER[NO. PON],BNW[[#This Row],[No.PON]],DATA_MASTER[Qty
(Unit)])</f>
        <v>2</v>
      </c>
      <c r="L97" s="16">
        <f>BNW[[#This Row],[TOTAL UNIT]]*BNW[[#This Row],[Total Berat Baut
(Kg)]]</f>
        <v>32.799999999999997</v>
      </c>
      <c r="N97"/>
      <c r="O97" s="25"/>
    </row>
    <row r="98" spans="1:15" x14ac:dyDescent="0.3">
      <c r="A98" t="s">
        <v>305</v>
      </c>
      <c r="B98" t="str">
        <f>IFERROR(VLOOKUP(A98,'DATA MASTER'!A:O,2,0)," ")</f>
        <v>Panel Bailey</v>
      </c>
      <c r="C98" t="str">
        <f>IFERROR(VLOOKUP(A98,'DATA MASTER'!A:O,4,0)," ")</f>
        <v>24 DSR2-EW</v>
      </c>
      <c r="D98" t="s">
        <v>137</v>
      </c>
      <c r="E98" t="s">
        <v>106</v>
      </c>
      <c r="F98" s="1">
        <v>8.8000000000000007</v>
      </c>
      <c r="G98" s="1">
        <v>144</v>
      </c>
      <c r="H98">
        <v>0.47399999999999998</v>
      </c>
      <c r="I98" s="16">
        <f>BNW[[#This Row],[Berat Satuan
(Kg)]]*BNW[[#This Row],[Qty
(Set)]]</f>
        <v>68.256</v>
      </c>
      <c r="K98" s="1">
        <f>SUMIF(DATA_MASTER[NO. PON],BNW[[#This Row],[No.PON]],DATA_MASTER[Qty
(Unit)])</f>
        <v>2</v>
      </c>
      <c r="L98" s="16">
        <f>BNW[[#This Row],[TOTAL UNIT]]*BNW[[#This Row],[Total Berat Baut
(Kg)]]</f>
        <v>136.512</v>
      </c>
      <c r="N98"/>
      <c r="O98" s="25"/>
    </row>
    <row r="99" spans="1:15" x14ac:dyDescent="0.3">
      <c r="A99" t="s">
        <v>305</v>
      </c>
      <c r="B99" t="str">
        <f>IFERROR(VLOOKUP(A99,'DATA MASTER'!A:O,2,0)," ")</f>
        <v>Panel Bailey</v>
      </c>
      <c r="C99" t="str">
        <f>IFERROR(VLOOKUP(A99,'DATA MASTER'!A:O,4,0)," ")</f>
        <v>24 DSR2-EW</v>
      </c>
      <c r="D99" t="s">
        <v>138</v>
      </c>
      <c r="E99" t="s">
        <v>106</v>
      </c>
      <c r="F99" s="1">
        <v>8.8000000000000007</v>
      </c>
      <c r="G99" s="1">
        <v>24</v>
      </c>
      <c r="H99">
        <v>0.29399999999999998</v>
      </c>
      <c r="I99" s="16">
        <f>BNW[[#This Row],[Berat Satuan
(Kg)]]*BNW[[#This Row],[Qty
(Set)]]</f>
        <v>7.0559999999999992</v>
      </c>
      <c r="K99" s="1">
        <f>SUMIF(DATA_MASTER[NO. PON],BNW[[#This Row],[No.PON]],DATA_MASTER[Qty
(Unit)])</f>
        <v>2</v>
      </c>
      <c r="L99" s="16">
        <f>BNW[[#This Row],[TOTAL UNIT]]*BNW[[#This Row],[Total Berat Baut
(Kg)]]</f>
        <v>14.111999999999998</v>
      </c>
      <c r="N99"/>
      <c r="O99" s="25"/>
    </row>
    <row r="100" spans="1:15" x14ac:dyDescent="0.3">
      <c r="A100" t="s">
        <v>305</v>
      </c>
      <c r="B100" t="str">
        <f>IFERROR(VLOOKUP(A100,'DATA MASTER'!A:O,2,0)," ")</f>
        <v>Panel Bailey</v>
      </c>
      <c r="C100" t="str">
        <f>IFERROR(VLOOKUP(A100,'DATA MASTER'!A:O,4,0)," ")</f>
        <v>24 DSR2-EW</v>
      </c>
      <c r="D100" t="s">
        <v>139</v>
      </c>
      <c r="E100" t="s">
        <v>106</v>
      </c>
      <c r="F100" s="1">
        <v>8.8000000000000007</v>
      </c>
      <c r="G100" s="1">
        <v>8</v>
      </c>
      <c r="H100">
        <v>0.29399999999999998</v>
      </c>
      <c r="I100" s="16">
        <f>BNW[[#This Row],[Berat Satuan
(Kg)]]*BNW[[#This Row],[Qty
(Set)]]</f>
        <v>2.3519999999999999</v>
      </c>
      <c r="K100" s="1">
        <f>SUMIF(DATA_MASTER[NO. PON],BNW[[#This Row],[No.PON]],DATA_MASTER[Qty
(Unit)])</f>
        <v>2</v>
      </c>
      <c r="L100" s="16">
        <f>BNW[[#This Row],[TOTAL UNIT]]*BNW[[#This Row],[Total Berat Baut
(Kg)]]</f>
        <v>4.7039999999999997</v>
      </c>
      <c r="N100"/>
      <c r="O100" s="25"/>
    </row>
    <row r="101" spans="1:15" x14ac:dyDescent="0.3">
      <c r="A101" t="s">
        <v>305</v>
      </c>
      <c r="B101" t="str">
        <f>IFERROR(VLOOKUP(A101,'DATA MASTER'!A:O,2,0)," ")</f>
        <v>Panel Bailey</v>
      </c>
      <c r="C101" t="str">
        <f>IFERROR(VLOOKUP(A101,'DATA MASTER'!A:O,4,0)," ")</f>
        <v>24 DSR2-EW</v>
      </c>
      <c r="D101" t="s">
        <v>140</v>
      </c>
      <c r="E101" t="s">
        <v>106</v>
      </c>
      <c r="F101" s="1">
        <v>8.8000000000000007</v>
      </c>
      <c r="G101" s="1">
        <v>128</v>
      </c>
      <c r="H101">
        <v>0.24399999999999999</v>
      </c>
      <c r="I101" s="16">
        <f>BNW[[#This Row],[Berat Satuan
(Kg)]]*BNW[[#This Row],[Qty
(Set)]]</f>
        <v>31.231999999999999</v>
      </c>
      <c r="K101" s="1">
        <f>SUMIF(DATA_MASTER[NO. PON],BNW[[#This Row],[No.PON]],DATA_MASTER[Qty
(Unit)])</f>
        <v>2</v>
      </c>
      <c r="L101" s="16">
        <f>BNW[[#This Row],[TOTAL UNIT]]*BNW[[#This Row],[Total Berat Baut
(Kg)]]</f>
        <v>62.463999999999999</v>
      </c>
      <c r="N101"/>
      <c r="O101" s="25"/>
    </row>
    <row r="102" spans="1:15" x14ac:dyDescent="0.3">
      <c r="A102" t="s">
        <v>305</v>
      </c>
      <c r="B102" t="str">
        <f>IFERROR(VLOOKUP(A102,'DATA MASTER'!A:O,2,0)," ")</f>
        <v>Panel Bailey</v>
      </c>
      <c r="C102" t="str">
        <f>IFERROR(VLOOKUP(A102,'DATA MASTER'!A:O,4,0)," ")</f>
        <v>24 DSR2-EW</v>
      </c>
      <c r="D102" t="s">
        <v>141</v>
      </c>
      <c r="E102" t="s">
        <v>106</v>
      </c>
      <c r="F102" s="1">
        <v>8.8000000000000007</v>
      </c>
      <c r="G102" s="1">
        <v>16</v>
      </c>
      <c r="H102">
        <v>0.14000000000000001</v>
      </c>
      <c r="I102" s="16">
        <f>BNW[[#This Row],[Berat Satuan
(Kg)]]*BNW[[#This Row],[Qty
(Set)]]</f>
        <v>2.2400000000000002</v>
      </c>
      <c r="K102" s="1">
        <f>SUMIF(DATA_MASTER[NO. PON],BNW[[#This Row],[No.PON]],DATA_MASTER[Qty
(Unit)])</f>
        <v>2</v>
      </c>
      <c r="L102" s="16">
        <f>BNW[[#This Row],[TOTAL UNIT]]*BNW[[#This Row],[Total Berat Baut
(Kg)]]</f>
        <v>4.4800000000000004</v>
      </c>
      <c r="N102"/>
      <c r="O102" s="25"/>
    </row>
    <row r="103" spans="1:15" x14ac:dyDescent="0.3">
      <c r="A103" t="s">
        <v>305</v>
      </c>
      <c r="B103" t="str">
        <f>IFERROR(VLOOKUP(A103,'DATA MASTER'!A:O,2,0)," ")</f>
        <v>Panel Bailey</v>
      </c>
      <c r="C103" t="str">
        <f>IFERROR(VLOOKUP(A103,'DATA MASTER'!A:O,4,0)," ")</f>
        <v>24 DSR2-EW</v>
      </c>
      <c r="D103" t="s">
        <v>142</v>
      </c>
      <c r="E103" t="s">
        <v>106</v>
      </c>
      <c r="F103" s="1">
        <v>8.8000000000000007</v>
      </c>
      <c r="G103" s="1">
        <v>64</v>
      </c>
      <c r="H103">
        <v>0.13600000000000001</v>
      </c>
      <c r="I103" s="16">
        <f>BNW[[#This Row],[Berat Satuan
(Kg)]]*BNW[[#This Row],[Qty
(Set)]]</f>
        <v>8.7040000000000006</v>
      </c>
      <c r="K103" s="1">
        <f>SUMIF(DATA_MASTER[NO. PON],BNW[[#This Row],[No.PON]],DATA_MASTER[Qty
(Unit)])</f>
        <v>2</v>
      </c>
      <c r="L103" s="16">
        <f>BNW[[#This Row],[TOTAL UNIT]]*BNW[[#This Row],[Total Berat Baut
(Kg)]]</f>
        <v>17.408000000000001</v>
      </c>
      <c r="N103"/>
      <c r="O103" s="25"/>
    </row>
    <row r="104" spans="1:15" x14ac:dyDescent="0.3">
      <c r="A104" t="s">
        <v>308</v>
      </c>
      <c r="B104" t="str">
        <f>IFERROR(VLOOKUP(A104,'DATA MASTER'!A:O,2,0)," ")</f>
        <v>Panel Bailey</v>
      </c>
      <c r="C104" t="str">
        <f>IFERROR(VLOOKUP(A104,'DATA MASTER'!A:O,4,0)," ")</f>
        <v>21 DS-EW</v>
      </c>
      <c r="D104" t="s">
        <v>134</v>
      </c>
      <c r="E104" t="s">
        <v>106</v>
      </c>
      <c r="F104" s="1">
        <v>8.8000000000000007</v>
      </c>
      <c r="G104" s="1">
        <v>119</v>
      </c>
      <c r="H104">
        <v>0.46</v>
      </c>
      <c r="I104" s="16">
        <f>BNW[[#This Row],[Berat Satuan
(Kg)]]*BNW[[#This Row],[Qty
(Set)]]</f>
        <v>54.74</v>
      </c>
      <c r="K104" s="1">
        <f>SUMIF(DATA_MASTER[NO. PON],BNW[[#This Row],[No.PON]],DATA_MASTER[Qty
(Unit)])</f>
        <v>2</v>
      </c>
      <c r="L104" s="16">
        <f>BNW[[#This Row],[TOTAL UNIT]]*BNW[[#This Row],[Total Berat Baut
(Kg)]]</f>
        <v>109.48</v>
      </c>
      <c r="N104"/>
      <c r="O104" s="25"/>
    </row>
    <row r="105" spans="1:15" x14ac:dyDescent="0.3">
      <c r="A105" t="s">
        <v>308</v>
      </c>
      <c r="B105" t="str">
        <f>IFERROR(VLOOKUP(A105,'DATA MASTER'!A:O,2,0)," ")</f>
        <v>Panel Bailey</v>
      </c>
      <c r="C105" t="str">
        <f>IFERROR(VLOOKUP(A105,'DATA MASTER'!A:O,4,0)," ")</f>
        <v>21 DS-EW</v>
      </c>
      <c r="D105" t="s">
        <v>135</v>
      </c>
      <c r="E105" t="s">
        <v>106</v>
      </c>
      <c r="F105" s="1">
        <v>8.8000000000000007</v>
      </c>
      <c r="G105" s="1">
        <v>56</v>
      </c>
      <c r="H105">
        <v>0.43</v>
      </c>
      <c r="I105" s="16">
        <f>BNW[[#This Row],[Berat Satuan
(Kg)]]*BNW[[#This Row],[Qty
(Set)]]</f>
        <v>24.08</v>
      </c>
      <c r="K105" s="1">
        <f>SUMIF(DATA_MASTER[NO. PON],BNW[[#This Row],[No.PON]],DATA_MASTER[Qty
(Unit)])</f>
        <v>2</v>
      </c>
      <c r="L105" s="16">
        <f>BNW[[#This Row],[TOTAL UNIT]]*BNW[[#This Row],[Total Berat Baut
(Kg)]]</f>
        <v>48.16</v>
      </c>
      <c r="N105"/>
      <c r="O105" s="25"/>
    </row>
    <row r="106" spans="1:15" x14ac:dyDescent="0.3">
      <c r="A106" t="s">
        <v>308</v>
      </c>
      <c r="B106" t="str">
        <f>IFERROR(VLOOKUP(A106,'DATA MASTER'!A:O,2,0)," ")</f>
        <v>Panel Bailey</v>
      </c>
      <c r="C106" t="str">
        <f>IFERROR(VLOOKUP(A106,'DATA MASTER'!A:O,4,0)," ")</f>
        <v>21 DS-EW</v>
      </c>
      <c r="D106" t="s">
        <v>136</v>
      </c>
      <c r="E106" t="s">
        <v>106</v>
      </c>
      <c r="F106" s="1">
        <v>8.8000000000000007</v>
      </c>
      <c r="G106" s="1">
        <v>36</v>
      </c>
      <c r="H106">
        <v>0.41</v>
      </c>
      <c r="I106" s="16">
        <f>BNW[[#This Row],[Berat Satuan
(Kg)]]*BNW[[#This Row],[Qty
(Set)]]</f>
        <v>14.76</v>
      </c>
      <c r="K106" s="1">
        <f>SUMIF(DATA_MASTER[NO. PON],BNW[[#This Row],[No.PON]],DATA_MASTER[Qty
(Unit)])</f>
        <v>2</v>
      </c>
      <c r="L106" s="16">
        <f>BNW[[#This Row],[TOTAL UNIT]]*BNW[[#This Row],[Total Berat Baut
(Kg)]]</f>
        <v>29.52</v>
      </c>
      <c r="N106"/>
      <c r="O106" s="25"/>
    </row>
    <row r="107" spans="1:15" x14ac:dyDescent="0.3">
      <c r="A107" t="s">
        <v>308</v>
      </c>
      <c r="B107" t="str">
        <f>IFERROR(VLOOKUP(A107,'DATA MASTER'!A:O,2,0)," ")</f>
        <v>Panel Bailey</v>
      </c>
      <c r="C107" t="str">
        <f>IFERROR(VLOOKUP(A107,'DATA MASTER'!A:O,4,0)," ")</f>
        <v>21 DS-EW</v>
      </c>
      <c r="D107" t="s">
        <v>137</v>
      </c>
      <c r="E107" t="s">
        <v>106</v>
      </c>
      <c r="F107" s="1">
        <v>8.8000000000000007</v>
      </c>
      <c r="G107" s="1">
        <v>128</v>
      </c>
      <c r="H107">
        <v>0.47399999999999998</v>
      </c>
      <c r="I107" s="16">
        <f>BNW[[#This Row],[Berat Satuan
(Kg)]]*BNW[[#This Row],[Qty
(Set)]]</f>
        <v>60.671999999999997</v>
      </c>
      <c r="K107" s="1">
        <f>SUMIF(DATA_MASTER[NO. PON],BNW[[#This Row],[No.PON]],DATA_MASTER[Qty
(Unit)])</f>
        <v>2</v>
      </c>
      <c r="L107" s="16">
        <f>BNW[[#This Row],[TOTAL UNIT]]*BNW[[#This Row],[Total Berat Baut
(Kg)]]</f>
        <v>121.34399999999999</v>
      </c>
      <c r="N107"/>
      <c r="O107" s="25"/>
    </row>
    <row r="108" spans="1:15" x14ac:dyDescent="0.3">
      <c r="A108" t="s">
        <v>308</v>
      </c>
      <c r="B108" t="str">
        <f>IFERROR(VLOOKUP(A108,'DATA MASTER'!A:O,2,0)," ")</f>
        <v>Panel Bailey</v>
      </c>
      <c r="C108" t="str">
        <f>IFERROR(VLOOKUP(A108,'DATA MASTER'!A:O,4,0)," ")</f>
        <v>21 DS-EW</v>
      </c>
      <c r="D108" t="s">
        <v>138</v>
      </c>
      <c r="E108" t="s">
        <v>106</v>
      </c>
      <c r="F108" s="1">
        <v>8.8000000000000007</v>
      </c>
      <c r="G108" s="1">
        <v>16</v>
      </c>
      <c r="H108">
        <v>0.29399999999999998</v>
      </c>
      <c r="I108" s="16">
        <f>BNW[[#This Row],[Berat Satuan
(Kg)]]*BNW[[#This Row],[Qty
(Set)]]</f>
        <v>4.7039999999999997</v>
      </c>
      <c r="K108" s="1">
        <f>SUMIF(DATA_MASTER[NO. PON],BNW[[#This Row],[No.PON]],DATA_MASTER[Qty
(Unit)])</f>
        <v>2</v>
      </c>
      <c r="L108" s="16">
        <f>BNW[[#This Row],[TOTAL UNIT]]*BNW[[#This Row],[Total Berat Baut
(Kg)]]</f>
        <v>9.4079999999999995</v>
      </c>
      <c r="N108"/>
      <c r="O108" s="25"/>
    </row>
    <row r="109" spans="1:15" x14ac:dyDescent="0.3">
      <c r="A109" t="s">
        <v>308</v>
      </c>
      <c r="B109" t="str">
        <f>IFERROR(VLOOKUP(A109,'DATA MASTER'!A:O,2,0)," ")</f>
        <v>Panel Bailey</v>
      </c>
      <c r="C109" t="str">
        <f>IFERROR(VLOOKUP(A109,'DATA MASTER'!A:O,4,0)," ")</f>
        <v>21 DS-EW</v>
      </c>
      <c r="D109" t="s">
        <v>139</v>
      </c>
      <c r="E109" t="s">
        <v>106</v>
      </c>
      <c r="F109" s="1">
        <v>8.8000000000000007</v>
      </c>
      <c r="G109" s="1">
        <v>7</v>
      </c>
      <c r="H109">
        <v>0.29399999999999998</v>
      </c>
      <c r="I109" s="16">
        <f>BNW[[#This Row],[Berat Satuan
(Kg)]]*BNW[[#This Row],[Qty
(Set)]]</f>
        <v>2.0579999999999998</v>
      </c>
      <c r="K109" s="1">
        <f>SUMIF(DATA_MASTER[NO. PON],BNW[[#This Row],[No.PON]],DATA_MASTER[Qty
(Unit)])</f>
        <v>2</v>
      </c>
      <c r="L109" s="16">
        <f>BNW[[#This Row],[TOTAL UNIT]]*BNW[[#This Row],[Total Berat Baut
(Kg)]]</f>
        <v>4.1159999999999997</v>
      </c>
      <c r="N109"/>
      <c r="O109" s="25"/>
    </row>
    <row r="110" spans="1:15" x14ac:dyDescent="0.3">
      <c r="A110" t="s">
        <v>308</v>
      </c>
      <c r="B110" t="str">
        <f>IFERROR(VLOOKUP(A110,'DATA MASTER'!A:O,2,0)," ")</f>
        <v>Panel Bailey</v>
      </c>
      <c r="C110" t="str">
        <f>IFERROR(VLOOKUP(A110,'DATA MASTER'!A:O,4,0)," ")</f>
        <v>21 DS-EW</v>
      </c>
      <c r="D110" t="s">
        <v>140</v>
      </c>
      <c r="E110" t="s">
        <v>106</v>
      </c>
      <c r="F110" s="1">
        <v>8.8000000000000007</v>
      </c>
      <c r="G110" s="1">
        <v>112</v>
      </c>
      <c r="H110">
        <v>0.24399999999999999</v>
      </c>
      <c r="I110" s="16">
        <f>BNW[[#This Row],[Berat Satuan
(Kg)]]*BNW[[#This Row],[Qty
(Set)]]</f>
        <v>27.327999999999999</v>
      </c>
      <c r="K110" s="1">
        <f>SUMIF(DATA_MASTER[NO. PON],BNW[[#This Row],[No.PON]],DATA_MASTER[Qty
(Unit)])</f>
        <v>2</v>
      </c>
      <c r="L110" s="16">
        <f>BNW[[#This Row],[TOTAL UNIT]]*BNW[[#This Row],[Total Berat Baut
(Kg)]]</f>
        <v>54.655999999999999</v>
      </c>
      <c r="N110"/>
      <c r="O110" s="25"/>
    </row>
    <row r="111" spans="1:15" x14ac:dyDescent="0.3">
      <c r="A111" t="s">
        <v>308</v>
      </c>
      <c r="B111" t="str">
        <f>IFERROR(VLOOKUP(A111,'DATA MASTER'!A:O,2,0)," ")</f>
        <v>Panel Bailey</v>
      </c>
      <c r="C111" t="str">
        <f>IFERROR(VLOOKUP(A111,'DATA MASTER'!A:O,4,0)," ")</f>
        <v>21 DS-EW</v>
      </c>
      <c r="D111" t="s">
        <v>142</v>
      </c>
      <c r="E111" t="s">
        <v>106</v>
      </c>
      <c r="F111" s="1">
        <v>8.8000000000000007</v>
      </c>
      <c r="G111" s="1">
        <v>56</v>
      </c>
      <c r="H111">
        <v>0.13600000000000001</v>
      </c>
      <c r="I111" s="16">
        <f>BNW[[#This Row],[Berat Satuan
(Kg)]]*BNW[[#This Row],[Qty
(Set)]]</f>
        <v>7.6160000000000005</v>
      </c>
      <c r="K111" s="1">
        <f>SUMIF(DATA_MASTER[NO. PON],BNW[[#This Row],[No.PON]],DATA_MASTER[Qty
(Unit)])</f>
        <v>2</v>
      </c>
      <c r="L111" s="16">
        <f>BNW[[#This Row],[TOTAL UNIT]]*BNW[[#This Row],[Total Berat Baut
(Kg)]]</f>
        <v>15.232000000000001</v>
      </c>
      <c r="N111"/>
      <c r="O111" s="25"/>
    </row>
    <row r="112" spans="1:15" x14ac:dyDescent="0.3">
      <c r="A112" t="s">
        <v>309</v>
      </c>
      <c r="B112" t="str">
        <f>IFERROR(VLOOKUP(A112,'DATA MASTER'!A:O,2,0)," ")</f>
        <v>Panel Bailey</v>
      </c>
      <c r="C112" t="str">
        <f>IFERROR(VLOOKUP(A112,'DATA MASTER'!A:O,4,0)," ")</f>
        <v>18 DSR1-EW</v>
      </c>
      <c r="D112" t="s">
        <v>133</v>
      </c>
      <c r="E112" t="s">
        <v>106</v>
      </c>
      <c r="F112" s="1" t="s">
        <v>296</v>
      </c>
      <c r="G112" s="1">
        <v>96</v>
      </c>
      <c r="H112">
        <v>0.53</v>
      </c>
      <c r="I112" s="16">
        <f>BNW[[#This Row],[Berat Satuan
(Kg)]]*BNW[[#This Row],[Qty
(Set)]]</f>
        <v>50.88</v>
      </c>
      <c r="K112" s="1">
        <f>SUMIF(DATA_MASTER[NO. PON],BNW[[#This Row],[No.PON]],DATA_MASTER[Qty
(Unit)])</f>
        <v>1</v>
      </c>
      <c r="L112" s="16">
        <f>BNW[[#This Row],[TOTAL UNIT]]*BNW[[#This Row],[Total Berat Baut
(Kg)]]</f>
        <v>50.88</v>
      </c>
      <c r="N112"/>
      <c r="O112" s="25"/>
    </row>
    <row r="113" spans="1:15" x14ac:dyDescent="0.3">
      <c r="A113" t="s">
        <v>309</v>
      </c>
      <c r="B113" t="str">
        <f>IFERROR(VLOOKUP(A113,'DATA MASTER'!A:O,2,0)," ")</f>
        <v>Panel Bailey</v>
      </c>
      <c r="C113" t="str">
        <f>IFERROR(VLOOKUP(A113,'DATA MASTER'!A:O,4,0)," ")</f>
        <v>18 DSR1-EW</v>
      </c>
      <c r="D113" t="s">
        <v>134</v>
      </c>
      <c r="E113" t="s">
        <v>106</v>
      </c>
      <c r="F113" s="1">
        <v>8.8000000000000007</v>
      </c>
      <c r="G113" s="1">
        <v>102</v>
      </c>
      <c r="H113">
        <v>0.46</v>
      </c>
      <c r="I113" s="16">
        <f>BNW[[#This Row],[Berat Satuan
(Kg)]]*BNW[[#This Row],[Qty
(Set)]]</f>
        <v>46.92</v>
      </c>
      <c r="K113" s="1">
        <f>SUMIF(DATA_MASTER[NO. PON],BNW[[#This Row],[No.PON]],DATA_MASTER[Qty
(Unit)])</f>
        <v>1</v>
      </c>
      <c r="L113" s="16">
        <f>BNW[[#This Row],[TOTAL UNIT]]*BNW[[#This Row],[Total Berat Baut
(Kg)]]</f>
        <v>46.92</v>
      </c>
      <c r="N113"/>
      <c r="O113" s="25"/>
    </row>
    <row r="114" spans="1:15" x14ac:dyDescent="0.3">
      <c r="A114" t="s">
        <v>309</v>
      </c>
      <c r="B114" t="str">
        <f>IFERROR(VLOOKUP(A114,'DATA MASTER'!A:O,2,0)," ")</f>
        <v>Panel Bailey</v>
      </c>
      <c r="C114" t="str">
        <f>IFERROR(VLOOKUP(A114,'DATA MASTER'!A:O,4,0)," ")</f>
        <v>18 DSR1-EW</v>
      </c>
      <c r="D114" t="s">
        <v>135</v>
      </c>
      <c r="E114" t="s">
        <v>106</v>
      </c>
      <c r="F114" s="1">
        <v>8.8000000000000007</v>
      </c>
      <c r="G114" s="1">
        <v>48</v>
      </c>
      <c r="H114">
        <v>0.43</v>
      </c>
      <c r="I114" s="16">
        <f>BNW[[#This Row],[Berat Satuan
(Kg)]]*BNW[[#This Row],[Qty
(Set)]]</f>
        <v>20.64</v>
      </c>
      <c r="K114" s="1">
        <f>SUMIF(DATA_MASTER[NO. PON],BNW[[#This Row],[No.PON]],DATA_MASTER[Qty
(Unit)])</f>
        <v>1</v>
      </c>
      <c r="L114" s="16">
        <f>BNW[[#This Row],[TOTAL UNIT]]*BNW[[#This Row],[Total Berat Baut
(Kg)]]</f>
        <v>20.64</v>
      </c>
      <c r="N114"/>
      <c r="O114" s="25"/>
    </row>
    <row r="115" spans="1:15" x14ac:dyDescent="0.3">
      <c r="A115" t="s">
        <v>309</v>
      </c>
      <c r="B115" t="str">
        <f>IFERROR(VLOOKUP(A115,'DATA MASTER'!A:O,2,0)," ")</f>
        <v>Panel Bailey</v>
      </c>
      <c r="C115" t="str">
        <f>IFERROR(VLOOKUP(A115,'DATA MASTER'!A:O,4,0)," ")</f>
        <v>18 DSR1-EW</v>
      </c>
      <c r="D115" t="s">
        <v>136</v>
      </c>
      <c r="E115" t="s">
        <v>106</v>
      </c>
      <c r="F115" s="1">
        <v>8.8000000000000007</v>
      </c>
      <c r="G115" s="1">
        <v>32</v>
      </c>
      <c r="H115">
        <v>0.41</v>
      </c>
      <c r="I115" s="16">
        <f>BNW[[#This Row],[Berat Satuan
(Kg)]]*BNW[[#This Row],[Qty
(Set)]]</f>
        <v>13.12</v>
      </c>
      <c r="K115" s="1">
        <f>SUMIF(DATA_MASTER[NO. PON],BNW[[#This Row],[No.PON]],DATA_MASTER[Qty
(Unit)])</f>
        <v>1</v>
      </c>
      <c r="L115" s="16">
        <f>BNW[[#This Row],[TOTAL UNIT]]*BNW[[#This Row],[Total Berat Baut
(Kg)]]</f>
        <v>13.12</v>
      </c>
      <c r="N115"/>
      <c r="O115" s="25"/>
    </row>
    <row r="116" spans="1:15" x14ac:dyDescent="0.3">
      <c r="A116" t="s">
        <v>309</v>
      </c>
      <c r="B116" t="str">
        <f>IFERROR(VLOOKUP(A116,'DATA MASTER'!A:O,2,0)," ")</f>
        <v>Panel Bailey</v>
      </c>
      <c r="C116" t="str">
        <f>IFERROR(VLOOKUP(A116,'DATA MASTER'!A:O,4,0)," ")</f>
        <v>18 DSR1-EW</v>
      </c>
      <c r="D116" t="s">
        <v>137</v>
      </c>
      <c r="E116" t="s">
        <v>106</v>
      </c>
      <c r="F116" s="1">
        <v>8.8000000000000007</v>
      </c>
      <c r="G116" s="1">
        <v>112</v>
      </c>
      <c r="H116">
        <v>0.47399999999999998</v>
      </c>
      <c r="I116" s="16">
        <f>BNW[[#This Row],[Berat Satuan
(Kg)]]*BNW[[#This Row],[Qty
(Set)]]</f>
        <v>53.087999999999994</v>
      </c>
      <c r="K116" s="1">
        <f>SUMIF(DATA_MASTER[NO. PON],BNW[[#This Row],[No.PON]],DATA_MASTER[Qty
(Unit)])</f>
        <v>1</v>
      </c>
      <c r="L116" s="16">
        <f>BNW[[#This Row],[TOTAL UNIT]]*BNW[[#This Row],[Total Berat Baut
(Kg)]]</f>
        <v>53.087999999999994</v>
      </c>
      <c r="N116"/>
      <c r="O116" s="25"/>
    </row>
    <row r="117" spans="1:15" x14ac:dyDescent="0.3">
      <c r="A117" t="s">
        <v>309</v>
      </c>
      <c r="B117" t="str">
        <f>IFERROR(VLOOKUP(A117,'DATA MASTER'!A:O,2,0)," ")</f>
        <v>Panel Bailey</v>
      </c>
      <c r="C117" t="str">
        <f>IFERROR(VLOOKUP(A117,'DATA MASTER'!A:O,4,0)," ")</f>
        <v>18 DSR1-EW</v>
      </c>
      <c r="D117" t="s">
        <v>138</v>
      </c>
      <c r="E117" t="s">
        <v>106</v>
      </c>
      <c r="F117" s="1">
        <v>8.8000000000000007</v>
      </c>
      <c r="G117" s="1">
        <v>20</v>
      </c>
      <c r="H117">
        <v>0.29399999999999998</v>
      </c>
      <c r="I117" s="16">
        <f>BNW[[#This Row],[Berat Satuan
(Kg)]]*BNW[[#This Row],[Qty
(Set)]]</f>
        <v>5.88</v>
      </c>
      <c r="K117" s="1">
        <f>SUMIF(DATA_MASTER[NO. PON],BNW[[#This Row],[No.PON]],DATA_MASTER[Qty
(Unit)])</f>
        <v>1</v>
      </c>
      <c r="L117" s="16">
        <f>BNW[[#This Row],[TOTAL UNIT]]*BNW[[#This Row],[Total Berat Baut
(Kg)]]</f>
        <v>5.88</v>
      </c>
      <c r="N117"/>
      <c r="O117" s="25"/>
    </row>
    <row r="118" spans="1:15" x14ac:dyDescent="0.3">
      <c r="A118" t="s">
        <v>309</v>
      </c>
      <c r="B118" t="str">
        <f>IFERROR(VLOOKUP(A118,'DATA MASTER'!A:O,2,0)," ")</f>
        <v>Panel Bailey</v>
      </c>
      <c r="C118" t="str">
        <f>IFERROR(VLOOKUP(A118,'DATA MASTER'!A:O,4,0)," ")</f>
        <v>18 DSR1-EW</v>
      </c>
      <c r="D118" t="s">
        <v>139</v>
      </c>
      <c r="E118" t="s">
        <v>106</v>
      </c>
      <c r="F118" s="1">
        <v>8.8000000000000007</v>
      </c>
      <c r="G118" s="1">
        <v>6</v>
      </c>
      <c r="H118">
        <v>0.29399999999999998</v>
      </c>
      <c r="I118" s="16">
        <f>BNW[[#This Row],[Berat Satuan
(Kg)]]*BNW[[#This Row],[Qty
(Set)]]</f>
        <v>1.7639999999999998</v>
      </c>
      <c r="K118" s="1">
        <f>SUMIF(DATA_MASTER[NO. PON],BNW[[#This Row],[No.PON]],DATA_MASTER[Qty
(Unit)])</f>
        <v>1</v>
      </c>
      <c r="L118" s="16">
        <f>BNW[[#This Row],[TOTAL UNIT]]*BNW[[#This Row],[Total Berat Baut
(Kg)]]</f>
        <v>1.7639999999999998</v>
      </c>
      <c r="N118"/>
      <c r="O118" s="25"/>
    </row>
    <row r="119" spans="1:15" x14ac:dyDescent="0.3">
      <c r="A119" t="s">
        <v>309</v>
      </c>
      <c r="B119" t="str">
        <f>IFERROR(VLOOKUP(A119,'DATA MASTER'!A:O,2,0)," ")</f>
        <v>Panel Bailey</v>
      </c>
      <c r="C119" t="str">
        <f>IFERROR(VLOOKUP(A119,'DATA MASTER'!A:O,4,0)," ")</f>
        <v>18 DSR1-EW</v>
      </c>
      <c r="D119" t="s">
        <v>140</v>
      </c>
      <c r="E119" t="s">
        <v>106</v>
      </c>
      <c r="F119" s="1">
        <v>8.8000000000000007</v>
      </c>
      <c r="G119" s="1">
        <v>96</v>
      </c>
      <c r="H119">
        <v>0.24399999999999999</v>
      </c>
      <c r="I119" s="16">
        <f>BNW[[#This Row],[Berat Satuan
(Kg)]]*BNW[[#This Row],[Qty
(Set)]]</f>
        <v>23.423999999999999</v>
      </c>
      <c r="K119" s="1">
        <f>SUMIF(DATA_MASTER[NO. PON],BNW[[#This Row],[No.PON]],DATA_MASTER[Qty
(Unit)])</f>
        <v>1</v>
      </c>
      <c r="L119" s="16">
        <f>BNW[[#This Row],[TOTAL UNIT]]*BNW[[#This Row],[Total Berat Baut
(Kg)]]</f>
        <v>23.423999999999999</v>
      </c>
      <c r="N119"/>
      <c r="O119" s="25"/>
    </row>
    <row r="120" spans="1:15" x14ac:dyDescent="0.3">
      <c r="A120" t="s">
        <v>309</v>
      </c>
      <c r="B120" t="str">
        <f>IFERROR(VLOOKUP(A120,'DATA MASTER'!A:O,2,0)," ")</f>
        <v>Panel Bailey</v>
      </c>
      <c r="C120" t="str">
        <f>IFERROR(VLOOKUP(A120,'DATA MASTER'!A:O,4,0)," ")</f>
        <v>18 DSR1-EW</v>
      </c>
      <c r="D120" t="s">
        <v>141</v>
      </c>
      <c r="E120" t="s">
        <v>106</v>
      </c>
      <c r="F120" s="1">
        <v>8.8000000000000007</v>
      </c>
      <c r="G120" s="1">
        <v>8</v>
      </c>
      <c r="H120">
        <v>0.14000000000000001</v>
      </c>
      <c r="I120" s="16">
        <f>BNW[[#This Row],[Berat Satuan
(Kg)]]*BNW[[#This Row],[Qty
(Set)]]</f>
        <v>1.1200000000000001</v>
      </c>
      <c r="K120" s="1">
        <f>SUMIF(DATA_MASTER[NO. PON],BNW[[#This Row],[No.PON]],DATA_MASTER[Qty
(Unit)])</f>
        <v>1</v>
      </c>
      <c r="L120" s="16">
        <f>BNW[[#This Row],[TOTAL UNIT]]*BNW[[#This Row],[Total Berat Baut
(Kg)]]</f>
        <v>1.1200000000000001</v>
      </c>
      <c r="N120"/>
      <c r="O120" s="25"/>
    </row>
    <row r="121" spans="1:15" x14ac:dyDescent="0.3">
      <c r="A121" t="s">
        <v>309</v>
      </c>
      <c r="B121" t="str">
        <f>IFERROR(VLOOKUP(A121,'DATA MASTER'!A:O,2,0)," ")</f>
        <v>Panel Bailey</v>
      </c>
      <c r="C121" t="str">
        <f>IFERROR(VLOOKUP(A121,'DATA MASTER'!A:O,4,0)," ")</f>
        <v>18 DSR1-EW</v>
      </c>
      <c r="D121" t="s">
        <v>142</v>
      </c>
      <c r="E121" t="s">
        <v>106</v>
      </c>
      <c r="F121" s="1">
        <v>8.8000000000000007</v>
      </c>
      <c r="G121" s="1">
        <v>48</v>
      </c>
      <c r="H121">
        <v>0.13600000000000001</v>
      </c>
      <c r="I121" s="16">
        <f>BNW[[#This Row],[Berat Satuan
(Kg)]]*BNW[[#This Row],[Qty
(Set)]]</f>
        <v>6.5280000000000005</v>
      </c>
      <c r="K121" s="1">
        <f>SUMIF(DATA_MASTER[NO. PON],BNW[[#This Row],[No.PON]],DATA_MASTER[Qty
(Unit)])</f>
        <v>1</v>
      </c>
      <c r="L121" s="16">
        <f>BNW[[#This Row],[TOTAL UNIT]]*BNW[[#This Row],[Total Berat Baut
(Kg)]]</f>
        <v>6.5280000000000005</v>
      </c>
      <c r="N121"/>
      <c r="O121" s="25"/>
    </row>
    <row r="122" spans="1:15" x14ac:dyDescent="0.3">
      <c r="A122" t="s">
        <v>310</v>
      </c>
      <c r="B122" t="str">
        <f>IFERROR(VLOOKUP(A122,'DATA MASTER'!A:O,2,0)," ")</f>
        <v>Panel Bailey</v>
      </c>
      <c r="C122" t="str">
        <f>IFERROR(VLOOKUP(A122,'DATA MASTER'!A:O,4,0)," ")</f>
        <v>18 DSR2-EW</v>
      </c>
      <c r="D122" t="s">
        <v>134</v>
      </c>
      <c r="E122" t="s">
        <v>106</v>
      </c>
      <c r="F122" s="1">
        <v>8.8000000000000007</v>
      </c>
      <c r="G122" s="1">
        <v>102</v>
      </c>
      <c r="H122">
        <v>0.46</v>
      </c>
      <c r="I122" s="16">
        <f>BNW[[#This Row],[Berat Satuan
(Kg)]]*BNW[[#This Row],[Qty
(Set)]]</f>
        <v>46.92</v>
      </c>
      <c r="K122" s="1">
        <f>SUMIF(DATA_MASTER[NO. PON],BNW[[#This Row],[No.PON]],DATA_MASTER[Qty
(Unit)])</f>
        <v>1</v>
      </c>
      <c r="L122" s="16">
        <f>BNW[[#This Row],[TOTAL UNIT]]*BNW[[#This Row],[Total Berat Baut
(Kg)]]</f>
        <v>46.92</v>
      </c>
      <c r="N122"/>
      <c r="O122" s="25"/>
    </row>
    <row r="123" spans="1:15" x14ac:dyDescent="0.3">
      <c r="A123" t="s">
        <v>310</v>
      </c>
      <c r="B123" t="str">
        <f>IFERROR(VLOOKUP(A123,'DATA MASTER'!A:O,2,0)," ")</f>
        <v>Panel Bailey</v>
      </c>
      <c r="C123" t="str">
        <f>IFERROR(VLOOKUP(A123,'DATA MASTER'!A:O,4,0)," ")</f>
        <v>18 DSR2-EW</v>
      </c>
      <c r="D123" t="s">
        <v>135</v>
      </c>
      <c r="E123" t="s">
        <v>106</v>
      </c>
      <c r="F123" s="1">
        <v>8.8000000000000007</v>
      </c>
      <c r="G123" s="1">
        <v>48</v>
      </c>
      <c r="H123">
        <v>0.43</v>
      </c>
      <c r="I123" s="16">
        <f>BNW[[#This Row],[Berat Satuan
(Kg)]]*BNW[[#This Row],[Qty
(Set)]]</f>
        <v>20.64</v>
      </c>
      <c r="K123" s="1">
        <f>SUMIF(DATA_MASTER[NO. PON],BNW[[#This Row],[No.PON]],DATA_MASTER[Qty
(Unit)])</f>
        <v>1</v>
      </c>
      <c r="L123" s="16">
        <f>BNW[[#This Row],[TOTAL UNIT]]*BNW[[#This Row],[Total Berat Baut
(Kg)]]</f>
        <v>20.64</v>
      </c>
      <c r="N123"/>
      <c r="O123" s="25"/>
    </row>
    <row r="124" spans="1:15" x14ac:dyDescent="0.3">
      <c r="A124" t="s">
        <v>310</v>
      </c>
      <c r="B124" t="str">
        <f>IFERROR(VLOOKUP(A124,'DATA MASTER'!A:O,2,0)," ")</f>
        <v>Panel Bailey</v>
      </c>
      <c r="C124" t="str">
        <f>IFERROR(VLOOKUP(A124,'DATA MASTER'!A:O,4,0)," ")</f>
        <v>18 DSR2-EW</v>
      </c>
      <c r="D124" t="s">
        <v>136</v>
      </c>
      <c r="E124" t="s">
        <v>106</v>
      </c>
      <c r="F124" s="1">
        <v>8.8000000000000007</v>
      </c>
      <c r="G124" s="1">
        <v>32</v>
      </c>
      <c r="H124">
        <v>0.41</v>
      </c>
      <c r="I124" s="16">
        <f>BNW[[#This Row],[Berat Satuan
(Kg)]]*BNW[[#This Row],[Qty
(Set)]]</f>
        <v>13.12</v>
      </c>
      <c r="K124" s="1">
        <f>SUMIF(DATA_MASTER[NO. PON],BNW[[#This Row],[No.PON]],DATA_MASTER[Qty
(Unit)])</f>
        <v>1</v>
      </c>
      <c r="L124" s="16">
        <f>BNW[[#This Row],[TOTAL UNIT]]*BNW[[#This Row],[Total Berat Baut
(Kg)]]</f>
        <v>13.12</v>
      </c>
      <c r="N124"/>
      <c r="O124" s="25"/>
    </row>
    <row r="125" spans="1:15" x14ac:dyDescent="0.3">
      <c r="A125" t="s">
        <v>310</v>
      </c>
      <c r="B125" t="str">
        <f>IFERROR(VLOOKUP(A125,'DATA MASTER'!A:O,2,0)," ")</f>
        <v>Panel Bailey</v>
      </c>
      <c r="C125" t="str">
        <f>IFERROR(VLOOKUP(A125,'DATA MASTER'!A:O,4,0)," ")</f>
        <v>18 DSR2-EW</v>
      </c>
      <c r="D125" t="s">
        <v>137</v>
      </c>
      <c r="E125" t="s">
        <v>106</v>
      </c>
      <c r="F125" s="1">
        <v>8.8000000000000007</v>
      </c>
      <c r="G125" s="1">
        <v>112</v>
      </c>
      <c r="H125">
        <v>0.47399999999999998</v>
      </c>
      <c r="I125" s="16">
        <f>BNW[[#This Row],[Berat Satuan
(Kg)]]*BNW[[#This Row],[Qty
(Set)]]</f>
        <v>53.087999999999994</v>
      </c>
      <c r="K125" s="1">
        <f>SUMIF(DATA_MASTER[NO. PON],BNW[[#This Row],[No.PON]],DATA_MASTER[Qty
(Unit)])</f>
        <v>1</v>
      </c>
      <c r="L125" s="16">
        <f>BNW[[#This Row],[TOTAL UNIT]]*BNW[[#This Row],[Total Berat Baut
(Kg)]]</f>
        <v>53.087999999999994</v>
      </c>
      <c r="N125"/>
      <c r="O125" s="25"/>
    </row>
    <row r="126" spans="1:15" x14ac:dyDescent="0.3">
      <c r="A126" t="s">
        <v>310</v>
      </c>
      <c r="B126" t="str">
        <f>IFERROR(VLOOKUP(A126,'DATA MASTER'!A:O,2,0)," ")</f>
        <v>Panel Bailey</v>
      </c>
      <c r="C126" t="str">
        <f>IFERROR(VLOOKUP(A126,'DATA MASTER'!A:O,4,0)," ")</f>
        <v>18 DSR2-EW</v>
      </c>
      <c r="D126" t="s">
        <v>138</v>
      </c>
      <c r="E126" t="s">
        <v>106</v>
      </c>
      <c r="F126" s="1">
        <v>8.8000000000000007</v>
      </c>
      <c r="G126" s="1">
        <v>16</v>
      </c>
      <c r="H126">
        <v>0.29399999999999998</v>
      </c>
      <c r="I126" s="16">
        <f>BNW[[#This Row],[Berat Satuan
(Kg)]]*BNW[[#This Row],[Qty
(Set)]]</f>
        <v>4.7039999999999997</v>
      </c>
      <c r="K126" s="1">
        <f>SUMIF(DATA_MASTER[NO. PON],BNW[[#This Row],[No.PON]],DATA_MASTER[Qty
(Unit)])</f>
        <v>1</v>
      </c>
      <c r="L126" s="16">
        <f>BNW[[#This Row],[TOTAL UNIT]]*BNW[[#This Row],[Total Berat Baut
(Kg)]]</f>
        <v>4.7039999999999997</v>
      </c>
      <c r="N126"/>
      <c r="O126" s="25"/>
    </row>
    <row r="127" spans="1:15" x14ac:dyDescent="0.3">
      <c r="A127" t="s">
        <v>310</v>
      </c>
      <c r="B127" t="str">
        <f>IFERROR(VLOOKUP(A127,'DATA MASTER'!A:O,2,0)," ")</f>
        <v>Panel Bailey</v>
      </c>
      <c r="C127" t="str">
        <f>IFERROR(VLOOKUP(A127,'DATA MASTER'!A:O,4,0)," ")</f>
        <v>18 DSR2-EW</v>
      </c>
      <c r="D127" t="s">
        <v>139</v>
      </c>
      <c r="E127" t="s">
        <v>106</v>
      </c>
      <c r="F127" s="1">
        <v>8.8000000000000007</v>
      </c>
      <c r="G127" s="1">
        <v>6</v>
      </c>
      <c r="H127">
        <v>0.29399999999999998</v>
      </c>
      <c r="I127" s="16">
        <f>BNW[[#This Row],[Berat Satuan
(Kg)]]*BNW[[#This Row],[Qty
(Set)]]</f>
        <v>1.7639999999999998</v>
      </c>
      <c r="K127" s="1">
        <f>SUMIF(DATA_MASTER[NO. PON],BNW[[#This Row],[No.PON]],DATA_MASTER[Qty
(Unit)])</f>
        <v>1</v>
      </c>
      <c r="L127" s="16">
        <f>BNW[[#This Row],[TOTAL UNIT]]*BNW[[#This Row],[Total Berat Baut
(Kg)]]</f>
        <v>1.7639999999999998</v>
      </c>
      <c r="N127"/>
      <c r="O127" s="25"/>
    </row>
    <row r="128" spans="1:15" x14ac:dyDescent="0.3">
      <c r="A128" t="s">
        <v>310</v>
      </c>
      <c r="B128" t="str">
        <f>IFERROR(VLOOKUP(A128,'DATA MASTER'!A:O,2,0)," ")</f>
        <v>Panel Bailey</v>
      </c>
      <c r="C128" t="str">
        <f>IFERROR(VLOOKUP(A128,'DATA MASTER'!A:O,4,0)," ")</f>
        <v>18 DSR2-EW</v>
      </c>
      <c r="D128" t="s">
        <v>140</v>
      </c>
      <c r="E128" t="s">
        <v>106</v>
      </c>
      <c r="F128" s="1">
        <v>8.8000000000000007</v>
      </c>
      <c r="G128" s="1">
        <v>96</v>
      </c>
      <c r="H128">
        <v>0.24399999999999999</v>
      </c>
      <c r="I128" s="16">
        <f>BNW[[#This Row],[Berat Satuan
(Kg)]]*BNW[[#This Row],[Qty
(Set)]]</f>
        <v>23.423999999999999</v>
      </c>
      <c r="K128" s="1">
        <f>SUMIF(DATA_MASTER[NO. PON],BNW[[#This Row],[No.PON]],DATA_MASTER[Qty
(Unit)])</f>
        <v>1</v>
      </c>
      <c r="L128" s="16">
        <f>BNW[[#This Row],[TOTAL UNIT]]*BNW[[#This Row],[Total Berat Baut
(Kg)]]</f>
        <v>23.423999999999999</v>
      </c>
      <c r="N128"/>
      <c r="O128" s="25"/>
    </row>
    <row r="129" spans="1:15" x14ac:dyDescent="0.3">
      <c r="A129" t="s">
        <v>310</v>
      </c>
      <c r="B129" t="str">
        <f>IFERROR(VLOOKUP(A129,'DATA MASTER'!A:O,2,0)," ")</f>
        <v>Panel Bailey</v>
      </c>
      <c r="C129" t="str">
        <f>IFERROR(VLOOKUP(A129,'DATA MASTER'!A:O,4,0)," ")</f>
        <v>18 DSR2-EW</v>
      </c>
      <c r="D129" t="s">
        <v>142</v>
      </c>
      <c r="E129" t="s">
        <v>106</v>
      </c>
      <c r="F129" s="1">
        <v>8.8000000000000007</v>
      </c>
      <c r="G129" s="1">
        <v>48</v>
      </c>
      <c r="H129">
        <v>0.13600000000000001</v>
      </c>
      <c r="I129" s="16">
        <f>BNW[[#This Row],[Berat Satuan
(Kg)]]*BNW[[#This Row],[Qty
(Set)]]</f>
        <v>6.5280000000000005</v>
      </c>
      <c r="K129" s="1">
        <f>SUMIF(DATA_MASTER[NO. PON],BNW[[#This Row],[No.PON]],DATA_MASTER[Qty
(Unit)])</f>
        <v>1</v>
      </c>
      <c r="L129" s="16">
        <f>BNW[[#This Row],[TOTAL UNIT]]*BNW[[#This Row],[Total Berat Baut
(Kg)]]</f>
        <v>6.5280000000000005</v>
      </c>
      <c r="N129"/>
      <c r="O129" s="25"/>
    </row>
    <row r="130" spans="1:15" x14ac:dyDescent="0.3">
      <c r="A130" t="s">
        <v>367</v>
      </c>
      <c r="B130" t="str">
        <f>IFERROR(VLOOKUP(A130,'DATA MASTER'!A:O,2,0)," ")</f>
        <v>Panel Bailey</v>
      </c>
      <c r="C130" t="str">
        <f>IFERROR(VLOOKUP(A130,'DATA MASTER'!A:O,4,0)," ")</f>
        <v>33 DSR2H*-EW (U120)</v>
      </c>
      <c r="D130" t="s">
        <v>132</v>
      </c>
      <c r="E130" t="s">
        <v>106</v>
      </c>
      <c r="F130" s="1">
        <v>8.8000000000000007</v>
      </c>
      <c r="G130" s="1">
        <v>16</v>
      </c>
      <c r="H130">
        <v>0.67</v>
      </c>
      <c r="I130" s="16">
        <f>BNW[[#This Row],[Berat Satuan
(Kg)]]*BNW[[#This Row],[Qty
(Set)]]</f>
        <v>10.72</v>
      </c>
      <c r="K130" s="1">
        <f>SUMIF(DATA_MASTER[NO. PON],BNW[[#This Row],[No.PON]],DATA_MASTER[Qty
(Unit)])</f>
        <v>1</v>
      </c>
      <c r="L130" s="16">
        <f>BNW[[#This Row],[TOTAL UNIT]]*BNW[[#This Row],[Total Berat Baut
(Kg)]]</f>
        <v>10.72</v>
      </c>
      <c r="N130"/>
      <c r="O130" s="25"/>
    </row>
    <row r="131" spans="1:15" x14ac:dyDescent="0.3">
      <c r="A131" t="s">
        <v>367</v>
      </c>
      <c r="B131" t="str">
        <f>IFERROR(VLOOKUP(A131,'DATA MASTER'!A:O,2,0)," ")</f>
        <v>Panel Bailey</v>
      </c>
      <c r="C131" t="str">
        <f>IFERROR(VLOOKUP(A131,'DATA MASTER'!A:O,4,0)," ")</f>
        <v>33 DSR2H*-EW (U120)</v>
      </c>
      <c r="D131" t="s">
        <v>133</v>
      </c>
      <c r="E131" t="s">
        <v>106</v>
      </c>
      <c r="F131" s="1" t="s">
        <v>296</v>
      </c>
      <c r="G131" s="1">
        <v>336</v>
      </c>
      <c r="H131">
        <v>0.53</v>
      </c>
      <c r="I131" s="16">
        <f>BNW[[#This Row],[Berat Satuan
(Kg)]]*BNW[[#This Row],[Qty
(Set)]]</f>
        <v>178.08</v>
      </c>
      <c r="K131" s="1">
        <f>SUMIF(DATA_MASTER[NO. PON],BNW[[#This Row],[No.PON]],DATA_MASTER[Qty
(Unit)])</f>
        <v>1</v>
      </c>
      <c r="L131" s="16">
        <f>BNW[[#This Row],[TOTAL UNIT]]*BNW[[#This Row],[Total Berat Baut
(Kg)]]</f>
        <v>178.08</v>
      </c>
      <c r="N131"/>
      <c r="O131" s="25"/>
    </row>
    <row r="132" spans="1:15" x14ac:dyDescent="0.3">
      <c r="A132" t="s">
        <v>367</v>
      </c>
      <c r="B132" t="str">
        <f>IFERROR(VLOOKUP(A132,'DATA MASTER'!A:O,2,0)," ")</f>
        <v>Panel Bailey</v>
      </c>
      <c r="C132" t="str">
        <f>IFERROR(VLOOKUP(A132,'DATA MASTER'!A:O,4,0)," ")</f>
        <v>33 DSR2H*-EW (U120)</v>
      </c>
      <c r="D132" t="s">
        <v>134</v>
      </c>
      <c r="E132" t="s">
        <v>106</v>
      </c>
      <c r="F132" s="1">
        <v>8.8000000000000007</v>
      </c>
      <c r="G132" s="1">
        <v>154</v>
      </c>
      <c r="H132">
        <v>0.46</v>
      </c>
      <c r="I132" s="16">
        <f>BNW[[#This Row],[Berat Satuan
(Kg)]]*BNW[[#This Row],[Qty
(Set)]]</f>
        <v>70.84</v>
      </c>
      <c r="K132" s="1">
        <f>SUMIF(DATA_MASTER[NO. PON],BNW[[#This Row],[No.PON]],DATA_MASTER[Qty
(Unit)])</f>
        <v>1</v>
      </c>
      <c r="L132" s="16">
        <f>BNW[[#This Row],[TOTAL UNIT]]*BNW[[#This Row],[Total Berat Baut
(Kg)]]</f>
        <v>70.84</v>
      </c>
      <c r="N132"/>
      <c r="O132" s="25"/>
    </row>
    <row r="133" spans="1:15" x14ac:dyDescent="0.3">
      <c r="A133" t="s">
        <v>367</v>
      </c>
      <c r="B133" t="str">
        <f>IFERROR(VLOOKUP(A133,'DATA MASTER'!A:O,2,0)," ")</f>
        <v>Panel Bailey</v>
      </c>
      <c r="C133" t="str">
        <f>IFERROR(VLOOKUP(A133,'DATA MASTER'!A:O,4,0)," ")</f>
        <v>33 DSR2H*-EW (U120)</v>
      </c>
      <c r="D133" t="s">
        <v>135</v>
      </c>
      <c r="E133" t="s">
        <v>106</v>
      </c>
      <c r="F133" s="1">
        <v>8.8000000000000007</v>
      </c>
      <c r="G133" s="1">
        <v>88</v>
      </c>
      <c r="H133">
        <v>0.43</v>
      </c>
      <c r="I133" s="16">
        <f>BNW[[#This Row],[Berat Satuan
(Kg)]]*BNW[[#This Row],[Qty
(Set)]]</f>
        <v>37.839999999999996</v>
      </c>
      <c r="K133" s="1">
        <f>SUMIF(DATA_MASTER[NO. PON],BNW[[#This Row],[No.PON]],DATA_MASTER[Qty
(Unit)])</f>
        <v>1</v>
      </c>
      <c r="L133" s="16">
        <f>BNW[[#This Row],[TOTAL UNIT]]*BNW[[#This Row],[Total Berat Baut
(Kg)]]</f>
        <v>37.839999999999996</v>
      </c>
      <c r="N133"/>
      <c r="O133" s="25"/>
    </row>
    <row r="134" spans="1:15" x14ac:dyDescent="0.3">
      <c r="A134" t="s">
        <v>367</v>
      </c>
      <c r="B134" t="str">
        <f>IFERROR(VLOOKUP(A134,'DATA MASTER'!A:O,2,0)," ")</f>
        <v>Panel Bailey</v>
      </c>
      <c r="C134" t="str">
        <f>IFERROR(VLOOKUP(A134,'DATA MASTER'!A:O,4,0)," ")</f>
        <v>33 DSR2H*-EW (U120)</v>
      </c>
      <c r="D134" t="s">
        <v>136</v>
      </c>
      <c r="E134" t="s">
        <v>106</v>
      </c>
      <c r="F134" s="1">
        <v>8.8000000000000007</v>
      </c>
      <c r="G134" s="1">
        <v>56</v>
      </c>
      <c r="H134">
        <v>0.41</v>
      </c>
      <c r="I134" s="16">
        <f>BNW[[#This Row],[Berat Satuan
(Kg)]]*BNW[[#This Row],[Qty
(Set)]]</f>
        <v>22.959999999999997</v>
      </c>
      <c r="K134" s="1">
        <f>SUMIF(DATA_MASTER[NO. PON],BNW[[#This Row],[No.PON]],DATA_MASTER[Qty
(Unit)])</f>
        <v>1</v>
      </c>
      <c r="L134" s="16">
        <f>BNW[[#This Row],[TOTAL UNIT]]*BNW[[#This Row],[Total Berat Baut
(Kg)]]</f>
        <v>22.959999999999997</v>
      </c>
      <c r="N134"/>
      <c r="O134" s="25"/>
    </row>
    <row r="135" spans="1:15" x14ac:dyDescent="0.3">
      <c r="A135" t="s">
        <v>367</v>
      </c>
      <c r="B135" t="str">
        <f>IFERROR(VLOOKUP(A135,'DATA MASTER'!A:O,2,0)," ")</f>
        <v>Panel Bailey</v>
      </c>
      <c r="C135" t="str">
        <f>IFERROR(VLOOKUP(A135,'DATA MASTER'!A:O,4,0)," ")</f>
        <v>33 DSR2H*-EW (U120)</v>
      </c>
      <c r="D135" t="s">
        <v>137</v>
      </c>
      <c r="E135" t="s">
        <v>106</v>
      </c>
      <c r="F135" s="1">
        <v>8.8000000000000007</v>
      </c>
      <c r="G135" s="1">
        <v>208</v>
      </c>
      <c r="H135">
        <v>0.47399999999999998</v>
      </c>
      <c r="I135" s="16">
        <f>BNW[[#This Row],[Berat Satuan
(Kg)]]*BNW[[#This Row],[Qty
(Set)]]</f>
        <v>98.591999999999999</v>
      </c>
      <c r="K135" s="1">
        <f>SUMIF(DATA_MASTER[NO. PON],BNW[[#This Row],[No.PON]],DATA_MASTER[Qty
(Unit)])</f>
        <v>1</v>
      </c>
      <c r="L135" s="16">
        <f>BNW[[#This Row],[TOTAL UNIT]]*BNW[[#This Row],[Total Berat Baut
(Kg)]]</f>
        <v>98.591999999999999</v>
      </c>
      <c r="N135"/>
      <c r="O135" s="25"/>
    </row>
    <row r="136" spans="1:15" x14ac:dyDescent="0.3">
      <c r="A136" t="s">
        <v>367</v>
      </c>
      <c r="B136" t="str">
        <f>IFERROR(VLOOKUP(A136,'DATA MASTER'!A:O,2,0)," ")</f>
        <v>Panel Bailey</v>
      </c>
      <c r="C136" t="str">
        <f>IFERROR(VLOOKUP(A136,'DATA MASTER'!A:O,4,0)," ")</f>
        <v>33 DSR2H*-EW (U120)</v>
      </c>
      <c r="D136" t="s">
        <v>138</v>
      </c>
      <c r="E136" t="s">
        <v>106</v>
      </c>
      <c r="F136" s="1">
        <v>8.8000000000000007</v>
      </c>
      <c r="G136" s="1">
        <v>148</v>
      </c>
      <c r="H136">
        <v>0.29399999999999998</v>
      </c>
      <c r="I136" s="16">
        <f>BNW[[#This Row],[Berat Satuan
(Kg)]]*BNW[[#This Row],[Qty
(Set)]]</f>
        <v>43.512</v>
      </c>
      <c r="K136" s="1">
        <f>SUMIF(DATA_MASTER[NO. PON],BNW[[#This Row],[No.PON]],DATA_MASTER[Qty
(Unit)])</f>
        <v>1</v>
      </c>
      <c r="L136" s="16">
        <f>BNW[[#This Row],[TOTAL UNIT]]*BNW[[#This Row],[Total Berat Baut
(Kg)]]</f>
        <v>43.512</v>
      </c>
      <c r="N136"/>
      <c r="O136" s="25"/>
    </row>
    <row r="137" spans="1:15" x14ac:dyDescent="0.3">
      <c r="A137" t="s">
        <v>367</v>
      </c>
      <c r="B137" t="str">
        <f>IFERROR(VLOOKUP(A137,'DATA MASTER'!A:O,2,0)," ")</f>
        <v>Panel Bailey</v>
      </c>
      <c r="C137" t="str">
        <f>IFERROR(VLOOKUP(A137,'DATA MASTER'!A:O,4,0)," ")</f>
        <v>33 DSR2H*-EW (U120)</v>
      </c>
      <c r="D137" t="s">
        <v>139</v>
      </c>
      <c r="E137" t="s">
        <v>106</v>
      </c>
      <c r="F137" s="1">
        <v>8.8000000000000007</v>
      </c>
      <c r="G137" s="1">
        <v>18</v>
      </c>
      <c r="H137">
        <v>0.29399999999999998</v>
      </c>
      <c r="I137" s="16">
        <f>BNW[[#This Row],[Berat Satuan
(Kg)]]*BNW[[#This Row],[Qty
(Set)]]</f>
        <v>5.2919999999999998</v>
      </c>
      <c r="K137" s="1">
        <f>SUMIF(DATA_MASTER[NO. PON],BNW[[#This Row],[No.PON]],DATA_MASTER[Qty
(Unit)])</f>
        <v>1</v>
      </c>
      <c r="L137" s="16">
        <f>BNW[[#This Row],[TOTAL UNIT]]*BNW[[#This Row],[Total Berat Baut
(Kg)]]</f>
        <v>5.2919999999999998</v>
      </c>
      <c r="N137"/>
      <c r="O137" s="25"/>
    </row>
    <row r="138" spans="1:15" x14ac:dyDescent="0.3">
      <c r="A138" t="s">
        <v>367</v>
      </c>
      <c r="B138" t="str">
        <f>IFERROR(VLOOKUP(A138,'DATA MASTER'!A:O,2,0)," ")</f>
        <v>Panel Bailey</v>
      </c>
      <c r="C138" t="str">
        <f>IFERROR(VLOOKUP(A138,'DATA MASTER'!A:O,4,0)," ")</f>
        <v>33 DSR2H*-EW (U120)</v>
      </c>
      <c r="D138" t="s">
        <v>140</v>
      </c>
      <c r="E138" t="s">
        <v>106</v>
      </c>
      <c r="F138" s="1">
        <v>8.8000000000000007</v>
      </c>
      <c r="G138" s="1">
        <v>168</v>
      </c>
      <c r="H138">
        <v>0.24399999999999999</v>
      </c>
      <c r="I138" s="16">
        <f>BNW[[#This Row],[Berat Satuan
(Kg)]]*BNW[[#This Row],[Qty
(Set)]]</f>
        <v>40.991999999999997</v>
      </c>
      <c r="K138" s="1">
        <f>SUMIF(DATA_MASTER[NO. PON],BNW[[#This Row],[No.PON]],DATA_MASTER[Qty
(Unit)])</f>
        <v>1</v>
      </c>
      <c r="L138" s="16">
        <f>BNW[[#This Row],[TOTAL UNIT]]*BNW[[#This Row],[Total Berat Baut
(Kg)]]</f>
        <v>40.991999999999997</v>
      </c>
      <c r="N138"/>
      <c r="O138" s="25"/>
    </row>
    <row r="139" spans="1:15" x14ac:dyDescent="0.3">
      <c r="A139" t="s">
        <v>367</v>
      </c>
      <c r="B139" t="str">
        <f>IFERROR(VLOOKUP(A139,'DATA MASTER'!A:O,2,0)," ")</f>
        <v>Panel Bailey</v>
      </c>
      <c r="C139" t="str">
        <f>IFERROR(VLOOKUP(A139,'DATA MASTER'!A:O,4,0)," ")</f>
        <v>33 DSR2H*-EW (U120)</v>
      </c>
      <c r="D139" t="s">
        <v>141</v>
      </c>
      <c r="E139" t="s">
        <v>106</v>
      </c>
      <c r="F139" s="1">
        <v>8.8000000000000007</v>
      </c>
      <c r="G139" s="1">
        <v>16</v>
      </c>
      <c r="H139">
        <v>0.13600000000000001</v>
      </c>
      <c r="I139" s="16">
        <f>BNW[[#This Row],[Berat Satuan
(Kg)]]*BNW[[#This Row],[Qty
(Set)]]</f>
        <v>2.1760000000000002</v>
      </c>
      <c r="K139" s="1">
        <f>SUMIF(DATA_MASTER[NO. PON],BNW[[#This Row],[No.PON]],DATA_MASTER[Qty
(Unit)])</f>
        <v>1</v>
      </c>
      <c r="L139" s="16">
        <f>BNW[[#This Row],[TOTAL UNIT]]*BNW[[#This Row],[Total Berat Baut
(Kg)]]</f>
        <v>2.1760000000000002</v>
      </c>
      <c r="N139"/>
      <c r="O139" s="25"/>
    </row>
    <row r="140" spans="1:15" x14ac:dyDescent="0.3">
      <c r="A140" t="s">
        <v>367</v>
      </c>
      <c r="B140" t="str">
        <f>IFERROR(VLOOKUP(A140,'DATA MASTER'!A:O,2,0)," ")</f>
        <v>Panel Bailey</v>
      </c>
      <c r="C140" t="str">
        <f>IFERROR(VLOOKUP(A140,'DATA MASTER'!A:O,4,0)," ")</f>
        <v>33 DSR2H*-EW (U120)</v>
      </c>
      <c r="D140" t="s">
        <v>142</v>
      </c>
      <c r="E140" t="s">
        <v>106</v>
      </c>
      <c r="F140" s="1">
        <v>8.8000000000000007</v>
      </c>
      <c r="G140" s="1">
        <v>88</v>
      </c>
      <c r="H140">
        <v>0.13600000000000001</v>
      </c>
      <c r="I140" s="16">
        <f>BNW[[#This Row],[Berat Satuan
(Kg)]]*BNW[[#This Row],[Qty
(Set)]]</f>
        <v>11.968</v>
      </c>
      <c r="K140" s="1">
        <f>SUMIF(DATA_MASTER[NO. PON],BNW[[#This Row],[No.PON]],DATA_MASTER[Qty
(Unit)])</f>
        <v>1</v>
      </c>
      <c r="L140" s="16">
        <f>BNW[[#This Row],[TOTAL UNIT]]*BNW[[#This Row],[Total Berat Baut
(Kg)]]</f>
        <v>11.968</v>
      </c>
      <c r="N140"/>
      <c r="O140" s="25"/>
    </row>
    <row r="141" spans="1:15" x14ac:dyDescent="0.3">
      <c r="A141" t="s">
        <v>224</v>
      </c>
      <c r="B141" t="str">
        <f>IFERROR(VLOOKUP(A141,'DATA MASTER'!A:O,2,0)," ")</f>
        <v>Panel Bailey</v>
      </c>
      <c r="C141" t="str">
        <f>IFERROR(VLOOKUP(A141,'DATA MASTER'!A:O,4,0)," ")</f>
        <v>30 DSR2-EW</v>
      </c>
      <c r="D141" t="s">
        <v>133</v>
      </c>
      <c r="E141" t="s">
        <v>106</v>
      </c>
      <c r="F141" s="1">
        <v>8.8000000000000007</v>
      </c>
      <c r="G141" s="1">
        <v>320</v>
      </c>
      <c r="H141">
        <v>0.53</v>
      </c>
      <c r="I141" s="16">
        <f>BNW[[#This Row],[Berat Satuan
(Kg)]]*BNW[[#This Row],[Qty
(Set)]]</f>
        <v>169.60000000000002</v>
      </c>
      <c r="K141" s="1">
        <f>SUMIF(DATA_MASTER[NO. PON],BNW[[#This Row],[No.PON]],DATA_MASTER[Qty
(Unit)])</f>
        <v>3</v>
      </c>
      <c r="L141" s="16">
        <f>BNW[[#This Row],[TOTAL UNIT]]*BNW[[#This Row],[Total Berat Baut
(Kg)]]</f>
        <v>508.80000000000007</v>
      </c>
      <c r="N141"/>
      <c r="O141" s="25"/>
    </row>
    <row r="142" spans="1:15" x14ac:dyDescent="0.3">
      <c r="A142" t="s">
        <v>224</v>
      </c>
      <c r="B142" t="str">
        <f>IFERROR(VLOOKUP(A142,'DATA MASTER'!A:O,2,0)," ")</f>
        <v>Panel Bailey</v>
      </c>
      <c r="C142" t="str">
        <f>IFERROR(VLOOKUP(A142,'DATA MASTER'!A:O,4,0)," ")</f>
        <v>30 DSR2-EW</v>
      </c>
      <c r="D142" t="s">
        <v>134</v>
      </c>
      <c r="E142" t="s">
        <v>106</v>
      </c>
      <c r="F142" s="1">
        <v>8.8000000000000007</v>
      </c>
      <c r="G142" s="1">
        <v>170</v>
      </c>
      <c r="H142">
        <v>0.46</v>
      </c>
      <c r="I142" s="16">
        <f>BNW[[#This Row],[Berat Satuan
(Kg)]]*BNW[[#This Row],[Qty
(Set)]]</f>
        <v>78.2</v>
      </c>
      <c r="K142" s="1">
        <f>SUMIF(DATA_MASTER[NO. PON],BNW[[#This Row],[No.PON]],DATA_MASTER[Qty
(Unit)])</f>
        <v>3</v>
      </c>
      <c r="L142" s="16">
        <f>BNW[[#This Row],[TOTAL UNIT]]*BNW[[#This Row],[Total Berat Baut
(Kg)]]</f>
        <v>234.60000000000002</v>
      </c>
      <c r="N142"/>
      <c r="O142" s="25"/>
    </row>
    <row r="143" spans="1:15" x14ac:dyDescent="0.3">
      <c r="A143" t="s">
        <v>224</v>
      </c>
      <c r="B143" t="str">
        <f>IFERROR(VLOOKUP(A143,'DATA MASTER'!A:O,2,0)," ")</f>
        <v>Panel Bailey</v>
      </c>
      <c r="C143" t="str">
        <f>IFERROR(VLOOKUP(A143,'DATA MASTER'!A:O,4,0)," ")</f>
        <v>30 DSR2-EW</v>
      </c>
      <c r="D143" t="s">
        <v>135</v>
      </c>
      <c r="E143" t="s">
        <v>106</v>
      </c>
      <c r="F143" s="1">
        <v>8.8000000000000007</v>
      </c>
      <c r="G143" s="1">
        <v>80</v>
      </c>
      <c r="H143">
        <v>0.43</v>
      </c>
      <c r="I143" s="16">
        <f>BNW[[#This Row],[Berat Satuan
(Kg)]]*BNW[[#This Row],[Qty
(Set)]]</f>
        <v>34.4</v>
      </c>
      <c r="K143" s="1">
        <f>SUMIF(DATA_MASTER[NO. PON],BNW[[#This Row],[No.PON]],DATA_MASTER[Qty
(Unit)])</f>
        <v>3</v>
      </c>
      <c r="L143" s="16">
        <f>BNW[[#This Row],[TOTAL UNIT]]*BNW[[#This Row],[Total Berat Baut
(Kg)]]</f>
        <v>103.19999999999999</v>
      </c>
      <c r="N143"/>
      <c r="O143" s="25"/>
    </row>
    <row r="144" spans="1:15" x14ac:dyDescent="0.3">
      <c r="A144" t="s">
        <v>224</v>
      </c>
      <c r="B144" t="str">
        <f>IFERROR(VLOOKUP(A144,'DATA MASTER'!A:O,2,0)," ")</f>
        <v>Panel Bailey</v>
      </c>
      <c r="C144" t="str">
        <f>IFERROR(VLOOKUP(A144,'DATA MASTER'!A:O,4,0)," ")</f>
        <v>30 DSR2-EW</v>
      </c>
      <c r="D144" t="s">
        <v>136</v>
      </c>
      <c r="E144" t="s">
        <v>106</v>
      </c>
      <c r="F144" s="1">
        <v>8.8000000000000007</v>
      </c>
      <c r="G144" s="1">
        <v>48</v>
      </c>
      <c r="H144">
        <v>0.41</v>
      </c>
      <c r="I144" s="16">
        <f>BNW[[#This Row],[Berat Satuan
(Kg)]]*BNW[[#This Row],[Qty
(Set)]]</f>
        <v>19.68</v>
      </c>
      <c r="K144" s="1">
        <f>SUMIF(DATA_MASTER[NO. PON],BNW[[#This Row],[No.PON]],DATA_MASTER[Qty
(Unit)])</f>
        <v>3</v>
      </c>
      <c r="L144" s="16">
        <f>BNW[[#This Row],[TOTAL UNIT]]*BNW[[#This Row],[Total Berat Baut
(Kg)]]</f>
        <v>59.04</v>
      </c>
      <c r="N144"/>
      <c r="O144" s="25"/>
    </row>
    <row r="145" spans="1:15" x14ac:dyDescent="0.3">
      <c r="A145" t="s">
        <v>224</v>
      </c>
      <c r="B145" t="str">
        <f>IFERROR(VLOOKUP(A145,'DATA MASTER'!A:O,2,0)," ")</f>
        <v>Panel Bailey</v>
      </c>
      <c r="C145" t="str">
        <f>IFERROR(VLOOKUP(A145,'DATA MASTER'!A:O,4,0)," ")</f>
        <v>30 DSR2-EW</v>
      </c>
      <c r="D145" t="s">
        <v>137</v>
      </c>
      <c r="E145" t="s">
        <v>106</v>
      </c>
      <c r="F145" s="1">
        <v>8.8000000000000007</v>
      </c>
      <c r="G145" s="1">
        <v>176</v>
      </c>
      <c r="H145">
        <v>0.47399999999999998</v>
      </c>
      <c r="I145" s="16">
        <f>BNW[[#This Row],[Berat Satuan
(Kg)]]*BNW[[#This Row],[Qty
(Set)]]</f>
        <v>83.423999999999992</v>
      </c>
      <c r="K145" s="1">
        <f>SUMIF(DATA_MASTER[NO. PON],BNW[[#This Row],[No.PON]],DATA_MASTER[Qty
(Unit)])</f>
        <v>3</v>
      </c>
      <c r="L145" s="16">
        <f>BNW[[#This Row],[TOTAL UNIT]]*BNW[[#This Row],[Total Berat Baut
(Kg)]]</f>
        <v>250.27199999999999</v>
      </c>
      <c r="N145"/>
      <c r="O145" s="25"/>
    </row>
    <row r="146" spans="1:15" x14ac:dyDescent="0.3">
      <c r="A146" t="s">
        <v>224</v>
      </c>
      <c r="B146" t="str">
        <f>IFERROR(VLOOKUP(A146,'DATA MASTER'!A:O,2,0)," ")</f>
        <v>Panel Bailey</v>
      </c>
      <c r="C146" t="str">
        <f>IFERROR(VLOOKUP(A146,'DATA MASTER'!A:O,4,0)," ")</f>
        <v>30 DSR2-EW</v>
      </c>
      <c r="D146" t="s">
        <v>138</v>
      </c>
      <c r="E146" t="s">
        <v>106</v>
      </c>
      <c r="F146" s="1">
        <v>8.8000000000000007</v>
      </c>
      <c r="G146" s="1">
        <v>24</v>
      </c>
      <c r="H146">
        <v>0.29399999999999998</v>
      </c>
      <c r="I146" s="16">
        <f>BNW[[#This Row],[Berat Satuan
(Kg)]]*BNW[[#This Row],[Qty
(Set)]]</f>
        <v>7.0559999999999992</v>
      </c>
      <c r="K146" s="1">
        <f>SUMIF(DATA_MASTER[NO. PON],BNW[[#This Row],[No.PON]],DATA_MASTER[Qty
(Unit)])</f>
        <v>3</v>
      </c>
      <c r="L146" s="16">
        <f>BNW[[#This Row],[TOTAL UNIT]]*BNW[[#This Row],[Total Berat Baut
(Kg)]]</f>
        <v>21.167999999999999</v>
      </c>
      <c r="N146"/>
      <c r="O146" s="25"/>
    </row>
    <row r="147" spans="1:15" x14ac:dyDescent="0.3">
      <c r="A147" t="s">
        <v>224</v>
      </c>
      <c r="B147" t="str">
        <f>IFERROR(VLOOKUP(A147,'DATA MASTER'!A:O,2,0)," ")</f>
        <v>Panel Bailey</v>
      </c>
      <c r="C147" t="str">
        <f>IFERROR(VLOOKUP(A147,'DATA MASTER'!A:O,4,0)," ")</f>
        <v>30 DSR2-EW</v>
      </c>
      <c r="D147" t="s">
        <v>139</v>
      </c>
      <c r="E147" t="s">
        <v>106</v>
      </c>
      <c r="F147" s="1">
        <v>8.8000000000000007</v>
      </c>
      <c r="G147" s="1">
        <v>10</v>
      </c>
      <c r="H147">
        <v>0.29399999999999998</v>
      </c>
      <c r="I147" s="16">
        <f>BNW[[#This Row],[Berat Satuan
(Kg)]]*BNW[[#This Row],[Qty
(Set)]]</f>
        <v>2.94</v>
      </c>
      <c r="K147" s="1">
        <f>SUMIF(DATA_MASTER[NO. PON],BNW[[#This Row],[No.PON]],DATA_MASTER[Qty
(Unit)])</f>
        <v>3</v>
      </c>
      <c r="L147" s="16">
        <f>BNW[[#This Row],[TOTAL UNIT]]*BNW[[#This Row],[Total Berat Baut
(Kg)]]</f>
        <v>8.82</v>
      </c>
      <c r="N147"/>
      <c r="O147" s="25"/>
    </row>
    <row r="148" spans="1:15" x14ac:dyDescent="0.3">
      <c r="A148" t="s">
        <v>224</v>
      </c>
      <c r="B148" t="str">
        <f>IFERROR(VLOOKUP(A148,'DATA MASTER'!A:O,2,0)," ")</f>
        <v>Panel Bailey</v>
      </c>
      <c r="C148" t="str">
        <f>IFERROR(VLOOKUP(A148,'DATA MASTER'!A:O,4,0)," ")</f>
        <v>30 DSR2-EW</v>
      </c>
      <c r="D148" t="s">
        <v>140</v>
      </c>
      <c r="E148" t="s">
        <v>106</v>
      </c>
      <c r="F148" s="1">
        <v>8.8000000000000007</v>
      </c>
      <c r="G148" s="1">
        <v>160</v>
      </c>
      <c r="H148">
        <v>0.24399999999999999</v>
      </c>
      <c r="I148" s="16">
        <f>BNW[[#This Row],[Berat Satuan
(Kg)]]*BNW[[#This Row],[Qty
(Set)]]</f>
        <v>39.04</v>
      </c>
      <c r="K148" s="1">
        <f>SUMIF(DATA_MASTER[NO. PON],BNW[[#This Row],[No.PON]],DATA_MASTER[Qty
(Unit)])</f>
        <v>3</v>
      </c>
      <c r="L148" s="16">
        <f>BNW[[#This Row],[TOTAL UNIT]]*BNW[[#This Row],[Total Berat Baut
(Kg)]]</f>
        <v>117.12</v>
      </c>
      <c r="N148"/>
      <c r="O148" s="25"/>
    </row>
    <row r="149" spans="1:15" x14ac:dyDescent="0.3">
      <c r="A149" t="s">
        <v>224</v>
      </c>
      <c r="B149" t="str">
        <f>IFERROR(VLOOKUP(A149,'DATA MASTER'!A:O,2,0)," ")</f>
        <v>Panel Bailey</v>
      </c>
      <c r="C149" t="str">
        <f>IFERROR(VLOOKUP(A149,'DATA MASTER'!A:O,4,0)," ")</f>
        <v>30 DSR2-EW</v>
      </c>
      <c r="D149" t="s">
        <v>141</v>
      </c>
      <c r="E149" t="s">
        <v>106</v>
      </c>
      <c r="F149" s="1">
        <v>8.8000000000000007</v>
      </c>
      <c r="G149" s="1">
        <v>16</v>
      </c>
      <c r="H149">
        <v>0.14000000000000001</v>
      </c>
      <c r="I149" s="16">
        <f>BNW[[#This Row],[Berat Satuan
(Kg)]]*BNW[[#This Row],[Qty
(Set)]]</f>
        <v>2.2400000000000002</v>
      </c>
      <c r="K149" s="1">
        <f>SUMIF(DATA_MASTER[NO. PON],BNW[[#This Row],[No.PON]],DATA_MASTER[Qty
(Unit)])</f>
        <v>3</v>
      </c>
      <c r="L149" s="16">
        <f>BNW[[#This Row],[TOTAL UNIT]]*BNW[[#This Row],[Total Berat Baut
(Kg)]]</f>
        <v>6.7200000000000006</v>
      </c>
      <c r="N149"/>
      <c r="O149" s="25"/>
    </row>
    <row r="150" spans="1:15" x14ac:dyDescent="0.3">
      <c r="A150" t="s">
        <v>224</v>
      </c>
      <c r="B150" t="str">
        <f>IFERROR(VLOOKUP(A150,'DATA MASTER'!A:O,2,0)," ")</f>
        <v>Panel Bailey</v>
      </c>
      <c r="C150" t="str">
        <f>IFERROR(VLOOKUP(A150,'DATA MASTER'!A:O,4,0)," ")</f>
        <v>30 DSR2-EW</v>
      </c>
      <c r="D150" t="s">
        <v>142</v>
      </c>
      <c r="E150" t="s">
        <v>106</v>
      </c>
      <c r="F150" s="1">
        <v>8.8000000000000007</v>
      </c>
      <c r="G150" s="1">
        <v>80</v>
      </c>
      <c r="H150">
        <v>0.13600000000000001</v>
      </c>
      <c r="I150" s="16">
        <f>BNW[[#This Row],[Berat Satuan
(Kg)]]*BNW[[#This Row],[Qty
(Set)]]</f>
        <v>10.88</v>
      </c>
      <c r="K150" s="1">
        <f>SUMIF(DATA_MASTER[NO. PON],BNW[[#This Row],[No.PON]],DATA_MASTER[Qty
(Unit)])</f>
        <v>3</v>
      </c>
      <c r="L150" s="16">
        <f>BNW[[#This Row],[TOTAL UNIT]]*BNW[[#This Row],[Total Berat Baut
(Kg)]]</f>
        <v>32.64</v>
      </c>
      <c r="N150"/>
      <c r="O150" s="25"/>
    </row>
    <row r="151" spans="1:15" x14ac:dyDescent="0.3">
      <c r="A151" t="s">
        <v>1208</v>
      </c>
      <c r="B151" t="str">
        <f>IFERROR(VLOOKUP(A151,'DATA MASTER'!A:O,2,0)," ")</f>
        <v>Truss Modullar</v>
      </c>
      <c r="C151" t="str">
        <f>IFERROR(VLOOKUP(A151,'DATA MASTER'!A:O,4,0)," ")</f>
        <v>RB40</v>
      </c>
      <c r="D151" t="s">
        <v>281</v>
      </c>
      <c r="E151" t="s">
        <v>106</v>
      </c>
      <c r="F151" s="1">
        <v>8.8000000000000007</v>
      </c>
      <c r="G151" s="1">
        <v>124</v>
      </c>
      <c r="H151">
        <v>0.40700000000000003</v>
      </c>
      <c r="I151" s="16">
        <f>BNW[[#This Row],[Berat Satuan
(Kg)]]*BNW[[#This Row],[Qty
(Set)]]</f>
        <v>50.468000000000004</v>
      </c>
      <c r="K151" s="1">
        <f>SUMIF(DATA_MASTER[NO. PON],BNW[[#This Row],[No.PON]],DATA_MASTER[Qty
(Unit)])</f>
        <v>1</v>
      </c>
      <c r="L151" s="16">
        <f>BNW[[#This Row],[TOTAL UNIT]]*BNW[[#This Row],[Total Berat Baut
(Kg)]]</f>
        <v>50.468000000000004</v>
      </c>
      <c r="N151"/>
      <c r="O151" s="25"/>
    </row>
    <row r="152" spans="1:15" x14ac:dyDescent="0.3">
      <c r="A152" t="s">
        <v>1208</v>
      </c>
      <c r="B152" t="str">
        <f>IFERROR(VLOOKUP(A152,'DATA MASTER'!A:O,2,0)," ")</f>
        <v>Truss Modullar</v>
      </c>
      <c r="C152" t="str">
        <f>IFERROR(VLOOKUP(A152,'DATA MASTER'!A:O,4,0)," ")</f>
        <v>RB40</v>
      </c>
      <c r="D152" t="s">
        <v>282</v>
      </c>
      <c r="E152" t="s">
        <v>106</v>
      </c>
      <c r="F152" s="1">
        <v>8.8000000000000007</v>
      </c>
      <c r="G152" s="1">
        <v>141</v>
      </c>
      <c r="H152">
        <v>0.38700000000000001</v>
      </c>
      <c r="I152" s="16">
        <f>BNW[[#This Row],[Berat Satuan
(Kg)]]*BNW[[#This Row],[Qty
(Set)]]</f>
        <v>54.567</v>
      </c>
      <c r="K152" s="1">
        <f>SUMIF(DATA_MASTER[NO. PON],BNW[[#This Row],[No.PON]],DATA_MASTER[Qty
(Unit)])</f>
        <v>1</v>
      </c>
      <c r="L152" s="16">
        <f>BNW[[#This Row],[TOTAL UNIT]]*BNW[[#This Row],[Total Berat Baut
(Kg)]]</f>
        <v>54.567</v>
      </c>
      <c r="N152"/>
      <c r="O152" s="25"/>
    </row>
    <row r="153" spans="1:15" x14ac:dyDescent="0.3">
      <c r="A153" t="s">
        <v>1208</v>
      </c>
      <c r="B153" t="str">
        <f>IFERROR(VLOOKUP(A153,'DATA MASTER'!A:O,2,0)," ")</f>
        <v>Truss Modullar</v>
      </c>
      <c r="C153" t="str">
        <f>IFERROR(VLOOKUP(A153,'DATA MASTER'!A:O,4,0)," ")</f>
        <v>RB40</v>
      </c>
      <c r="D153" t="s">
        <v>85</v>
      </c>
      <c r="E153" t="s">
        <v>106</v>
      </c>
      <c r="F153" s="1">
        <v>8.8000000000000007</v>
      </c>
      <c r="G153" s="1">
        <v>231</v>
      </c>
      <c r="H153">
        <v>0.36699999999999999</v>
      </c>
      <c r="I153" s="16">
        <f>BNW[[#This Row],[Berat Satuan
(Kg)]]*BNW[[#This Row],[Qty
(Set)]]</f>
        <v>84.777000000000001</v>
      </c>
      <c r="K153" s="1">
        <f>SUMIF(DATA_MASTER[NO. PON],BNW[[#This Row],[No.PON]],DATA_MASTER[Qty
(Unit)])</f>
        <v>1</v>
      </c>
      <c r="L153" s="16">
        <f>BNW[[#This Row],[TOTAL UNIT]]*BNW[[#This Row],[Total Berat Baut
(Kg)]]</f>
        <v>84.777000000000001</v>
      </c>
      <c r="N153"/>
      <c r="O153" s="25"/>
    </row>
    <row r="154" spans="1:15" x14ac:dyDescent="0.3">
      <c r="A154" t="s">
        <v>1208</v>
      </c>
      <c r="B154" t="str">
        <f>IFERROR(VLOOKUP(A154,'DATA MASTER'!A:O,2,0)," ")</f>
        <v>Truss Modullar</v>
      </c>
      <c r="C154" t="str">
        <f>IFERROR(VLOOKUP(A154,'DATA MASTER'!A:O,4,0)," ")</f>
        <v>RB40</v>
      </c>
      <c r="D154" t="s">
        <v>86</v>
      </c>
      <c r="E154" t="s">
        <v>106</v>
      </c>
      <c r="F154" s="1">
        <v>8.8000000000000007</v>
      </c>
      <c r="G154" s="1">
        <v>1838</v>
      </c>
      <c r="H154">
        <v>0.35700000000000004</v>
      </c>
      <c r="I154" s="16">
        <f>BNW[[#This Row],[Berat Satuan
(Kg)]]*BNW[[#This Row],[Qty
(Set)]]</f>
        <v>656.16600000000005</v>
      </c>
      <c r="K154" s="1">
        <f>SUMIF(DATA_MASTER[NO. PON],BNW[[#This Row],[No.PON]],DATA_MASTER[Qty
(Unit)])</f>
        <v>1</v>
      </c>
      <c r="L154" s="16">
        <f>BNW[[#This Row],[TOTAL UNIT]]*BNW[[#This Row],[Total Berat Baut
(Kg)]]</f>
        <v>656.16600000000005</v>
      </c>
      <c r="N154"/>
      <c r="O154" s="25"/>
    </row>
    <row r="155" spans="1:15" x14ac:dyDescent="0.3">
      <c r="A155" t="s">
        <v>1208</v>
      </c>
      <c r="B155" t="str">
        <f>IFERROR(VLOOKUP(A155,'DATA MASTER'!A:O,2,0)," ")</f>
        <v>Truss Modullar</v>
      </c>
      <c r="C155" t="str">
        <f>IFERROR(VLOOKUP(A155,'DATA MASTER'!A:O,4,0)," ")</f>
        <v>RB40</v>
      </c>
      <c r="D155" t="s">
        <v>283</v>
      </c>
      <c r="E155" t="s">
        <v>106</v>
      </c>
      <c r="F155" s="1">
        <v>8.8000000000000007</v>
      </c>
      <c r="G155" s="1">
        <v>872</v>
      </c>
      <c r="H155">
        <v>0.34700000000000003</v>
      </c>
      <c r="I155" s="16">
        <f>BNW[[#This Row],[Berat Satuan
(Kg)]]*BNW[[#This Row],[Qty
(Set)]]</f>
        <v>302.584</v>
      </c>
      <c r="K155" s="1">
        <f>SUMIF(DATA_MASTER[NO. PON],BNW[[#This Row],[No.PON]],DATA_MASTER[Qty
(Unit)])</f>
        <v>1</v>
      </c>
      <c r="L155" s="16">
        <f>BNW[[#This Row],[TOTAL UNIT]]*BNW[[#This Row],[Total Berat Baut
(Kg)]]</f>
        <v>302.584</v>
      </c>
      <c r="N155"/>
      <c r="O155" s="25"/>
    </row>
    <row r="156" spans="1:15" x14ac:dyDescent="0.3">
      <c r="A156" t="s">
        <v>1208</v>
      </c>
      <c r="B156" t="str">
        <f>IFERROR(VLOOKUP(A156,'DATA MASTER'!A:O,2,0)," ")</f>
        <v>Truss Modullar</v>
      </c>
      <c r="C156" t="str">
        <f>IFERROR(VLOOKUP(A156,'DATA MASTER'!A:O,4,0)," ")</f>
        <v>RB40</v>
      </c>
      <c r="D156" t="s">
        <v>80</v>
      </c>
      <c r="E156" t="s">
        <v>106</v>
      </c>
      <c r="F156" s="1">
        <v>8.8000000000000007</v>
      </c>
      <c r="G156" s="1">
        <v>1978</v>
      </c>
      <c r="H156">
        <v>0.32700000000000001</v>
      </c>
      <c r="I156" s="16">
        <f>BNW[[#This Row],[Berat Satuan
(Kg)]]*BNW[[#This Row],[Qty
(Set)]]</f>
        <v>646.80600000000004</v>
      </c>
      <c r="K156" s="1">
        <f>SUMIF(DATA_MASTER[NO. PON],BNW[[#This Row],[No.PON]],DATA_MASTER[Qty
(Unit)])</f>
        <v>1</v>
      </c>
      <c r="L156" s="16">
        <f>BNW[[#This Row],[TOTAL UNIT]]*BNW[[#This Row],[Total Berat Baut
(Kg)]]</f>
        <v>646.80600000000004</v>
      </c>
      <c r="N156"/>
      <c r="O156" s="25"/>
    </row>
    <row r="157" spans="1:15" x14ac:dyDescent="0.3">
      <c r="A157" t="s">
        <v>1208</v>
      </c>
      <c r="B157" t="str">
        <f>IFERROR(VLOOKUP(A157,'DATA MASTER'!A:O,2,0)," ")</f>
        <v>Truss Modullar</v>
      </c>
      <c r="C157" t="str">
        <f>IFERROR(VLOOKUP(A157,'DATA MASTER'!A:O,4,0)," ")</f>
        <v>RB40</v>
      </c>
      <c r="D157" t="s">
        <v>81</v>
      </c>
      <c r="E157" t="s">
        <v>106</v>
      </c>
      <c r="F157" s="1">
        <v>8.8000000000000007</v>
      </c>
      <c r="G157" s="1">
        <v>1434</v>
      </c>
      <c r="H157">
        <v>0.317</v>
      </c>
      <c r="I157" s="16">
        <f>BNW[[#This Row],[Berat Satuan
(Kg)]]*BNW[[#This Row],[Qty
(Set)]]</f>
        <v>454.57800000000003</v>
      </c>
      <c r="K157" s="1">
        <f>SUMIF(DATA_MASTER[NO. PON],BNW[[#This Row],[No.PON]],DATA_MASTER[Qty
(Unit)])</f>
        <v>1</v>
      </c>
      <c r="L157" s="16">
        <f>BNW[[#This Row],[TOTAL UNIT]]*BNW[[#This Row],[Total Berat Baut
(Kg)]]</f>
        <v>454.57800000000003</v>
      </c>
      <c r="N157"/>
      <c r="O157" s="25"/>
    </row>
    <row r="158" spans="1:15" x14ac:dyDescent="0.3">
      <c r="A158" t="s">
        <v>1208</v>
      </c>
      <c r="B158" t="str">
        <f>IFERROR(VLOOKUP(A158,'DATA MASTER'!A:O,2,0)," ")</f>
        <v>Truss Modullar</v>
      </c>
      <c r="C158" t="str">
        <f>IFERROR(VLOOKUP(A158,'DATA MASTER'!A:O,4,0)," ")</f>
        <v>RB40</v>
      </c>
      <c r="D158" t="s">
        <v>82</v>
      </c>
      <c r="E158" t="s">
        <v>106</v>
      </c>
      <c r="F158" s="1">
        <v>8.8000000000000007</v>
      </c>
      <c r="G158" s="1">
        <v>153</v>
      </c>
      <c r="H158">
        <v>0.307</v>
      </c>
      <c r="I158" s="16">
        <f>BNW[[#This Row],[Berat Satuan
(Kg)]]*BNW[[#This Row],[Qty
(Set)]]</f>
        <v>46.970999999999997</v>
      </c>
      <c r="K158" s="1">
        <f>SUMIF(DATA_MASTER[NO. PON],BNW[[#This Row],[No.PON]],DATA_MASTER[Qty
(Unit)])</f>
        <v>1</v>
      </c>
      <c r="L158" s="16">
        <f>BNW[[#This Row],[TOTAL UNIT]]*BNW[[#This Row],[Total Berat Baut
(Kg)]]</f>
        <v>46.970999999999997</v>
      </c>
      <c r="N158"/>
      <c r="O158" s="25"/>
    </row>
    <row r="159" spans="1:15" x14ac:dyDescent="0.3">
      <c r="A159" t="s">
        <v>1208</v>
      </c>
      <c r="B159" t="str">
        <f>IFERROR(VLOOKUP(A159,'DATA MASTER'!A:O,2,0)," ")</f>
        <v>Truss Modullar</v>
      </c>
      <c r="C159" t="str">
        <f>IFERROR(VLOOKUP(A159,'DATA MASTER'!A:O,4,0)," ")</f>
        <v>RB40</v>
      </c>
      <c r="D159" t="s">
        <v>284</v>
      </c>
      <c r="E159" t="s">
        <v>106</v>
      </c>
      <c r="F159" s="1">
        <v>8.8000000000000007</v>
      </c>
      <c r="G159" s="1">
        <v>25</v>
      </c>
      <c r="H159">
        <v>8.6000000000000007E-2</v>
      </c>
      <c r="I159" s="16">
        <f>BNW[[#This Row],[Berat Satuan
(Kg)]]*BNW[[#This Row],[Qty
(Set)]]</f>
        <v>2.1500000000000004</v>
      </c>
      <c r="K159" s="1">
        <f>SUMIF(DATA_MASTER[NO. PON],BNW[[#This Row],[No.PON]],DATA_MASTER[Qty
(Unit)])</f>
        <v>1</v>
      </c>
      <c r="L159" s="16">
        <f>BNW[[#This Row],[TOTAL UNIT]]*BNW[[#This Row],[Total Berat Baut
(Kg)]]</f>
        <v>2.1500000000000004</v>
      </c>
      <c r="N159"/>
      <c r="O159" s="25"/>
    </row>
    <row r="160" spans="1:15" x14ac:dyDescent="0.3">
      <c r="A160" t="s">
        <v>1208</v>
      </c>
      <c r="B160" t="str">
        <f>IFERROR(VLOOKUP(A160,'DATA MASTER'!A:O,2,0)," ")</f>
        <v>Truss Modullar</v>
      </c>
      <c r="C160" t="str">
        <f>IFERROR(VLOOKUP(A160,'DATA MASTER'!A:O,4,0)," ")</f>
        <v>RB40</v>
      </c>
      <c r="D160" t="s">
        <v>89</v>
      </c>
      <c r="E160" t="s">
        <v>106</v>
      </c>
      <c r="F160" s="1">
        <v>8.8000000000000007</v>
      </c>
      <c r="G160" s="1">
        <v>425</v>
      </c>
      <c r="H160">
        <v>6.8000000000000005E-2</v>
      </c>
      <c r="I160" s="16">
        <f>BNW[[#This Row],[Berat Satuan
(Kg)]]*BNW[[#This Row],[Qty
(Set)]]</f>
        <v>28.900000000000002</v>
      </c>
      <c r="K160" s="1">
        <f>SUMIF(DATA_MASTER[NO. PON],BNW[[#This Row],[No.PON]],DATA_MASTER[Qty
(Unit)])</f>
        <v>1</v>
      </c>
      <c r="L160" s="16">
        <f>BNW[[#This Row],[TOTAL UNIT]]*BNW[[#This Row],[Total Berat Baut
(Kg)]]</f>
        <v>28.900000000000002</v>
      </c>
      <c r="N160"/>
      <c r="O160" s="25"/>
    </row>
    <row r="161" spans="1:15" x14ac:dyDescent="0.3">
      <c r="A161" t="s">
        <v>1208</v>
      </c>
      <c r="B161" t="str">
        <f>IFERROR(VLOOKUP(A161,'DATA MASTER'!A:O,2,0)," ")</f>
        <v>Truss Modullar</v>
      </c>
      <c r="C161" t="str">
        <f>IFERROR(VLOOKUP(A161,'DATA MASTER'!A:O,4,0)," ")</f>
        <v>RB40</v>
      </c>
      <c r="D161" t="s">
        <v>205</v>
      </c>
      <c r="E161" t="s">
        <v>106</v>
      </c>
      <c r="F161" s="1">
        <v>8.8000000000000007</v>
      </c>
      <c r="G161" s="1">
        <v>112</v>
      </c>
      <c r="H161">
        <v>6.3E-2</v>
      </c>
      <c r="I161" s="16">
        <f>BNW[[#This Row],[Berat Satuan
(Kg)]]*BNW[[#This Row],[Qty
(Set)]]</f>
        <v>7.056</v>
      </c>
      <c r="K161" s="1">
        <f>SUMIF(DATA_MASTER[NO. PON],BNW[[#This Row],[No.PON]],DATA_MASTER[Qty
(Unit)])</f>
        <v>1</v>
      </c>
      <c r="L161" s="16">
        <f>BNW[[#This Row],[TOTAL UNIT]]*BNW[[#This Row],[Total Berat Baut
(Kg)]]</f>
        <v>7.056</v>
      </c>
      <c r="N161"/>
      <c r="O161" s="25"/>
    </row>
    <row r="162" spans="1:15" x14ac:dyDescent="0.3">
      <c r="A162" t="s">
        <v>1208</v>
      </c>
      <c r="B162" t="str">
        <f>IFERROR(VLOOKUP(A162,'DATA MASTER'!A:O,2,0)," ")</f>
        <v>Truss Modullar</v>
      </c>
      <c r="C162" t="str">
        <f>IFERROR(VLOOKUP(A162,'DATA MASTER'!A:O,4,0)," ")</f>
        <v>RB40</v>
      </c>
      <c r="D162" t="s">
        <v>206</v>
      </c>
      <c r="E162" t="s">
        <v>106</v>
      </c>
      <c r="F162" s="1">
        <v>8.8000000000000007</v>
      </c>
      <c r="G162" s="1">
        <v>1158</v>
      </c>
      <c r="H162">
        <v>5.9000000000000004E-2</v>
      </c>
      <c r="I162" s="16">
        <f>BNW[[#This Row],[Berat Satuan
(Kg)]]*BNW[[#This Row],[Qty
(Set)]]</f>
        <v>68.322000000000003</v>
      </c>
      <c r="K162" s="1">
        <f>SUMIF(DATA_MASTER[NO. PON],BNW[[#This Row],[No.PON]],DATA_MASTER[Qty
(Unit)])</f>
        <v>1</v>
      </c>
      <c r="L162" s="16">
        <f>BNW[[#This Row],[TOTAL UNIT]]*BNW[[#This Row],[Total Berat Baut
(Kg)]]</f>
        <v>68.322000000000003</v>
      </c>
      <c r="N162"/>
      <c r="O162" s="25"/>
    </row>
    <row r="163" spans="1:15" x14ac:dyDescent="0.3">
      <c r="A163" t="s">
        <v>430</v>
      </c>
      <c r="B163" t="str">
        <f>IFERROR(VLOOKUP(A163,'DATA MASTER'!A:O,2,0)," ")</f>
        <v>Girder</v>
      </c>
      <c r="C163" t="str">
        <f>IFERROR(VLOOKUP(A163,'DATA MASTER'!A:O,4,0)," ")</f>
        <v>BG22</v>
      </c>
      <c r="D163" t="s">
        <v>282</v>
      </c>
      <c r="E163" t="s">
        <v>441</v>
      </c>
      <c r="F163" s="1">
        <v>8.8000000000000007</v>
      </c>
      <c r="G163" s="1">
        <v>701</v>
      </c>
      <c r="H163">
        <v>0.38700000000000001</v>
      </c>
      <c r="I163" s="16">
        <f>BNW[[#This Row],[Berat Satuan
(Kg)]]*BNW[[#This Row],[Qty
(Set)]]</f>
        <v>271.28700000000003</v>
      </c>
      <c r="K163" s="1">
        <f>SUMIF(DATA_MASTER[NO. PON],BNW[[#This Row],[No.PON]],DATA_MASTER[Qty
(Unit)])</f>
        <v>1</v>
      </c>
      <c r="L163" s="16">
        <f>BNW[[#This Row],[TOTAL UNIT]]*BNW[[#This Row],[Total Berat Baut
(Kg)]]</f>
        <v>271.28700000000003</v>
      </c>
      <c r="N163"/>
      <c r="O163" s="25"/>
    </row>
    <row r="164" spans="1:15" x14ac:dyDescent="0.3">
      <c r="A164" t="s">
        <v>430</v>
      </c>
      <c r="B164" t="str">
        <f>IFERROR(VLOOKUP(A164,'DATA MASTER'!A:O,2,0)," ")</f>
        <v>Girder</v>
      </c>
      <c r="C164" t="str">
        <f>IFERROR(VLOOKUP(A164,'DATA MASTER'!A:O,4,0)," ")</f>
        <v>BG22</v>
      </c>
      <c r="D164" t="s">
        <v>86</v>
      </c>
      <c r="E164" t="s">
        <v>441</v>
      </c>
      <c r="F164" s="1">
        <v>8.8000000000000007</v>
      </c>
      <c r="G164" s="1">
        <v>495</v>
      </c>
      <c r="H164">
        <v>0.35700000000000004</v>
      </c>
      <c r="I164" s="16">
        <f>BNW[[#This Row],[Berat Satuan
(Kg)]]*BNW[[#This Row],[Qty
(Set)]]</f>
        <v>176.71500000000003</v>
      </c>
      <c r="K164" s="1">
        <f>SUMIF(DATA_MASTER[NO. PON],BNW[[#This Row],[No.PON]],DATA_MASTER[Qty
(Unit)])</f>
        <v>1</v>
      </c>
      <c r="L164" s="16">
        <f>BNW[[#This Row],[TOTAL UNIT]]*BNW[[#This Row],[Total Berat Baut
(Kg)]]</f>
        <v>176.71500000000003</v>
      </c>
      <c r="N164"/>
      <c r="O164" s="25"/>
    </row>
    <row r="165" spans="1:15" x14ac:dyDescent="0.3">
      <c r="A165" t="s">
        <v>430</v>
      </c>
      <c r="B165" t="str">
        <f>IFERROR(VLOOKUP(A165,'DATA MASTER'!A:O,2,0)," ")</f>
        <v>Girder</v>
      </c>
      <c r="C165" t="str">
        <f>IFERROR(VLOOKUP(A165,'DATA MASTER'!A:O,4,0)," ")</f>
        <v>BG22</v>
      </c>
      <c r="D165" t="s">
        <v>202</v>
      </c>
      <c r="E165" t="s">
        <v>106</v>
      </c>
      <c r="F165" s="1">
        <v>8.8000000000000007</v>
      </c>
      <c r="G165" s="1">
        <v>17</v>
      </c>
      <c r="H165">
        <v>0.15400000000000003</v>
      </c>
      <c r="I165" s="16">
        <f>BNW[[#This Row],[Berat Satuan
(Kg)]]*BNW[[#This Row],[Qty
(Set)]]</f>
        <v>2.6180000000000003</v>
      </c>
      <c r="K165" s="1">
        <f>SUMIF(DATA_MASTER[NO. PON],BNW[[#This Row],[No.PON]],DATA_MASTER[Qty
(Unit)])</f>
        <v>1</v>
      </c>
      <c r="L165" s="16">
        <f>BNW[[#This Row],[TOTAL UNIT]]*BNW[[#This Row],[Total Berat Baut
(Kg)]]</f>
        <v>2.6180000000000003</v>
      </c>
      <c r="N165"/>
      <c r="O165" s="25"/>
    </row>
    <row r="166" spans="1:15" x14ac:dyDescent="0.3">
      <c r="A166" t="s">
        <v>430</v>
      </c>
      <c r="B166" t="str">
        <f>IFERROR(VLOOKUP(A166,'DATA MASTER'!A:O,2,0)," ")</f>
        <v>Girder</v>
      </c>
      <c r="C166" t="str">
        <f>IFERROR(VLOOKUP(A166,'DATA MASTER'!A:O,4,0)," ")</f>
        <v>BG22</v>
      </c>
      <c r="D166" t="s">
        <v>87</v>
      </c>
      <c r="E166" t="s">
        <v>106</v>
      </c>
      <c r="F166" s="1">
        <v>8.8000000000000007</v>
      </c>
      <c r="G166" s="1">
        <v>297</v>
      </c>
      <c r="H166">
        <v>0.13600000000000001</v>
      </c>
      <c r="I166" s="16">
        <f>BNW[[#This Row],[Berat Satuan
(Kg)]]*BNW[[#This Row],[Qty
(Set)]]</f>
        <v>40.392000000000003</v>
      </c>
      <c r="K166" s="1">
        <f>SUMIF(DATA_MASTER[NO. PON],BNW[[#This Row],[No.PON]],DATA_MASTER[Qty
(Unit)])</f>
        <v>1</v>
      </c>
      <c r="L166" s="16">
        <f>BNW[[#This Row],[TOTAL UNIT]]*BNW[[#This Row],[Total Berat Baut
(Kg)]]</f>
        <v>40.392000000000003</v>
      </c>
      <c r="N166"/>
      <c r="O166" s="25"/>
    </row>
    <row r="167" spans="1:15" x14ac:dyDescent="0.3">
      <c r="A167" t="s">
        <v>430</v>
      </c>
      <c r="B167" t="str">
        <f>IFERROR(VLOOKUP(A167,'DATA MASTER'!A:O,2,0)," ")</f>
        <v>Girder</v>
      </c>
      <c r="C167" t="str">
        <f>IFERROR(VLOOKUP(A167,'DATA MASTER'!A:O,4,0)," ")</f>
        <v>BG22</v>
      </c>
      <c r="D167" t="s">
        <v>83</v>
      </c>
      <c r="E167" t="s">
        <v>106</v>
      </c>
      <c r="F167" s="1">
        <v>8.8000000000000007</v>
      </c>
      <c r="G167" s="1">
        <v>9</v>
      </c>
      <c r="H167">
        <v>8.1000000000000003E-2</v>
      </c>
      <c r="I167" s="16">
        <f>BNW[[#This Row],[Berat Satuan
(Kg)]]*BNW[[#This Row],[Qty
(Set)]]</f>
        <v>0.72899999999999998</v>
      </c>
      <c r="K167" s="1">
        <f>SUMIF(DATA_MASTER[NO. PON],BNW[[#This Row],[No.PON]],DATA_MASTER[Qty
(Unit)])</f>
        <v>1</v>
      </c>
      <c r="L167" s="16">
        <f>BNW[[#This Row],[TOTAL UNIT]]*BNW[[#This Row],[Total Berat Baut
(Kg)]]</f>
        <v>0.72899999999999998</v>
      </c>
      <c r="N167"/>
      <c r="O167" s="25"/>
    </row>
    <row r="168" spans="1:15" x14ac:dyDescent="0.3">
      <c r="A168" t="s">
        <v>430</v>
      </c>
      <c r="B168" t="str">
        <f>IFERROR(VLOOKUP(A168,'DATA MASTER'!A:O,2,0)," ")</f>
        <v>Girder</v>
      </c>
      <c r="C168" t="str">
        <f>IFERROR(VLOOKUP(A168,'DATA MASTER'!A:O,4,0)," ")</f>
        <v>BG22</v>
      </c>
      <c r="D168" t="s">
        <v>89</v>
      </c>
      <c r="E168" t="s">
        <v>106</v>
      </c>
      <c r="F168" s="1">
        <v>8.8000000000000007</v>
      </c>
      <c r="G168" s="1">
        <v>433</v>
      </c>
      <c r="H168">
        <v>8.1000000000000003E-2</v>
      </c>
      <c r="I168" s="16">
        <f>BNW[[#This Row],[Berat Satuan
(Kg)]]*BNW[[#This Row],[Qty
(Set)]]</f>
        <v>35.073</v>
      </c>
      <c r="K168" s="1">
        <f>SUMIF(DATA_MASTER[NO. PON],BNW[[#This Row],[No.PON]],DATA_MASTER[Qty
(Unit)])</f>
        <v>1</v>
      </c>
      <c r="L168" s="16">
        <f>BNW[[#This Row],[TOTAL UNIT]]*BNW[[#This Row],[Total Berat Baut
(Kg)]]</f>
        <v>35.073</v>
      </c>
      <c r="N168"/>
      <c r="O168" s="25"/>
    </row>
    <row r="169" spans="1:15" x14ac:dyDescent="0.3">
      <c r="A169" t="s">
        <v>286</v>
      </c>
      <c r="B169" t="str">
        <f>IFERROR(VLOOKUP(A169,'DATA MASTER'!A:O,2,0)," ")</f>
        <v>Panel Bailey</v>
      </c>
      <c r="C169" t="str">
        <f>IFERROR(VLOOKUP(A169,'DATA MASTER'!A:O,4,0)," ")</f>
        <v>42 DSR2-EW (U120)</v>
      </c>
      <c r="D169" t="s">
        <v>133</v>
      </c>
      <c r="E169" t="s">
        <v>106</v>
      </c>
      <c r="F169" s="1">
        <v>8.8000000000000007</v>
      </c>
      <c r="G169" s="1">
        <v>448</v>
      </c>
      <c r="H169">
        <v>0.53</v>
      </c>
      <c r="I169" s="16">
        <f>BNW[[#This Row],[Berat Satuan
(Kg)]]*BNW[[#This Row],[Qty
(Set)]]</f>
        <v>237.44</v>
      </c>
      <c r="K169" s="1">
        <f>SUMIF(DATA_MASTER[NO. PON],BNW[[#This Row],[No.PON]],DATA_MASTER[Qty
(Unit)])</f>
        <v>1</v>
      </c>
      <c r="L169" s="16">
        <f>BNW[[#This Row],[TOTAL UNIT]]*BNW[[#This Row],[Total Berat Baut
(Kg)]]</f>
        <v>237.44</v>
      </c>
      <c r="N169"/>
      <c r="O169" s="25"/>
    </row>
    <row r="170" spans="1:15" x14ac:dyDescent="0.3">
      <c r="A170" t="s">
        <v>286</v>
      </c>
      <c r="B170" t="str">
        <f>IFERROR(VLOOKUP(A170,'DATA MASTER'!A:O,2,0)," ")</f>
        <v>Panel Bailey</v>
      </c>
      <c r="C170" t="str">
        <f>IFERROR(VLOOKUP(A170,'DATA MASTER'!A:O,4,0)," ")</f>
        <v>42 DSR2-EW (U120)</v>
      </c>
      <c r="D170" t="s">
        <v>134</v>
      </c>
      <c r="E170" t="s">
        <v>106</v>
      </c>
      <c r="F170" s="1">
        <v>8.8000000000000007</v>
      </c>
      <c r="G170" s="1">
        <v>196</v>
      </c>
      <c r="H170">
        <v>0.46</v>
      </c>
      <c r="I170" s="16">
        <f>BNW[[#This Row],[Berat Satuan
(Kg)]]*BNW[[#This Row],[Qty
(Set)]]</f>
        <v>90.160000000000011</v>
      </c>
      <c r="K170" s="1">
        <f>SUMIF(DATA_MASTER[NO. PON],BNW[[#This Row],[No.PON]],DATA_MASTER[Qty
(Unit)])</f>
        <v>1</v>
      </c>
      <c r="L170" s="16">
        <f>BNW[[#This Row],[TOTAL UNIT]]*BNW[[#This Row],[Total Berat Baut
(Kg)]]</f>
        <v>90.160000000000011</v>
      </c>
      <c r="N170"/>
      <c r="O170" s="25"/>
    </row>
    <row r="171" spans="1:15" x14ac:dyDescent="0.3">
      <c r="A171" t="s">
        <v>286</v>
      </c>
      <c r="B171" t="str">
        <f>IFERROR(VLOOKUP(A171,'DATA MASTER'!A:O,2,0)," ")</f>
        <v>Panel Bailey</v>
      </c>
      <c r="C171" t="str">
        <f>IFERROR(VLOOKUP(A171,'DATA MASTER'!A:O,4,0)," ")</f>
        <v>42 DSR2-EW (U120)</v>
      </c>
      <c r="D171" t="s">
        <v>135</v>
      </c>
      <c r="E171" t="s">
        <v>106</v>
      </c>
      <c r="F171" s="1">
        <v>8.8000000000000007</v>
      </c>
      <c r="G171" s="1">
        <v>112</v>
      </c>
      <c r="H171">
        <v>0.43</v>
      </c>
      <c r="I171" s="16">
        <f>BNW[[#This Row],[Berat Satuan
(Kg)]]*BNW[[#This Row],[Qty
(Set)]]</f>
        <v>48.16</v>
      </c>
      <c r="K171" s="1">
        <f>SUMIF(DATA_MASTER[NO. PON],BNW[[#This Row],[No.PON]],DATA_MASTER[Qty
(Unit)])</f>
        <v>1</v>
      </c>
      <c r="L171" s="16">
        <f>BNW[[#This Row],[TOTAL UNIT]]*BNW[[#This Row],[Total Berat Baut
(Kg)]]</f>
        <v>48.16</v>
      </c>
      <c r="N171"/>
      <c r="O171" s="25"/>
    </row>
    <row r="172" spans="1:15" x14ac:dyDescent="0.3">
      <c r="A172" t="s">
        <v>286</v>
      </c>
      <c r="B172" t="str">
        <f>IFERROR(VLOOKUP(A172,'DATA MASTER'!A:O,2,0)," ")</f>
        <v>Panel Bailey</v>
      </c>
      <c r="C172" t="str">
        <f>IFERROR(VLOOKUP(A172,'DATA MASTER'!A:O,4,0)," ")</f>
        <v>42 DSR2-EW (U120)</v>
      </c>
      <c r="D172" t="s">
        <v>136</v>
      </c>
      <c r="E172" t="s">
        <v>106</v>
      </c>
      <c r="F172" s="1">
        <v>8.8000000000000007</v>
      </c>
      <c r="G172" s="1">
        <v>68</v>
      </c>
      <c r="H172">
        <v>0.41</v>
      </c>
      <c r="I172" s="16">
        <f>BNW[[#This Row],[Berat Satuan
(Kg)]]*BNW[[#This Row],[Qty
(Set)]]</f>
        <v>27.88</v>
      </c>
      <c r="K172" s="1">
        <f>SUMIF(DATA_MASTER[NO. PON],BNW[[#This Row],[No.PON]],DATA_MASTER[Qty
(Unit)])</f>
        <v>1</v>
      </c>
      <c r="L172" s="16">
        <f>BNW[[#This Row],[TOTAL UNIT]]*BNW[[#This Row],[Total Berat Baut
(Kg)]]</f>
        <v>27.88</v>
      </c>
      <c r="N172"/>
      <c r="O172" s="25"/>
    </row>
    <row r="173" spans="1:15" x14ac:dyDescent="0.3">
      <c r="A173" t="s">
        <v>286</v>
      </c>
      <c r="B173" t="str">
        <f>IFERROR(VLOOKUP(A173,'DATA MASTER'!A:O,2,0)," ")</f>
        <v>Panel Bailey</v>
      </c>
      <c r="C173" t="str">
        <f>IFERROR(VLOOKUP(A173,'DATA MASTER'!A:O,4,0)," ")</f>
        <v>42 DSR2-EW (U120)</v>
      </c>
      <c r="D173" t="s">
        <v>137</v>
      </c>
      <c r="E173" t="s">
        <v>106</v>
      </c>
      <c r="F173" s="1">
        <v>8.8000000000000007</v>
      </c>
      <c r="G173" s="1">
        <v>256</v>
      </c>
      <c r="H173">
        <v>0.47399999999999998</v>
      </c>
      <c r="I173" s="16">
        <f>BNW[[#This Row],[Berat Satuan
(Kg)]]*BNW[[#This Row],[Qty
(Set)]]</f>
        <v>121.34399999999999</v>
      </c>
      <c r="K173" s="1">
        <f>SUMIF(DATA_MASTER[NO. PON],BNW[[#This Row],[No.PON]],DATA_MASTER[Qty
(Unit)])</f>
        <v>1</v>
      </c>
      <c r="L173" s="16">
        <f>BNW[[#This Row],[TOTAL UNIT]]*BNW[[#This Row],[Total Berat Baut
(Kg)]]</f>
        <v>121.34399999999999</v>
      </c>
      <c r="N173"/>
      <c r="O173" s="25"/>
    </row>
    <row r="174" spans="1:15" x14ac:dyDescent="0.3">
      <c r="A174" t="s">
        <v>286</v>
      </c>
      <c r="B174" t="str">
        <f>IFERROR(VLOOKUP(A174,'DATA MASTER'!A:O,2,0)," ")</f>
        <v>Panel Bailey</v>
      </c>
      <c r="C174" t="str">
        <f>IFERROR(VLOOKUP(A174,'DATA MASTER'!A:O,4,0)," ")</f>
        <v>42 DSR2-EW (U120)</v>
      </c>
      <c r="D174" t="s">
        <v>138</v>
      </c>
      <c r="E174" t="s">
        <v>106</v>
      </c>
      <c r="F174" s="1">
        <v>8.8000000000000007</v>
      </c>
      <c r="G174" s="1">
        <v>184</v>
      </c>
      <c r="H174">
        <v>0.29399999999999998</v>
      </c>
      <c r="I174" s="16">
        <f>BNW[[#This Row],[Berat Satuan
(Kg)]]*BNW[[#This Row],[Qty
(Set)]]</f>
        <v>54.095999999999997</v>
      </c>
      <c r="K174" s="1">
        <f>SUMIF(DATA_MASTER[NO. PON],BNW[[#This Row],[No.PON]],DATA_MASTER[Qty
(Unit)])</f>
        <v>1</v>
      </c>
      <c r="L174" s="16">
        <f>BNW[[#This Row],[TOTAL UNIT]]*BNW[[#This Row],[Total Berat Baut
(Kg)]]</f>
        <v>54.095999999999997</v>
      </c>
      <c r="N174"/>
      <c r="O174" s="25"/>
    </row>
    <row r="175" spans="1:15" x14ac:dyDescent="0.3">
      <c r="A175" t="s">
        <v>286</v>
      </c>
      <c r="B175" t="str">
        <f>IFERROR(VLOOKUP(A175,'DATA MASTER'!A:O,2,0)," ")</f>
        <v>Panel Bailey</v>
      </c>
      <c r="C175" t="str">
        <f>IFERROR(VLOOKUP(A175,'DATA MASTER'!A:O,4,0)," ")</f>
        <v>42 DSR2-EW (U120)</v>
      </c>
      <c r="D175" t="s">
        <v>139</v>
      </c>
      <c r="E175" t="s">
        <v>106</v>
      </c>
      <c r="F175" s="1">
        <v>8.8000000000000007</v>
      </c>
      <c r="G175" s="1">
        <v>28</v>
      </c>
      <c r="H175">
        <v>0.29399999999999998</v>
      </c>
      <c r="I175" s="16">
        <f>BNW[[#This Row],[Berat Satuan
(Kg)]]*BNW[[#This Row],[Qty
(Set)]]</f>
        <v>8.2319999999999993</v>
      </c>
      <c r="K175" s="1">
        <f>SUMIF(DATA_MASTER[NO. PON],BNW[[#This Row],[No.PON]],DATA_MASTER[Qty
(Unit)])</f>
        <v>1</v>
      </c>
      <c r="L175" s="16">
        <f>BNW[[#This Row],[TOTAL UNIT]]*BNW[[#This Row],[Total Berat Baut
(Kg)]]</f>
        <v>8.2319999999999993</v>
      </c>
      <c r="N175"/>
      <c r="O175" s="25"/>
    </row>
    <row r="176" spans="1:15" x14ac:dyDescent="0.3">
      <c r="A176" t="s">
        <v>286</v>
      </c>
      <c r="B176" t="str">
        <f>IFERROR(VLOOKUP(A176,'DATA MASTER'!A:O,2,0)," ")</f>
        <v>Panel Bailey</v>
      </c>
      <c r="C176" t="str">
        <f>IFERROR(VLOOKUP(A176,'DATA MASTER'!A:O,4,0)," ")</f>
        <v>42 DSR2-EW (U120)</v>
      </c>
      <c r="D176" t="s">
        <v>140</v>
      </c>
      <c r="E176" t="s">
        <v>106</v>
      </c>
      <c r="F176" s="1">
        <v>8.8000000000000007</v>
      </c>
      <c r="G176" s="1">
        <v>216</v>
      </c>
      <c r="H176">
        <v>0.24399999999999999</v>
      </c>
      <c r="I176" s="16">
        <f>BNW[[#This Row],[Berat Satuan
(Kg)]]*BNW[[#This Row],[Qty
(Set)]]</f>
        <v>52.704000000000001</v>
      </c>
      <c r="K176" s="1">
        <f>SUMIF(DATA_MASTER[NO. PON],BNW[[#This Row],[No.PON]],DATA_MASTER[Qty
(Unit)])</f>
        <v>1</v>
      </c>
      <c r="L176" s="16">
        <f>BNW[[#This Row],[TOTAL UNIT]]*BNW[[#This Row],[Total Berat Baut
(Kg)]]</f>
        <v>52.704000000000001</v>
      </c>
      <c r="N176"/>
      <c r="O176" s="25"/>
    </row>
    <row r="177" spans="1:15" x14ac:dyDescent="0.3">
      <c r="A177" t="s">
        <v>286</v>
      </c>
      <c r="B177" t="str">
        <f>IFERROR(VLOOKUP(A177,'DATA MASTER'!A:O,2,0)," ")</f>
        <v>Panel Bailey</v>
      </c>
      <c r="C177" t="str">
        <f>IFERROR(VLOOKUP(A177,'DATA MASTER'!A:O,4,0)," ")</f>
        <v>42 DSR2-EW (U120)</v>
      </c>
      <c r="D177" t="s">
        <v>141</v>
      </c>
      <c r="E177" t="s">
        <v>106</v>
      </c>
      <c r="F177" s="1">
        <v>8.8000000000000007</v>
      </c>
      <c r="G177" s="1">
        <v>16</v>
      </c>
      <c r="H177">
        <v>0.13600000000000001</v>
      </c>
      <c r="I177" s="16">
        <f>BNW[[#This Row],[Berat Satuan
(Kg)]]*BNW[[#This Row],[Qty
(Set)]]</f>
        <v>2.1760000000000002</v>
      </c>
      <c r="K177" s="1">
        <f>SUMIF(DATA_MASTER[NO. PON],BNW[[#This Row],[No.PON]],DATA_MASTER[Qty
(Unit)])</f>
        <v>1</v>
      </c>
      <c r="L177" s="16">
        <f>BNW[[#This Row],[TOTAL UNIT]]*BNW[[#This Row],[Total Berat Baut
(Kg)]]</f>
        <v>2.1760000000000002</v>
      </c>
      <c r="N177"/>
      <c r="O177" s="25"/>
    </row>
    <row r="178" spans="1:15" x14ac:dyDescent="0.3">
      <c r="A178" t="s">
        <v>286</v>
      </c>
      <c r="B178" t="str">
        <f>IFERROR(VLOOKUP(A178,'DATA MASTER'!A:O,2,0)," ")</f>
        <v>Panel Bailey</v>
      </c>
      <c r="C178" t="str">
        <f>IFERROR(VLOOKUP(A178,'DATA MASTER'!A:O,4,0)," ")</f>
        <v>42 DSR2-EW (U120)</v>
      </c>
      <c r="D178" t="s">
        <v>142</v>
      </c>
      <c r="E178" t="s">
        <v>106</v>
      </c>
      <c r="F178" s="1">
        <v>8.8000000000000007</v>
      </c>
      <c r="G178" s="1">
        <v>112</v>
      </c>
      <c r="H178">
        <v>0.13600000000000001</v>
      </c>
      <c r="I178" s="16">
        <f>BNW[[#This Row],[Berat Satuan
(Kg)]]*BNW[[#This Row],[Qty
(Set)]]</f>
        <v>15.232000000000001</v>
      </c>
      <c r="K178" s="1">
        <f>SUMIF(DATA_MASTER[NO. PON],BNW[[#This Row],[No.PON]],DATA_MASTER[Qty
(Unit)])</f>
        <v>1</v>
      </c>
      <c r="L178" s="16">
        <f>BNW[[#This Row],[TOTAL UNIT]]*BNW[[#This Row],[Total Berat Baut
(Kg)]]</f>
        <v>15.232000000000001</v>
      </c>
      <c r="N178"/>
      <c r="O178" s="25"/>
    </row>
    <row r="179" spans="1:15" x14ac:dyDescent="0.3">
      <c r="A179" t="s">
        <v>290</v>
      </c>
      <c r="B179" t="str">
        <f>IFERROR(VLOOKUP(A179,'DATA MASTER'!A:O,2,0)," ")</f>
        <v>Panel Bailey</v>
      </c>
      <c r="C179" t="str">
        <f>IFERROR(VLOOKUP(A179,'DATA MASTER'!A:O,4,0)," ")</f>
        <v>45 DSR2H**-EW (U120)</v>
      </c>
      <c r="D179" t="s">
        <v>132</v>
      </c>
      <c r="E179" t="s">
        <v>106</v>
      </c>
      <c r="F179" s="1">
        <v>8.8000000000000007</v>
      </c>
      <c r="G179" s="1">
        <v>64</v>
      </c>
      <c r="H179">
        <v>0.67</v>
      </c>
      <c r="I179" s="16">
        <f>BNW[[#This Row],[Berat Satuan
(Kg)]]*BNW[[#This Row],[Qty
(Set)]]</f>
        <v>42.88</v>
      </c>
      <c r="K179" s="1">
        <f>SUMIF(DATA_MASTER[NO. PON],BNW[[#This Row],[No.PON]],DATA_MASTER[Qty
(Unit)])</f>
        <v>2</v>
      </c>
      <c r="L179" s="16">
        <f>BNW[[#This Row],[TOTAL UNIT]]*BNW[[#This Row],[Total Berat Baut
(Kg)]]</f>
        <v>85.76</v>
      </c>
      <c r="N179"/>
      <c r="O179" s="25"/>
    </row>
    <row r="180" spans="1:15" x14ac:dyDescent="0.3">
      <c r="A180" t="s">
        <v>290</v>
      </c>
      <c r="B180" t="str">
        <f>IFERROR(VLOOKUP(A180,'DATA MASTER'!A:O,2,0)," ")</f>
        <v>Panel Bailey</v>
      </c>
      <c r="C180" t="str">
        <f>IFERROR(VLOOKUP(A180,'DATA MASTER'!A:O,4,0)," ")</f>
        <v>45 DSR2H**-EW (U120)</v>
      </c>
      <c r="D180" t="s">
        <v>133</v>
      </c>
      <c r="E180" t="s">
        <v>106</v>
      </c>
      <c r="F180" s="1">
        <v>8.8000000000000007</v>
      </c>
      <c r="G180" s="1">
        <v>480</v>
      </c>
      <c r="H180">
        <v>0.53</v>
      </c>
      <c r="I180" s="16">
        <f>BNW[[#This Row],[Berat Satuan
(Kg)]]*BNW[[#This Row],[Qty
(Set)]]</f>
        <v>254.4</v>
      </c>
      <c r="K180" s="1">
        <f>SUMIF(DATA_MASTER[NO. PON],BNW[[#This Row],[No.PON]],DATA_MASTER[Qty
(Unit)])</f>
        <v>2</v>
      </c>
      <c r="L180" s="16">
        <f>BNW[[#This Row],[TOTAL UNIT]]*BNW[[#This Row],[Total Berat Baut
(Kg)]]</f>
        <v>508.8</v>
      </c>
      <c r="N180"/>
      <c r="O180" s="25"/>
    </row>
    <row r="181" spans="1:15" x14ac:dyDescent="0.3">
      <c r="A181" t="s">
        <v>290</v>
      </c>
      <c r="B181" t="str">
        <f>IFERROR(VLOOKUP(A181,'DATA MASTER'!A:O,2,0)," ")</f>
        <v>Panel Bailey</v>
      </c>
      <c r="C181" t="str">
        <f>IFERROR(VLOOKUP(A181,'DATA MASTER'!A:O,4,0)," ")</f>
        <v>45 DSR2H**-EW (U120)</v>
      </c>
      <c r="D181" t="s">
        <v>134</v>
      </c>
      <c r="E181" t="s">
        <v>106</v>
      </c>
      <c r="F181" s="1">
        <v>8.8000000000000007</v>
      </c>
      <c r="G181" s="1">
        <v>210</v>
      </c>
      <c r="H181">
        <v>0.46</v>
      </c>
      <c r="I181" s="16">
        <f>BNW[[#This Row],[Berat Satuan
(Kg)]]*BNW[[#This Row],[Qty
(Set)]]</f>
        <v>96.600000000000009</v>
      </c>
      <c r="K181" s="1">
        <f>SUMIF(DATA_MASTER[NO. PON],BNW[[#This Row],[No.PON]],DATA_MASTER[Qty
(Unit)])</f>
        <v>2</v>
      </c>
      <c r="L181" s="16">
        <f>BNW[[#This Row],[TOTAL UNIT]]*BNW[[#This Row],[Total Berat Baut
(Kg)]]</f>
        <v>193.20000000000002</v>
      </c>
      <c r="N181"/>
      <c r="O181" s="25"/>
    </row>
    <row r="182" spans="1:15" x14ac:dyDescent="0.3">
      <c r="A182" t="s">
        <v>290</v>
      </c>
      <c r="B182" t="str">
        <f>IFERROR(VLOOKUP(A182,'DATA MASTER'!A:O,2,0)," ")</f>
        <v>Panel Bailey</v>
      </c>
      <c r="C182" t="str">
        <f>IFERROR(VLOOKUP(A182,'DATA MASTER'!A:O,4,0)," ")</f>
        <v>45 DSR2H**-EW (U120)</v>
      </c>
      <c r="D182" t="s">
        <v>135</v>
      </c>
      <c r="E182" t="s">
        <v>106</v>
      </c>
      <c r="F182" s="1">
        <v>8.8000000000000007</v>
      </c>
      <c r="G182" s="1">
        <v>120</v>
      </c>
      <c r="H182">
        <v>0.43</v>
      </c>
      <c r="I182" s="16">
        <f>BNW[[#This Row],[Berat Satuan
(Kg)]]*BNW[[#This Row],[Qty
(Set)]]</f>
        <v>51.6</v>
      </c>
      <c r="K182" s="1">
        <f>SUMIF(DATA_MASTER[NO. PON],BNW[[#This Row],[No.PON]],DATA_MASTER[Qty
(Unit)])</f>
        <v>2</v>
      </c>
      <c r="L182" s="16">
        <f>BNW[[#This Row],[TOTAL UNIT]]*BNW[[#This Row],[Total Berat Baut
(Kg)]]</f>
        <v>103.2</v>
      </c>
      <c r="N182"/>
      <c r="O182" s="25"/>
    </row>
    <row r="183" spans="1:15" x14ac:dyDescent="0.3">
      <c r="A183" t="s">
        <v>290</v>
      </c>
      <c r="B183" t="str">
        <f>IFERROR(VLOOKUP(A183,'DATA MASTER'!A:O,2,0)," ")</f>
        <v>Panel Bailey</v>
      </c>
      <c r="C183" t="str">
        <f>IFERROR(VLOOKUP(A183,'DATA MASTER'!A:O,4,0)," ")</f>
        <v>45 DSR2H**-EW (U120)</v>
      </c>
      <c r="D183" t="s">
        <v>136</v>
      </c>
      <c r="E183" t="s">
        <v>106</v>
      </c>
      <c r="F183" s="1">
        <v>8.8000000000000007</v>
      </c>
      <c r="G183" s="1">
        <v>72</v>
      </c>
      <c r="H183">
        <v>0.41</v>
      </c>
      <c r="I183" s="16">
        <f>BNW[[#This Row],[Berat Satuan
(Kg)]]*BNW[[#This Row],[Qty
(Set)]]</f>
        <v>29.52</v>
      </c>
      <c r="K183" s="1">
        <f>SUMIF(DATA_MASTER[NO. PON],BNW[[#This Row],[No.PON]],DATA_MASTER[Qty
(Unit)])</f>
        <v>2</v>
      </c>
      <c r="L183" s="16">
        <f>BNW[[#This Row],[TOTAL UNIT]]*BNW[[#This Row],[Total Berat Baut
(Kg)]]</f>
        <v>59.04</v>
      </c>
      <c r="N183"/>
      <c r="O183" s="25"/>
    </row>
    <row r="184" spans="1:15" x14ac:dyDescent="0.3">
      <c r="A184" t="s">
        <v>290</v>
      </c>
      <c r="B184" t="str">
        <f>IFERROR(VLOOKUP(A184,'DATA MASTER'!A:O,2,0)," ")</f>
        <v>Panel Bailey</v>
      </c>
      <c r="C184" t="str">
        <f>IFERROR(VLOOKUP(A184,'DATA MASTER'!A:O,4,0)," ")</f>
        <v>45 DSR2H**-EW (U120)</v>
      </c>
      <c r="D184" t="s">
        <v>137</v>
      </c>
      <c r="E184" t="s">
        <v>106</v>
      </c>
      <c r="F184" s="1">
        <v>8.8000000000000007</v>
      </c>
      <c r="G184" s="1">
        <v>272</v>
      </c>
      <c r="H184">
        <v>0.47399999999999998</v>
      </c>
      <c r="I184" s="16">
        <f>BNW[[#This Row],[Berat Satuan
(Kg)]]*BNW[[#This Row],[Qty
(Set)]]</f>
        <v>128.928</v>
      </c>
      <c r="K184" s="1">
        <f>SUMIF(DATA_MASTER[NO. PON],BNW[[#This Row],[No.PON]],DATA_MASTER[Qty
(Unit)])</f>
        <v>2</v>
      </c>
      <c r="L184" s="16">
        <f>BNW[[#This Row],[TOTAL UNIT]]*BNW[[#This Row],[Total Berat Baut
(Kg)]]</f>
        <v>257.85599999999999</v>
      </c>
      <c r="N184"/>
      <c r="O184" s="25"/>
    </row>
    <row r="185" spans="1:15" x14ac:dyDescent="0.3">
      <c r="A185" t="s">
        <v>290</v>
      </c>
      <c r="B185" t="str">
        <f>IFERROR(VLOOKUP(A185,'DATA MASTER'!A:O,2,0)," ")</f>
        <v>Panel Bailey</v>
      </c>
      <c r="C185" t="str">
        <f>IFERROR(VLOOKUP(A185,'DATA MASTER'!A:O,4,0)," ")</f>
        <v>45 DSR2H**-EW (U120)</v>
      </c>
      <c r="D185" t="s">
        <v>138</v>
      </c>
      <c r="E185" t="s">
        <v>106</v>
      </c>
      <c r="F185" s="1">
        <v>8.8000000000000007</v>
      </c>
      <c r="G185" s="1">
        <v>196</v>
      </c>
      <c r="H185">
        <v>0.29399999999999998</v>
      </c>
      <c r="I185" s="16">
        <f>BNW[[#This Row],[Berat Satuan
(Kg)]]*BNW[[#This Row],[Qty
(Set)]]</f>
        <v>57.623999999999995</v>
      </c>
      <c r="K185" s="1">
        <f>SUMIF(DATA_MASTER[NO. PON],BNW[[#This Row],[No.PON]],DATA_MASTER[Qty
(Unit)])</f>
        <v>2</v>
      </c>
      <c r="L185" s="16">
        <f>BNW[[#This Row],[TOTAL UNIT]]*BNW[[#This Row],[Total Berat Baut
(Kg)]]</f>
        <v>115.24799999999999</v>
      </c>
      <c r="N185"/>
      <c r="O185" s="25"/>
    </row>
    <row r="186" spans="1:15" x14ac:dyDescent="0.3">
      <c r="A186" t="s">
        <v>290</v>
      </c>
      <c r="B186" t="str">
        <f>IFERROR(VLOOKUP(A186,'DATA MASTER'!A:O,2,0)," ")</f>
        <v>Panel Bailey</v>
      </c>
      <c r="C186" t="str">
        <f>IFERROR(VLOOKUP(A186,'DATA MASTER'!A:O,4,0)," ")</f>
        <v>45 DSR2H**-EW (U120)</v>
      </c>
      <c r="D186" t="s">
        <v>139</v>
      </c>
      <c r="E186" t="s">
        <v>106</v>
      </c>
      <c r="F186" s="1">
        <v>8.8000000000000007</v>
      </c>
      <c r="G186" s="1">
        <v>22</v>
      </c>
      <c r="H186">
        <v>0.29399999999999998</v>
      </c>
      <c r="I186" s="16">
        <f>BNW[[#This Row],[Berat Satuan
(Kg)]]*BNW[[#This Row],[Qty
(Set)]]</f>
        <v>6.468</v>
      </c>
      <c r="K186" s="1">
        <f>SUMIF(DATA_MASTER[NO. PON],BNW[[#This Row],[No.PON]],DATA_MASTER[Qty
(Unit)])</f>
        <v>2</v>
      </c>
      <c r="L186" s="16">
        <f>BNW[[#This Row],[TOTAL UNIT]]*BNW[[#This Row],[Total Berat Baut
(Kg)]]</f>
        <v>12.936</v>
      </c>
      <c r="N186"/>
      <c r="O186" s="25"/>
    </row>
    <row r="187" spans="1:15" x14ac:dyDescent="0.3">
      <c r="A187" t="s">
        <v>290</v>
      </c>
      <c r="B187" t="str">
        <f>IFERROR(VLOOKUP(A187,'DATA MASTER'!A:O,2,0)," ")</f>
        <v>Panel Bailey</v>
      </c>
      <c r="C187" t="str">
        <f>IFERROR(VLOOKUP(A187,'DATA MASTER'!A:O,4,0)," ")</f>
        <v>45 DSR2H**-EW (U120)</v>
      </c>
      <c r="D187" t="s">
        <v>140</v>
      </c>
      <c r="E187" t="s">
        <v>106</v>
      </c>
      <c r="F187" s="1">
        <v>8.8000000000000007</v>
      </c>
      <c r="G187" s="1">
        <v>232</v>
      </c>
      <c r="H187">
        <v>0.24399999999999999</v>
      </c>
      <c r="I187" s="16">
        <f>BNW[[#This Row],[Berat Satuan
(Kg)]]*BNW[[#This Row],[Qty
(Set)]]</f>
        <v>56.607999999999997</v>
      </c>
      <c r="K187" s="1">
        <f>SUMIF(DATA_MASTER[NO. PON],BNW[[#This Row],[No.PON]],DATA_MASTER[Qty
(Unit)])</f>
        <v>2</v>
      </c>
      <c r="L187" s="16">
        <f>BNW[[#This Row],[TOTAL UNIT]]*BNW[[#This Row],[Total Berat Baut
(Kg)]]</f>
        <v>113.21599999999999</v>
      </c>
      <c r="N187"/>
      <c r="O187" s="25"/>
    </row>
    <row r="188" spans="1:15" x14ac:dyDescent="0.3">
      <c r="A188" t="s">
        <v>290</v>
      </c>
      <c r="B188" t="str">
        <f>IFERROR(VLOOKUP(A188,'DATA MASTER'!A:O,2,0)," ")</f>
        <v>Panel Bailey</v>
      </c>
      <c r="C188" t="str">
        <f>IFERROR(VLOOKUP(A188,'DATA MASTER'!A:O,4,0)," ")</f>
        <v>45 DSR2H**-EW (U120)</v>
      </c>
      <c r="D188" t="s">
        <v>141</v>
      </c>
      <c r="E188" t="s">
        <v>106</v>
      </c>
      <c r="F188" s="1">
        <v>8.8000000000000007</v>
      </c>
      <c r="G188" s="1">
        <v>16</v>
      </c>
      <c r="H188">
        <v>0.13600000000000001</v>
      </c>
      <c r="I188" s="16">
        <f>BNW[[#This Row],[Berat Satuan
(Kg)]]*BNW[[#This Row],[Qty
(Set)]]</f>
        <v>2.1760000000000002</v>
      </c>
      <c r="K188" s="1">
        <f>SUMIF(DATA_MASTER[NO. PON],BNW[[#This Row],[No.PON]],DATA_MASTER[Qty
(Unit)])</f>
        <v>2</v>
      </c>
      <c r="L188" s="16">
        <f>BNW[[#This Row],[TOTAL UNIT]]*BNW[[#This Row],[Total Berat Baut
(Kg)]]</f>
        <v>4.3520000000000003</v>
      </c>
      <c r="N188"/>
      <c r="O188" s="25"/>
    </row>
    <row r="189" spans="1:15" x14ac:dyDescent="0.3">
      <c r="A189" t="s">
        <v>290</v>
      </c>
      <c r="B189" t="str">
        <f>IFERROR(VLOOKUP(A189,'DATA MASTER'!A:O,2,0)," ")</f>
        <v>Panel Bailey</v>
      </c>
      <c r="C189" t="str">
        <f>IFERROR(VLOOKUP(A189,'DATA MASTER'!A:O,4,0)," ")</f>
        <v>45 DSR2H**-EW (U120)</v>
      </c>
      <c r="D189" t="s">
        <v>142</v>
      </c>
      <c r="E189" t="s">
        <v>106</v>
      </c>
      <c r="F189" s="1">
        <v>8.8000000000000007</v>
      </c>
      <c r="G189" s="1">
        <v>120</v>
      </c>
      <c r="H189">
        <v>0.13600000000000001</v>
      </c>
      <c r="I189" s="16">
        <f>BNW[[#This Row],[Berat Satuan
(Kg)]]*BNW[[#This Row],[Qty
(Set)]]</f>
        <v>16.32</v>
      </c>
      <c r="K189" s="1">
        <f>SUMIF(DATA_MASTER[NO. PON],BNW[[#This Row],[No.PON]],DATA_MASTER[Qty
(Unit)])</f>
        <v>2</v>
      </c>
      <c r="L189" s="16">
        <f>BNW[[#This Row],[TOTAL UNIT]]*BNW[[#This Row],[Total Berat Baut
(Kg)]]</f>
        <v>32.64</v>
      </c>
      <c r="N189"/>
      <c r="O189" s="25"/>
    </row>
    <row r="190" spans="1:15" x14ac:dyDescent="0.3">
      <c r="A190" t="s">
        <v>313</v>
      </c>
      <c r="B190" t="str">
        <f>IFERROR(VLOOKUP(A190,'DATA MASTER'!A:O,2,0)," ")</f>
        <v>BEAM TRESTLE</v>
      </c>
      <c r="C190" t="str">
        <f>IFERROR(VLOOKUP(A190,'DATA MASTER'!A:O,4,0)," ")</f>
        <v>TRESTLE BEAM</v>
      </c>
      <c r="D190" t="s">
        <v>82</v>
      </c>
      <c r="E190" t="s">
        <v>106</v>
      </c>
      <c r="F190" s="1">
        <v>8.8000000000000007</v>
      </c>
      <c r="G190" s="1">
        <v>75</v>
      </c>
      <c r="H190">
        <v>0.254</v>
      </c>
      <c r="I190" s="16">
        <f>BNW[[#This Row],[Berat Satuan
(Kg)]]*BNW[[#This Row],[Qty
(Set)]]</f>
        <v>19.05</v>
      </c>
      <c r="K190" s="1">
        <f>SUMIF(DATA_MASTER[NO. PON],BNW[[#This Row],[No.PON]],DATA_MASTER[Qty
(Unit)])</f>
        <v>1</v>
      </c>
      <c r="L190" s="16">
        <f>BNW[[#This Row],[TOTAL UNIT]]*BNW[[#This Row],[Total Berat Baut
(Kg)]]</f>
        <v>19.05</v>
      </c>
      <c r="N190"/>
      <c r="O190" s="25"/>
    </row>
    <row r="191" spans="1:15" x14ac:dyDescent="0.3">
      <c r="A191" t="s">
        <v>313</v>
      </c>
      <c r="B191" t="str">
        <f>IFERROR(VLOOKUP(A191,'DATA MASTER'!A:O,2,0)," ")</f>
        <v>BEAM TRESTLE</v>
      </c>
      <c r="C191" t="str">
        <f>IFERROR(VLOOKUP(A191,'DATA MASTER'!A:O,4,0)," ")</f>
        <v>TRESTLE BEAM</v>
      </c>
      <c r="D191" t="s">
        <v>161</v>
      </c>
      <c r="E191" t="s">
        <v>106</v>
      </c>
      <c r="F191" s="1">
        <v>8.8000000000000007</v>
      </c>
      <c r="G191" s="1">
        <v>99</v>
      </c>
      <c r="H191">
        <v>0.13600000000000001</v>
      </c>
      <c r="I191" s="16">
        <f>BNW[[#This Row],[Berat Satuan
(Kg)]]*BNW[[#This Row],[Qty
(Set)]]</f>
        <v>13.464</v>
      </c>
      <c r="K191" s="1">
        <f>SUMIF(DATA_MASTER[NO. PON],BNW[[#This Row],[No.PON]],DATA_MASTER[Qty
(Unit)])</f>
        <v>1</v>
      </c>
      <c r="L191" s="16">
        <f>BNW[[#This Row],[TOTAL UNIT]]*BNW[[#This Row],[Total Berat Baut
(Kg)]]</f>
        <v>13.464</v>
      </c>
      <c r="N191"/>
      <c r="O191" s="25"/>
    </row>
    <row r="192" spans="1:15" x14ac:dyDescent="0.3">
      <c r="A192" t="s">
        <v>358</v>
      </c>
      <c r="B192" t="str">
        <f>IFERROR(VLOOKUP(A192,'DATA MASTER'!A:O,2,0)," ")</f>
        <v>Panel Bailey</v>
      </c>
      <c r="C192" t="str">
        <f>IFERROR(VLOOKUP(A192,'DATA MASTER'!A:O,4,0)," ")</f>
        <v>30 DSR2-EW</v>
      </c>
      <c r="D192" t="s">
        <v>133</v>
      </c>
      <c r="E192" t="s">
        <v>106</v>
      </c>
      <c r="F192" s="1">
        <v>8.8000000000000007</v>
      </c>
      <c r="G192" s="1">
        <v>320</v>
      </c>
      <c r="H192" s="10">
        <v>0.53</v>
      </c>
      <c r="I192" s="16">
        <f>BNW[[#This Row],[Berat Satuan
(Kg)]]*BNW[[#This Row],[Qty
(Set)]]</f>
        <v>169.60000000000002</v>
      </c>
      <c r="K192" s="1">
        <f>SUMIF(DATA_MASTER[NO. PON],BNW[[#This Row],[No.PON]],DATA_MASTER[Qty
(Unit)])</f>
        <v>1</v>
      </c>
      <c r="L192" s="16">
        <f>BNW[[#This Row],[TOTAL UNIT]]*BNW[[#This Row],[Total Berat Baut
(Kg)]]</f>
        <v>169.60000000000002</v>
      </c>
      <c r="N192"/>
      <c r="O192" s="25"/>
    </row>
    <row r="193" spans="1:15" x14ac:dyDescent="0.3">
      <c r="A193" t="s">
        <v>358</v>
      </c>
      <c r="B193" t="str">
        <f>IFERROR(VLOOKUP(A193,'DATA MASTER'!A:O,2,0)," ")</f>
        <v>Panel Bailey</v>
      </c>
      <c r="C193" t="str">
        <f>IFERROR(VLOOKUP(A193,'DATA MASTER'!A:O,4,0)," ")</f>
        <v>30 DSR2-EW</v>
      </c>
      <c r="D193" t="s">
        <v>134</v>
      </c>
      <c r="E193" t="s">
        <v>106</v>
      </c>
      <c r="F193" s="1">
        <v>8.8000000000000007</v>
      </c>
      <c r="G193" s="1">
        <v>170</v>
      </c>
      <c r="H193">
        <v>0.46</v>
      </c>
      <c r="I193" s="16">
        <f>BNW[[#This Row],[Berat Satuan
(Kg)]]*BNW[[#This Row],[Qty
(Set)]]</f>
        <v>78.2</v>
      </c>
      <c r="K193" s="1">
        <f>SUMIF(DATA_MASTER[NO. PON],BNW[[#This Row],[No.PON]],DATA_MASTER[Qty
(Unit)])</f>
        <v>1</v>
      </c>
      <c r="L193" s="16">
        <f>BNW[[#This Row],[TOTAL UNIT]]*BNW[[#This Row],[Total Berat Baut
(Kg)]]</f>
        <v>78.2</v>
      </c>
      <c r="N193"/>
      <c r="O193" s="25"/>
    </row>
    <row r="194" spans="1:15" x14ac:dyDescent="0.3">
      <c r="A194" t="s">
        <v>358</v>
      </c>
      <c r="B194" t="str">
        <f>IFERROR(VLOOKUP(A194,'DATA MASTER'!A:O,2,0)," ")</f>
        <v>Panel Bailey</v>
      </c>
      <c r="C194" t="str">
        <f>IFERROR(VLOOKUP(A194,'DATA MASTER'!A:O,4,0)," ")</f>
        <v>30 DSR2-EW</v>
      </c>
      <c r="D194" t="s">
        <v>135</v>
      </c>
      <c r="E194" t="s">
        <v>106</v>
      </c>
      <c r="F194" s="1">
        <v>8.8000000000000007</v>
      </c>
      <c r="G194" s="1">
        <v>80</v>
      </c>
      <c r="H194">
        <v>0.43</v>
      </c>
      <c r="I194" s="16">
        <f>BNW[[#This Row],[Berat Satuan
(Kg)]]*BNW[[#This Row],[Qty
(Set)]]</f>
        <v>34.4</v>
      </c>
      <c r="K194" s="1">
        <f>SUMIF(DATA_MASTER[NO. PON],BNW[[#This Row],[No.PON]],DATA_MASTER[Qty
(Unit)])</f>
        <v>1</v>
      </c>
      <c r="L194" s="16">
        <f>BNW[[#This Row],[TOTAL UNIT]]*BNW[[#This Row],[Total Berat Baut
(Kg)]]</f>
        <v>34.4</v>
      </c>
      <c r="N194"/>
      <c r="O194" s="25"/>
    </row>
    <row r="195" spans="1:15" x14ac:dyDescent="0.3">
      <c r="A195" t="s">
        <v>358</v>
      </c>
      <c r="B195" t="str">
        <f>IFERROR(VLOOKUP(A195,'DATA MASTER'!A:O,2,0)," ")</f>
        <v>Panel Bailey</v>
      </c>
      <c r="C195" t="str">
        <f>IFERROR(VLOOKUP(A195,'DATA MASTER'!A:O,4,0)," ")</f>
        <v>30 DSR2-EW</v>
      </c>
      <c r="D195" t="s">
        <v>136</v>
      </c>
      <c r="E195" t="s">
        <v>106</v>
      </c>
      <c r="F195" s="1">
        <v>8.8000000000000007</v>
      </c>
      <c r="G195" s="1">
        <v>48</v>
      </c>
      <c r="H195">
        <v>0.41</v>
      </c>
      <c r="I195" s="16">
        <f>BNW[[#This Row],[Berat Satuan
(Kg)]]*BNW[[#This Row],[Qty
(Set)]]</f>
        <v>19.68</v>
      </c>
      <c r="K195" s="1">
        <f>SUMIF(DATA_MASTER[NO. PON],BNW[[#This Row],[No.PON]],DATA_MASTER[Qty
(Unit)])</f>
        <v>1</v>
      </c>
      <c r="L195" s="16">
        <f>BNW[[#This Row],[TOTAL UNIT]]*BNW[[#This Row],[Total Berat Baut
(Kg)]]</f>
        <v>19.68</v>
      </c>
      <c r="N195"/>
      <c r="O195" s="25"/>
    </row>
    <row r="196" spans="1:15" x14ac:dyDescent="0.3">
      <c r="A196" t="s">
        <v>358</v>
      </c>
      <c r="B196" t="str">
        <f>IFERROR(VLOOKUP(A196,'DATA MASTER'!A:O,2,0)," ")</f>
        <v>Panel Bailey</v>
      </c>
      <c r="C196" t="str">
        <f>IFERROR(VLOOKUP(A196,'DATA MASTER'!A:O,4,0)," ")</f>
        <v>30 DSR2-EW</v>
      </c>
      <c r="D196" t="s">
        <v>137</v>
      </c>
      <c r="E196" t="s">
        <v>106</v>
      </c>
      <c r="F196" s="1">
        <v>8.8000000000000007</v>
      </c>
      <c r="G196" s="1">
        <v>176</v>
      </c>
      <c r="H196">
        <v>0.47399999999999998</v>
      </c>
      <c r="I196" s="16">
        <f>BNW[[#This Row],[Berat Satuan
(Kg)]]*BNW[[#This Row],[Qty
(Set)]]</f>
        <v>83.423999999999992</v>
      </c>
      <c r="K196" s="1">
        <f>SUMIF(DATA_MASTER[NO. PON],BNW[[#This Row],[No.PON]],DATA_MASTER[Qty
(Unit)])</f>
        <v>1</v>
      </c>
      <c r="L196" s="16">
        <f>BNW[[#This Row],[TOTAL UNIT]]*BNW[[#This Row],[Total Berat Baut
(Kg)]]</f>
        <v>83.423999999999992</v>
      </c>
      <c r="N196"/>
      <c r="O196" s="25"/>
    </row>
    <row r="197" spans="1:15" x14ac:dyDescent="0.3">
      <c r="A197" t="s">
        <v>358</v>
      </c>
      <c r="B197" t="str">
        <f>IFERROR(VLOOKUP(A197,'DATA MASTER'!A:O,2,0)," ")</f>
        <v>Panel Bailey</v>
      </c>
      <c r="C197" t="str">
        <f>IFERROR(VLOOKUP(A197,'DATA MASTER'!A:O,4,0)," ")</f>
        <v>30 DSR2-EW</v>
      </c>
      <c r="D197" t="s">
        <v>138</v>
      </c>
      <c r="E197" t="s">
        <v>106</v>
      </c>
      <c r="F197" s="1">
        <v>8.8000000000000007</v>
      </c>
      <c r="G197" s="1">
        <v>24</v>
      </c>
      <c r="H197">
        <v>0.29399999999999998</v>
      </c>
      <c r="I197" s="16">
        <f>BNW[[#This Row],[Berat Satuan
(Kg)]]*BNW[[#This Row],[Qty
(Set)]]</f>
        <v>7.0559999999999992</v>
      </c>
      <c r="K197" s="1">
        <f>SUMIF(DATA_MASTER[NO. PON],BNW[[#This Row],[No.PON]],DATA_MASTER[Qty
(Unit)])</f>
        <v>1</v>
      </c>
      <c r="L197" s="16">
        <f>BNW[[#This Row],[TOTAL UNIT]]*BNW[[#This Row],[Total Berat Baut
(Kg)]]</f>
        <v>7.0559999999999992</v>
      </c>
      <c r="N197"/>
      <c r="O197" s="25"/>
    </row>
    <row r="198" spans="1:15" x14ac:dyDescent="0.3">
      <c r="A198" t="s">
        <v>358</v>
      </c>
      <c r="B198" t="str">
        <f>IFERROR(VLOOKUP(A198,'DATA MASTER'!A:O,2,0)," ")</f>
        <v>Panel Bailey</v>
      </c>
      <c r="C198" t="str">
        <f>IFERROR(VLOOKUP(A198,'DATA MASTER'!A:O,4,0)," ")</f>
        <v>30 DSR2-EW</v>
      </c>
      <c r="D198" t="s">
        <v>139</v>
      </c>
      <c r="E198" t="s">
        <v>106</v>
      </c>
      <c r="F198" s="1">
        <v>8.8000000000000007</v>
      </c>
      <c r="G198" s="1">
        <v>10</v>
      </c>
      <c r="H198">
        <v>0.29399999999999998</v>
      </c>
      <c r="I198" s="16">
        <f>BNW[[#This Row],[Berat Satuan
(Kg)]]*BNW[[#This Row],[Qty
(Set)]]</f>
        <v>2.94</v>
      </c>
      <c r="K198" s="1">
        <f>SUMIF(DATA_MASTER[NO. PON],BNW[[#This Row],[No.PON]],DATA_MASTER[Qty
(Unit)])</f>
        <v>1</v>
      </c>
      <c r="L198" s="16">
        <f>BNW[[#This Row],[TOTAL UNIT]]*BNW[[#This Row],[Total Berat Baut
(Kg)]]</f>
        <v>2.94</v>
      </c>
      <c r="N198"/>
      <c r="O198" s="25"/>
    </row>
    <row r="199" spans="1:15" x14ac:dyDescent="0.3">
      <c r="A199" t="s">
        <v>358</v>
      </c>
      <c r="B199" t="str">
        <f>IFERROR(VLOOKUP(A199,'DATA MASTER'!A:O,2,0)," ")</f>
        <v>Panel Bailey</v>
      </c>
      <c r="C199" t="str">
        <f>IFERROR(VLOOKUP(A199,'DATA MASTER'!A:O,4,0)," ")</f>
        <v>30 DSR2-EW</v>
      </c>
      <c r="D199" t="s">
        <v>140</v>
      </c>
      <c r="E199" t="s">
        <v>106</v>
      </c>
      <c r="F199" s="1">
        <v>8.8000000000000007</v>
      </c>
      <c r="G199" s="1">
        <v>160</v>
      </c>
      <c r="H199">
        <v>0.24399999999999999</v>
      </c>
      <c r="I199" s="16">
        <f>BNW[[#This Row],[Berat Satuan
(Kg)]]*BNW[[#This Row],[Qty
(Set)]]</f>
        <v>39.04</v>
      </c>
      <c r="K199" s="1">
        <f>SUMIF(DATA_MASTER[NO. PON],BNW[[#This Row],[No.PON]],DATA_MASTER[Qty
(Unit)])</f>
        <v>1</v>
      </c>
      <c r="L199" s="16">
        <f>BNW[[#This Row],[TOTAL UNIT]]*BNW[[#This Row],[Total Berat Baut
(Kg)]]</f>
        <v>39.04</v>
      </c>
      <c r="N199"/>
      <c r="O199" s="25"/>
    </row>
    <row r="200" spans="1:15" x14ac:dyDescent="0.3">
      <c r="A200" t="s">
        <v>358</v>
      </c>
      <c r="B200" t="str">
        <f>IFERROR(VLOOKUP(A200,'DATA MASTER'!A:O,2,0)," ")</f>
        <v>Panel Bailey</v>
      </c>
      <c r="C200" t="str">
        <f>IFERROR(VLOOKUP(A200,'DATA MASTER'!A:O,4,0)," ")</f>
        <v>30 DSR2-EW</v>
      </c>
      <c r="D200" t="s">
        <v>141</v>
      </c>
      <c r="E200" t="s">
        <v>106</v>
      </c>
      <c r="F200" s="1">
        <v>8.8000000000000007</v>
      </c>
      <c r="G200" s="1">
        <v>16</v>
      </c>
      <c r="H200">
        <v>0.14000000000000001</v>
      </c>
      <c r="I200" s="16">
        <f>BNW[[#This Row],[Berat Satuan
(Kg)]]*BNW[[#This Row],[Qty
(Set)]]</f>
        <v>2.2400000000000002</v>
      </c>
      <c r="K200" s="1">
        <f>SUMIF(DATA_MASTER[NO. PON],BNW[[#This Row],[No.PON]],DATA_MASTER[Qty
(Unit)])</f>
        <v>1</v>
      </c>
      <c r="L200" s="16">
        <f>BNW[[#This Row],[TOTAL UNIT]]*BNW[[#This Row],[Total Berat Baut
(Kg)]]</f>
        <v>2.2400000000000002</v>
      </c>
      <c r="N200"/>
      <c r="O200" s="25"/>
    </row>
    <row r="201" spans="1:15" x14ac:dyDescent="0.3">
      <c r="A201" t="s">
        <v>358</v>
      </c>
      <c r="B201" t="str">
        <f>IFERROR(VLOOKUP(A201,'DATA MASTER'!A:O,2,0)," ")</f>
        <v>Panel Bailey</v>
      </c>
      <c r="C201" t="str">
        <f>IFERROR(VLOOKUP(A201,'DATA MASTER'!A:O,4,0)," ")</f>
        <v>30 DSR2-EW</v>
      </c>
      <c r="D201" t="s">
        <v>142</v>
      </c>
      <c r="E201" t="s">
        <v>106</v>
      </c>
      <c r="F201" s="1">
        <v>8.8000000000000007</v>
      </c>
      <c r="G201" s="1">
        <v>80</v>
      </c>
      <c r="H201">
        <v>0.13600000000000001</v>
      </c>
      <c r="I201" s="16">
        <f>BNW[[#This Row],[Berat Satuan
(Kg)]]*BNW[[#This Row],[Qty
(Set)]]</f>
        <v>10.88</v>
      </c>
      <c r="K201" s="1">
        <f>SUMIF(DATA_MASTER[NO. PON],BNW[[#This Row],[No.PON]],DATA_MASTER[Qty
(Unit)])</f>
        <v>1</v>
      </c>
      <c r="L201" s="16">
        <f>BNW[[#This Row],[TOTAL UNIT]]*BNW[[#This Row],[Total Berat Baut
(Kg)]]</f>
        <v>10.88</v>
      </c>
      <c r="N201"/>
      <c r="O201" s="25"/>
    </row>
    <row r="202" spans="1:15" x14ac:dyDescent="0.3">
      <c r="A202" t="s">
        <v>348</v>
      </c>
      <c r="B202" t="str">
        <f>IFERROR(VLOOKUP(A202,'DATA MASTER'!A:O,2,0)," ")</f>
        <v>Girder</v>
      </c>
      <c r="C202" t="str">
        <f>IFERROR(VLOOKUP(A202,'DATA MASTER'!A:O,4,0)," ")</f>
        <v>CG30</v>
      </c>
      <c r="D202" t="s">
        <v>77</v>
      </c>
      <c r="E202" t="s">
        <v>106</v>
      </c>
      <c r="F202" s="1">
        <v>8.8000000000000007</v>
      </c>
      <c r="G202" s="1">
        <v>231</v>
      </c>
      <c r="H202" s="10">
        <v>0.40700000000000003</v>
      </c>
      <c r="I202" s="16">
        <f>BNW[[#This Row],[Berat Satuan
(Kg)]]*BNW[[#This Row],[Qty
(Set)]]</f>
        <v>94.01700000000001</v>
      </c>
      <c r="K202" s="1">
        <f>SUMIF(DATA_MASTER[NO. PON],BNW[[#This Row],[No.PON]],DATA_MASTER[Qty
(Unit)])</f>
        <v>1</v>
      </c>
      <c r="L202" s="16">
        <f>BNW[[#This Row],[TOTAL UNIT]]*BNW[[#This Row],[Total Berat Baut
(Kg)]]</f>
        <v>94.01700000000001</v>
      </c>
      <c r="N202"/>
      <c r="O202" s="25"/>
    </row>
    <row r="203" spans="1:15" x14ac:dyDescent="0.3">
      <c r="A203" t="s">
        <v>348</v>
      </c>
      <c r="B203" t="str">
        <f>IFERROR(VLOOKUP(A203,'DATA MASTER'!A:O,2,0)," ")</f>
        <v>Girder</v>
      </c>
      <c r="C203" t="str">
        <f>IFERROR(VLOOKUP(A203,'DATA MASTER'!A:O,4,0)," ")</f>
        <v>CG30</v>
      </c>
      <c r="D203" t="s">
        <v>78</v>
      </c>
      <c r="E203" t="s">
        <v>106</v>
      </c>
      <c r="F203" s="1">
        <v>8.8000000000000007</v>
      </c>
      <c r="G203" s="1">
        <v>165</v>
      </c>
      <c r="H203" s="10">
        <v>0.38700000000000001</v>
      </c>
      <c r="I203" s="16">
        <f>BNW[[#This Row],[Berat Satuan
(Kg)]]*BNW[[#This Row],[Qty
(Set)]]</f>
        <v>63.855000000000004</v>
      </c>
      <c r="K203" s="1">
        <f>SUMIF(DATA_MASTER[NO. PON],BNW[[#This Row],[No.PON]],DATA_MASTER[Qty
(Unit)])</f>
        <v>1</v>
      </c>
      <c r="L203" s="16">
        <f>BNW[[#This Row],[TOTAL UNIT]]*BNW[[#This Row],[Total Berat Baut
(Kg)]]</f>
        <v>63.855000000000004</v>
      </c>
      <c r="N203"/>
      <c r="O203" s="25"/>
    </row>
    <row r="204" spans="1:15" x14ac:dyDescent="0.3">
      <c r="A204" t="s">
        <v>348</v>
      </c>
      <c r="B204" t="str">
        <f>IFERROR(VLOOKUP(A204,'DATA MASTER'!A:O,2,0)," ")</f>
        <v>Girder</v>
      </c>
      <c r="C204" t="str">
        <f>IFERROR(VLOOKUP(A204,'DATA MASTER'!A:O,4,0)," ")</f>
        <v>CG30</v>
      </c>
      <c r="D204" t="s">
        <v>79</v>
      </c>
      <c r="E204" t="s">
        <v>106</v>
      </c>
      <c r="F204" s="1">
        <v>8.8000000000000007</v>
      </c>
      <c r="G204" s="1">
        <v>462</v>
      </c>
      <c r="H204" s="10">
        <v>0.34700000000000003</v>
      </c>
      <c r="I204" s="16">
        <f>BNW[[#This Row],[Berat Satuan
(Kg)]]*BNW[[#This Row],[Qty
(Set)]]</f>
        <v>160.31400000000002</v>
      </c>
      <c r="K204" s="1">
        <f>SUMIF(DATA_MASTER[NO. PON],BNW[[#This Row],[No.PON]],DATA_MASTER[Qty
(Unit)])</f>
        <v>1</v>
      </c>
      <c r="L204" s="16">
        <f>BNW[[#This Row],[TOTAL UNIT]]*BNW[[#This Row],[Total Berat Baut
(Kg)]]</f>
        <v>160.31400000000002</v>
      </c>
      <c r="N204"/>
      <c r="O204" s="25"/>
    </row>
    <row r="205" spans="1:15" x14ac:dyDescent="0.3">
      <c r="A205" t="s">
        <v>348</v>
      </c>
      <c r="B205" t="str">
        <f>IFERROR(VLOOKUP(A205,'DATA MASTER'!A:O,2,0)," ")</f>
        <v>Girder</v>
      </c>
      <c r="C205" t="str">
        <f>IFERROR(VLOOKUP(A205,'DATA MASTER'!A:O,4,0)," ")</f>
        <v>CG30</v>
      </c>
      <c r="D205" t="s">
        <v>80</v>
      </c>
      <c r="E205" t="s">
        <v>106</v>
      </c>
      <c r="F205" s="1">
        <v>8.8000000000000007</v>
      </c>
      <c r="G205" s="1">
        <v>17</v>
      </c>
      <c r="H205" s="10">
        <v>0.15400000000000003</v>
      </c>
      <c r="I205" s="16">
        <f>BNW[[#This Row],[Berat Satuan
(Kg)]]*BNW[[#This Row],[Qty
(Set)]]</f>
        <v>2.6180000000000003</v>
      </c>
      <c r="K205" s="1">
        <f>SUMIF(DATA_MASTER[NO. PON],BNW[[#This Row],[No.PON]],DATA_MASTER[Qty
(Unit)])</f>
        <v>1</v>
      </c>
      <c r="L205" s="16">
        <f>BNW[[#This Row],[TOTAL UNIT]]*BNW[[#This Row],[Total Berat Baut
(Kg)]]</f>
        <v>2.6180000000000003</v>
      </c>
      <c r="N205"/>
      <c r="O205" s="25"/>
    </row>
    <row r="206" spans="1:15" x14ac:dyDescent="0.3">
      <c r="A206" t="s">
        <v>348</v>
      </c>
      <c r="B206" t="str">
        <f>IFERROR(VLOOKUP(A206,'DATA MASTER'!A:O,2,0)," ")</f>
        <v>Girder</v>
      </c>
      <c r="C206" t="str">
        <f>IFERROR(VLOOKUP(A206,'DATA MASTER'!A:O,4,0)," ")</f>
        <v>CG30</v>
      </c>
      <c r="D206" t="s">
        <v>81</v>
      </c>
      <c r="E206" t="s">
        <v>106</v>
      </c>
      <c r="F206" s="1">
        <v>8.8000000000000007</v>
      </c>
      <c r="G206" s="1">
        <v>50</v>
      </c>
      <c r="H206" s="10">
        <v>0.14900000000000002</v>
      </c>
      <c r="I206" s="16">
        <f>BNW[[#This Row],[Berat Satuan
(Kg)]]*BNW[[#This Row],[Qty
(Set)]]</f>
        <v>7.4500000000000011</v>
      </c>
      <c r="K206" s="1">
        <f>SUMIF(DATA_MASTER[NO. PON],BNW[[#This Row],[No.PON]],DATA_MASTER[Qty
(Unit)])</f>
        <v>1</v>
      </c>
      <c r="L206" s="16">
        <f>BNW[[#This Row],[TOTAL UNIT]]*BNW[[#This Row],[Total Berat Baut
(Kg)]]</f>
        <v>7.4500000000000011</v>
      </c>
      <c r="N206"/>
      <c r="O206" s="25"/>
    </row>
    <row r="207" spans="1:15" x14ac:dyDescent="0.3">
      <c r="A207" t="s">
        <v>348</v>
      </c>
      <c r="B207" t="str">
        <f>IFERROR(VLOOKUP(A207,'DATA MASTER'!A:O,2,0)," ")</f>
        <v>Girder</v>
      </c>
      <c r="C207" t="str">
        <f>IFERROR(VLOOKUP(A207,'DATA MASTER'!A:O,4,0)," ")</f>
        <v>CG30</v>
      </c>
      <c r="D207" t="s">
        <v>82</v>
      </c>
      <c r="E207" t="s">
        <v>106</v>
      </c>
      <c r="F207" s="1">
        <v>8.8000000000000007</v>
      </c>
      <c r="G207" s="1">
        <v>124</v>
      </c>
      <c r="H207" s="10">
        <v>0.13600000000000001</v>
      </c>
      <c r="I207" s="16">
        <f>BNW[[#This Row],[Berat Satuan
(Kg)]]*BNW[[#This Row],[Qty
(Set)]]</f>
        <v>16.864000000000001</v>
      </c>
      <c r="K207" s="1">
        <f>SUMIF(DATA_MASTER[NO. PON],BNW[[#This Row],[No.PON]],DATA_MASTER[Qty
(Unit)])</f>
        <v>1</v>
      </c>
      <c r="L207" s="16">
        <f>BNW[[#This Row],[TOTAL UNIT]]*BNW[[#This Row],[Total Berat Baut
(Kg)]]</f>
        <v>16.864000000000001</v>
      </c>
      <c r="N207"/>
      <c r="O207" s="25"/>
    </row>
    <row r="208" spans="1:15" x14ac:dyDescent="0.3">
      <c r="A208" t="s">
        <v>348</v>
      </c>
      <c r="B208" t="str">
        <f>IFERROR(VLOOKUP(A208,'DATA MASTER'!A:O,2,0)," ")</f>
        <v>Girder</v>
      </c>
      <c r="C208" t="str">
        <f>IFERROR(VLOOKUP(A208,'DATA MASTER'!A:O,4,0)," ")</f>
        <v>CG30</v>
      </c>
      <c r="D208" t="s">
        <v>83</v>
      </c>
      <c r="E208" t="s">
        <v>106</v>
      </c>
      <c r="F208" s="1">
        <v>8.8000000000000007</v>
      </c>
      <c r="G208" s="1">
        <v>9</v>
      </c>
      <c r="H208" s="10">
        <v>8.1000000000000003E-2</v>
      </c>
      <c r="I208" s="16">
        <f>BNW[[#This Row],[Berat Satuan
(Kg)]]*BNW[[#This Row],[Qty
(Set)]]</f>
        <v>0.72899999999999998</v>
      </c>
      <c r="K208" s="1">
        <f>SUMIF(DATA_MASTER[NO. PON],BNW[[#This Row],[No.PON]],DATA_MASTER[Qty
(Unit)])</f>
        <v>1</v>
      </c>
      <c r="L208" s="16">
        <f>BNW[[#This Row],[TOTAL UNIT]]*BNW[[#This Row],[Total Berat Baut
(Kg)]]</f>
        <v>0.72899999999999998</v>
      </c>
      <c r="N208"/>
      <c r="O208" s="25"/>
    </row>
    <row r="209" spans="1:15" x14ac:dyDescent="0.3">
      <c r="A209" t="s">
        <v>418</v>
      </c>
      <c r="B209" t="str">
        <f>IFERROR(VLOOKUP(A209,'DATA MASTER'!A:O,2,0)," ")</f>
        <v>Panel Bailey</v>
      </c>
      <c r="C209" t="str">
        <f>IFERROR(VLOOKUP(A209,'DATA MASTER'!A:O,4,0)," ")</f>
        <v>36 DSR2-EW</v>
      </c>
      <c r="D209" t="s">
        <v>133</v>
      </c>
      <c r="E209" t="s">
        <v>106</v>
      </c>
      <c r="F209" s="1">
        <v>8.8000000000000007</v>
      </c>
      <c r="G209" s="1">
        <v>384</v>
      </c>
      <c r="H209">
        <v>0.53</v>
      </c>
      <c r="I209" s="16">
        <f>BNW[[#This Row],[Berat Satuan
(Kg)]]*BNW[[#This Row],[Qty
(Set)]]</f>
        <v>203.52</v>
      </c>
      <c r="K209" s="1">
        <f>SUMIF(DATA_MASTER[NO. PON],BNW[[#This Row],[No.PON]],DATA_MASTER[Qty
(Unit)])</f>
        <v>1</v>
      </c>
      <c r="L209" s="16">
        <f>BNW[[#This Row],[TOTAL UNIT]]*BNW[[#This Row],[Total Berat Baut
(Kg)]]</f>
        <v>203.52</v>
      </c>
      <c r="N209"/>
      <c r="O209" s="25"/>
    </row>
    <row r="210" spans="1:15" x14ac:dyDescent="0.3">
      <c r="A210" t="s">
        <v>418</v>
      </c>
      <c r="B210" t="str">
        <f>IFERROR(VLOOKUP(A210,'DATA MASTER'!A:O,2,0)," ")</f>
        <v>Panel Bailey</v>
      </c>
      <c r="C210" t="str">
        <f>IFERROR(VLOOKUP(A210,'DATA MASTER'!A:O,4,0)," ")</f>
        <v>36 DSR2-EW</v>
      </c>
      <c r="D210" t="s">
        <v>134</v>
      </c>
      <c r="E210" t="s">
        <v>106</v>
      </c>
      <c r="F210" s="1">
        <v>8.8000000000000007</v>
      </c>
      <c r="G210" s="1">
        <v>204</v>
      </c>
      <c r="H210">
        <v>0.46</v>
      </c>
      <c r="I210" s="16">
        <f>BNW[[#This Row],[Berat Satuan
(Kg)]]*BNW[[#This Row],[Qty
(Set)]]</f>
        <v>93.84</v>
      </c>
      <c r="K210" s="1">
        <f>SUMIF(DATA_MASTER[NO. PON],BNW[[#This Row],[No.PON]],DATA_MASTER[Qty
(Unit)])</f>
        <v>1</v>
      </c>
      <c r="L210" s="16">
        <f>BNW[[#This Row],[TOTAL UNIT]]*BNW[[#This Row],[Total Berat Baut
(Kg)]]</f>
        <v>93.84</v>
      </c>
      <c r="N210"/>
      <c r="O210" s="25"/>
    </row>
    <row r="211" spans="1:15" x14ac:dyDescent="0.3">
      <c r="A211" t="s">
        <v>418</v>
      </c>
      <c r="B211" t="str">
        <f>IFERROR(VLOOKUP(A211,'DATA MASTER'!A:O,2,0)," ")</f>
        <v>Panel Bailey</v>
      </c>
      <c r="C211" t="str">
        <f>IFERROR(VLOOKUP(A211,'DATA MASTER'!A:O,4,0)," ")</f>
        <v>36 DSR2-EW</v>
      </c>
      <c r="D211" t="s">
        <v>135</v>
      </c>
      <c r="E211" t="s">
        <v>106</v>
      </c>
      <c r="F211" s="1">
        <v>8.8000000000000007</v>
      </c>
      <c r="G211" s="1">
        <v>96</v>
      </c>
      <c r="H211">
        <v>0.43</v>
      </c>
      <c r="I211" s="16">
        <f>BNW[[#This Row],[Berat Satuan
(Kg)]]*BNW[[#This Row],[Qty
(Set)]]</f>
        <v>41.28</v>
      </c>
      <c r="K211" s="1">
        <f>SUMIF(DATA_MASTER[NO. PON],BNW[[#This Row],[No.PON]],DATA_MASTER[Qty
(Unit)])</f>
        <v>1</v>
      </c>
      <c r="L211" s="16">
        <f>BNW[[#This Row],[TOTAL UNIT]]*BNW[[#This Row],[Total Berat Baut
(Kg)]]</f>
        <v>41.28</v>
      </c>
      <c r="N211"/>
      <c r="O211" s="25"/>
    </row>
    <row r="212" spans="1:15" x14ac:dyDescent="0.3">
      <c r="A212" t="s">
        <v>418</v>
      </c>
      <c r="B212" t="str">
        <f>IFERROR(VLOOKUP(A212,'DATA MASTER'!A:O,2,0)," ")</f>
        <v>Panel Bailey</v>
      </c>
      <c r="C212" t="str">
        <f>IFERROR(VLOOKUP(A212,'DATA MASTER'!A:O,4,0)," ")</f>
        <v>36 DSR2-EW</v>
      </c>
      <c r="D212" t="s">
        <v>136</v>
      </c>
      <c r="E212" t="s">
        <v>106</v>
      </c>
      <c r="F212" s="1">
        <v>8.8000000000000007</v>
      </c>
      <c r="G212" s="1">
        <v>56</v>
      </c>
      <c r="H212">
        <v>0.41</v>
      </c>
      <c r="I212" s="16">
        <f>BNW[[#This Row],[Berat Satuan
(Kg)]]*BNW[[#This Row],[Qty
(Set)]]</f>
        <v>22.959999999999997</v>
      </c>
      <c r="K212" s="1">
        <f>SUMIF(DATA_MASTER[NO. PON],BNW[[#This Row],[No.PON]],DATA_MASTER[Qty
(Unit)])</f>
        <v>1</v>
      </c>
      <c r="L212" s="16">
        <f>BNW[[#This Row],[TOTAL UNIT]]*BNW[[#This Row],[Total Berat Baut
(Kg)]]</f>
        <v>22.959999999999997</v>
      </c>
      <c r="N212"/>
      <c r="O212" s="25"/>
    </row>
    <row r="213" spans="1:15" x14ac:dyDescent="0.3">
      <c r="A213" t="s">
        <v>418</v>
      </c>
      <c r="B213" t="str">
        <f>IFERROR(VLOOKUP(A213,'DATA MASTER'!A:O,2,0)," ")</f>
        <v>Panel Bailey</v>
      </c>
      <c r="C213" t="str">
        <f>IFERROR(VLOOKUP(A213,'DATA MASTER'!A:O,4,0)," ")</f>
        <v>36 DSR2-EW</v>
      </c>
      <c r="D213" t="s">
        <v>137</v>
      </c>
      <c r="E213" t="s">
        <v>106</v>
      </c>
      <c r="F213" s="1">
        <v>8.8000000000000007</v>
      </c>
      <c r="G213" s="1">
        <v>208</v>
      </c>
      <c r="H213">
        <v>0.47399999999999998</v>
      </c>
      <c r="I213" s="16">
        <f>BNW[[#This Row],[Berat Satuan
(Kg)]]*BNW[[#This Row],[Qty
(Set)]]</f>
        <v>98.591999999999999</v>
      </c>
      <c r="K213" s="1">
        <f>SUMIF(DATA_MASTER[NO. PON],BNW[[#This Row],[No.PON]],DATA_MASTER[Qty
(Unit)])</f>
        <v>1</v>
      </c>
      <c r="L213" s="16">
        <f>BNW[[#This Row],[TOTAL UNIT]]*BNW[[#This Row],[Total Berat Baut
(Kg)]]</f>
        <v>98.591999999999999</v>
      </c>
      <c r="N213"/>
      <c r="O213" s="25"/>
    </row>
    <row r="214" spans="1:15" x14ac:dyDescent="0.3">
      <c r="A214" t="s">
        <v>418</v>
      </c>
      <c r="B214" t="str">
        <f>IFERROR(VLOOKUP(A214,'DATA MASTER'!A:O,2,0)," ")</f>
        <v>Panel Bailey</v>
      </c>
      <c r="C214" t="str">
        <f>IFERROR(VLOOKUP(A214,'DATA MASTER'!A:O,4,0)," ")</f>
        <v>36 DSR2-EW</v>
      </c>
      <c r="D214" t="s">
        <v>138</v>
      </c>
      <c r="E214" t="s">
        <v>106</v>
      </c>
      <c r="F214" s="1">
        <v>8.8000000000000007</v>
      </c>
      <c r="G214" s="1">
        <v>24</v>
      </c>
      <c r="H214">
        <v>0.29399999999999998</v>
      </c>
      <c r="I214" s="16">
        <f>BNW[[#This Row],[Berat Satuan
(Kg)]]*BNW[[#This Row],[Qty
(Set)]]</f>
        <v>7.0559999999999992</v>
      </c>
      <c r="K214" s="1">
        <f>SUMIF(DATA_MASTER[NO. PON],BNW[[#This Row],[No.PON]],DATA_MASTER[Qty
(Unit)])</f>
        <v>1</v>
      </c>
      <c r="L214" s="16">
        <f>BNW[[#This Row],[TOTAL UNIT]]*BNW[[#This Row],[Total Berat Baut
(Kg)]]</f>
        <v>7.0559999999999992</v>
      </c>
      <c r="N214"/>
      <c r="O214" s="25"/>
    </row>
    <row r="215" spans="1:15" x14ac:dyDescent="0.3">
      <c r="A215" t="s">
        <v>418</v>
      </c>
      <c r="B215" t="str">
        <f>IFERROR(VLOOKUP(A215,'DATA MASTER'!A:O,2,0)," ")</f>
        <v>Panel Bailey</v>
      </c>
      <c r="C215" t="str">
        <f>IFERROR(VLOOKUP(A215,'DATA MASTER'!A:O,4,0)," ")</f>
        <v>36 DSR2-EW</v>
      </c>
      <c r="D215" t="s">
        <v>139</v>
      </c>
      <c r="E215" t="s">
        <v>106</v>
      </c>
      <c r="F215" s="1">
        <v>8.8000000000000007</v>
      </c>
      <c r="G215" s="1">
        <v>12</v>
      </c>
      <c r="H215">
        <v>0.29399999999999998</v>
      </c>
      <c r="I215" s="16">
        <f>BNW[[#This Row],[Berat Satuan
(Kg)]]*BNW[[#This Row],[Qty
(Set)]]</f>
        <v>3.5279999999999996</v>
      </c>
      <c r="K215" s="1">
        <f>SUMIF(DATA_MASTER[NO. PON],BNW[[#This Row],[No.PON]],DATA_MASTER[Qty
(Unit)])</f>
        <v>1</v>
      </c>
      <c r="L215" s="16">
        <f>BNW[[#This Row],[TOTAL UNIT]]*BNW[[#This Row],[Total Berat Baut
(Kg)]]</f>
        <v>3.5279999999999996</v>
      </c>
      <c r="N215"/>
      <c r="O215" s="25"/>
    </row>
    <row r="216" spans="1:15" x14ac:dyDescent="0.3">
      <c r="A216" t="s">
        <v>418</v>
      </c>
      <c r="B216" t="str">
        <f>IFERROR(VLOOKUP(A216,'DATA MASTER'!A:O,2,0)," ")</f>
        <v>Panel Bailey</v>
      </c>
      <c r="C216" t="str">
        <f>IFERROR(VLOOKUP(A216,'DATA MASTER'!A:O,4,0)," ")</f>
        <v>36 DSR2-EW</v>
      </c>
      <c r="D216" t="s">
        <v>140</v>
      </c>
      <c r="E216" t="s">
        <v>106</v>
      </c>
      <c r="F216" s="1">
        <v>8.8000000000000007</v>
      </c>
      <c r="G216" s="1">
        <v>192</v>
      </c>
      <c r="H216">
        <v>0.24399999999999999</v>
      </c>
      <c r="I216" s="16">
        <f>BNW[[#This Row],[Berat Satuan
(Kg)]]*BNW[[#This Row],[Qty
(Set)]]</f>
        <v>46.847999999999999</v>
      </c>
      <c r="K216" s="1">
        <f>SUMIF(DATA_MASTER[NO. PON],BNW[[#This Row],[No.PON]],DATA_MASTER[Qty
(Unit)])</f>
        <v>1</v>
      </c>
      <c r="L216" s="16">
        <f>BNW[[#This Row],[TOTAL UNIT]]*BNW[[#This Row],[Total Berat Baut
(Kg)]]</f>
        <v>46.847999999999999</v>
      </c>
      <c r="N216"/>
      <c r="O216" s="25"/>
    </row>
    <row r="217" spans="1:15" x14ac:dyDescent="0.3">
      <c r="A217" t="s">
        <v>418</v>
      </c>
      <c r="B217" t="str">
        <f>IFERROR(VLOOKUP(A217,'DATA MASTER'!A:O,2,0)," ")</f>
        <v>Panel Bailey</v>
      </c>
      <c r="C217" t="str">
        <f>IFERROR(VLOOKUP(A217,'DATA MASTER'!A:O,4,0)," ")</f>
        <v>36 DSR2-EW</v>
      </c>
      <c r="D217" t="s">
        <v>141</v>
      </c>
      <c r="E217" t="s">
        <v>106</v>
      </c>
      <c r="F217" s="1">
        <v>8.8000000000000007</v>
      </c>
      <c r="G217" s="1">
        <v>16</v>
      </c>
      <c r="H217">
        <v>0.14000000000000001</v>
      </c>
      <c r="I217" s="16">
        <f>BNW[[#This Row],[Berat Satuan
(Kg)]]*BNW[[#This Row],[Qty
(Set)]]</f>
        <v>2.2400000000000002</v>
      </c>
      <c r="K217" s="1">
        <f>SUMIF(DATA_MASTER[NO. PON],BNW[[#This Row],[No.PON]],DATA_MASTER[Qty
(Unit)])</f>
        <v>1</v>
      </c>
      <c r="L217" s="16">
        <f>BNW[[#This Row],[TOTAL UNIT]]*BNW[[#This Row],[Total Berat Baut
(Kg)]]</f>
        <v>2.2400000000000002</v>
      </c>
      <c r="N217"/>
      <c r="O217" s="25"/>
    </row>
    <row r="218" spans="1:15" x14ac:dyDescent="0.3">
      <c r="A218" t="s">
        <v>418</v>
      </c>
      <c r="B218" t="str">
        <f>IFERROR(VLOOKUP(A218,'DATA MASTER'!A:O,2,0)," ")</f>
        <v>Panel Bailey</v>
      </c>
      <c r="C218" t="str">
        <f>IFERROR(VLOOKUP(A218,'DATA MASTER'!A:O,4,0)," ")</f>
        <v>36 DSR2-EW</v>
      </c>
      <c r="D218" t="s">
        <v>142</v>
      </c>
      <c r="E218" t="s">
        <v>106</v>
      </c>
      <c r="F218" s="1">
        <v>8.8000000000000007</v>
      </c>
      <c r="G218" s="1">
        <v>96</v>
      </c>
      <c r="H218">
        <v>0.13600000000000001</v>
      </c>
      <c r="I218" s="16">
        <f>BNW[[#This Row],[Berat Satuan
(Kg)]]*BNW[[#This Row],[Qty
(Set)]]</f>
        <v>13.056000000000001</v>
      </c>
      <c r="K218" s="1">
        <f>SUMIF(DATA_MASTER[NO. PON],BNW[[#This Row],[No.PON]],DATA_MASTER[Qty
(Unit)])</f>
        <v>1</v>
      </c>
      <c r="L218" s="16">
        <f>BNW[[#This Row],[TOTAL UNIT]]*BNW[[#This Row],[Total Berat Baut
(Kg)]]</f>
        <v>13.056000000000001</v>
      </c>
      <c r="N218"/>
      <c r="O218" s="25"/>
    </row>
    <row r="219" spans="1:15" x14ac:dyDescent="0.3">
      <c r="A219" t="s">
        <v>422</v>
      </c>
      <c r="B219" t="str">
        <f>IFERROR(VLOOKUP(A219,'DATA MASTER'!A:O,2,0)," ")</f>
        <v>Panel Bailey</v>
      </c>
      <c r="C219" t="str">
        <f>IFERROR(VLOOKUP(A219,'DATA MASTER'!A:O,4,0)," ")</f>
        <v>30 DSR2-EW</v>
      </c>
      <c r="D219" t="s">
        <v>133</v>
      </c>
      <c r="E219" t="s">
        <v>106</v>
      </c>
      <c r="F219" s="1">
        <v>8.8000000000000007</v>
      </c>
      <c r="G219" s="1">
        <v>320</v>
      </c>
      <c r="H219">
        <v>0.53</v>
      </c>
      <c r="I219" s="16">
        <f>BNW[[#This Row],[Berat Satuan
(Kg)]]*BNW[[#This Row],[Qty
(Set)]]</f>
        <v>169.60000000000002</v>
      </c>
      <c r="K219" s="1">
        <f>SUMIF(DATA_MASTER[NO. PON],BNW[[#This Row],[No.PON]],DATA_MASTER[Qty
(Unit)])</f>
        <v>2</v>
      </c>
      <c r="L219" s="16">
        <f>BNW[[#This Row],[TOTAL UNIT]]*BNW[[#This Row],[Total Berat Baut
(Kg)]]</f>
        <v>339.20000000000005</v>
      </c>
      <c r="N219"/>
      <c r="O219" s="25"/>
    </row>
    <row r="220" spans="1:15" x14ac:dyDescent="0.3">
      <c r="A220" t="s">
        <v>422</v>
      </c>
      <c r="B220" t="str">
        <f>IFERROR(VLOOKUP(A220,'DATA MASTER'!A:O,2,0)," ")</f>
        <v>Panel Bailey</v>
      </c>
      <c r="C220" t="str">
        <f>IFERROR(VLOOKUP(A220,'DATA MASTER'!A:O,4,0)," ")</f>
        <v>30 DSR2-EW</v>
      </c>
      <c r="D220" t="s">
        <v>134</v>
      </c>
      <c r="E220" t="s">
        <v>106</v>
      </c>
      <c r="F220" s="1">
        <v>8.8000000000000007</v>
      </c>
      <c r="G220" s="1">
        <v>170</v>
      </c>
      <c r="H220">
        <v>0.46</v>
      </c>
      <c r="I220" s="16">
        <f>BNW[[#This Row],[Berat Satuan
(Kg)]]*BNW[[#This Row],[Qty
(Set)]]</f>
        <v>78.2</v>
      </c>
      <c r="K220" s="1">
        <f>SUMIF(DATA_MASTER[NO. PON],BNW[[#This Row],[No.PON]],DATA_MASTER[Qty
(Unit)])</f>
        <v>2</v>
      </c>
      <c r="L220" s="16">
        <f>BNW[[#This Row],[TOTAL UNIT]]*BNW[[#This Row],[Total Berat Baut
(Kg)]]</f>
        <v>156.4</v>
      </c>
      <c r="N220"/>
      <c r="O220" s="25"/>
    </row>
    <row r="221" spans="1:15" x14ac:dyDescent="0.3">
      <c r="A221" t="s">
        <v>422</v>
      </c>
      <c r="B221" t="str">
        <f>IFERROR(VLOOKUP(A221,'DATA MASTER'!A:O,2,0)," ")</f>
        <v>Panel Bailey</v>
      </c>
      <c r="C221" t="str">
        <f>IFERROR(VLOOKUP(A221,'DATA MASTER'!A:O,4,0)," ")</f>
        <v>30 DSR2-EW</v>
      </c>
      <c r="D221" t="s">
        <v>135</v>
      </c>
      <c r="E221" t="s">
        <v>106</v>
      </c>
      <c r="F221" s="1">
        <v>8.8000000000000007</v>
      </c>
      <c r="G221" s="1">
        <v>80</v>
      </c>
      <c r="H221">
        <v>0.43</v>
      </c>
      <c r="I221" s="16">
        <f>BNW[[#This Row],[Berat Satuan
(Kg)]]*BNW[[#This Row],[Qty
(Set)]]</f>
        <v>34.4</v>
      </c>
      <c r="K221" s="1">
        <f>SUMIF(DATA_MASTER[NO. PON],BNW[[#This Row],[No.PON]],DATA_MASTER[Qty
(Unit)])</f>
        <v>2</v>
      </c>
      <c r="L221" s="16">
        <f>BNW[[#This Row],[TOTAL UNIT]]*BNW[[#This Row],[Total Berat Baut
(Kg)]]</f>
        <v>68.8</v>
      </c>
      <c r="N221"/>
      <c r="O221" s="25"/>
    </row>
    <row r="222" spans="1:15" x14ac:dyDescent="0.3">
      <c r="A222" t="s">
        <v>422</v>
      </c>
      <c r="B222" t="str">
        <f>IFERROR(VLOOKUP(A222,'DATA MASTER'!A:O,2,0)," ")</f>
        <v>Panel Bailey</v>
      </c>
      <c r="C222" t="str">
        <f>IFERROR(VLOOKUP(A222,'DATA MASTER'!A:O,4,0)," ")</f>
        <v>30 DSR2-EW</v>
      </c>
      <c r="D222" t="s">
        <v>136</v>
      </c>
      <c r="E222" t="s">
        <v>106</v>
      </c>
      <c r="F222" s="1">
        <v>8.8000000000000007</v>
      </c>
      <c r="G222" s="1">
        <v>48</v>
      </c>
      <c r="H222">
        <v>0.41</v>
      </c>
      <c r="I222" s="16">
        <f>BNW[[#This Row],[Berat Satuan
(Kg)]]*BNW[[#This Row],[Qty
(Set)]]</f>
        <v>19.68</v>
      </c>
      <c r="K222" s="1">
        <f>SUMIF(DATA_MASTER[NO. PON],BNW[[#This Row],[No.PON]],DATA_MASTER[Qty
(Unit)])</f>
        <v>2</v>
      </c>
      <c r="L222" s="16">
        <f>BNW[[#This Row],[TOTAL UNIT]]*BNW[[#This Row],[Total Berat Baut
(Kg)]]</f>
        <v>39.36</v>
      </c>
      <c r="N222"/>
      <c r="O222" s="25"/>
    </row>
    <row r="223" spans="1:15" x14ac:dyDescent="0.3">
      <c r="A223" t="s">
        <v>422</v>
      </c>
      <c r="B223" t="str">
        <f>IFERROR(VLOOKUP(A223,'DATA MASTER'!A:O,2,0)," ")</f>
        <v>Panel Bailey</v>
      </c>
      <c r="C223" t="str">
        <f>IFERROR(VLOOKUP(A223,'DATA MASTER'!A:O,4,0)," ")</f>
        <v>30 DSR2-EW</v>
      </c>
      <c r="D223" t="s">
        <v>137</v>
      </c>
      <c r="E223" t="s">
        <v>106</v>
      </c>
      <c r="F223" s="1">
        <v>8.8000000000000007</v>
      </c>
      <c r="G223" s="1">
        <v>176</v>
      </c>
      <c r="H223">
        <v>0.47399999999999998</v>
      </c>
      <c r="I223" s="16">
        <f>BNW[[#This Row],[Berat Satuan
(Kg)]]*BNW[[#This Row],[Qty
(Set)]]</f>
        <v>83.423999999999992</v>
      </c>
      <c r="K223" s="1">
        <f>SUMIF(DATA_MASTER[NO. PON],BNW[[#This Row],[No.PON]],DATA_MASTER[Qty
(Unit)])</f>
        <v>2</v>
      </c>
      <c r="L223" s="16">
        <f>BNW[[#This Row],[TOTAL UNIT]]*BNW[[#This Row],[Total Berat Baut
(Kg)]]</f>
        <v>166.84799999999998</v>
      </c>
      <c r="N223"/>
      <c r="O223" s="25"/>
    </row>
    <row r="224" spans="1:15" x14ac:dyDescent="0.3">
      <c r="A224" t="s">
        <v>422</v>
      </c>
      <c r="B224" t="str">
        <f>IFERROR(VLOOKUP(A224,'DATA MASTER'!A:O,2,0)," ")</f>
        <v>Panel Bailey</v>
      </c>
      <c r="C224" t="str">
        <f>IFERROR(VLOOKUP(A224,'DATA MASTER'!A:O,4,0)," ")</f>
        <v>30 DSR2-EW</v>
      </c>
      <c r="D224" t="s">
        <v>138</v>
      </c>
      <c r="E224" t="s">
        <v>106</v>
      </c>
      <c r="F224" s="1">
        <v>8.8000000000000007</v>
      </c>
      <c r="G224" s="1">
        <v>24</v>
      </c>
      <c r="H224">
        <v>0.29399999999999998</v>
      </c>
      <c r="I224" s="16">
        <f>BNW[[#This Row],[Berat Satuan
(Kg)]]*BNW[[#This Row],[Qty
(Set)]]</f>
        <v>7.0559999999999992</v>
      </c>
      <c r="K224" s="1">
        <f>SUMIF(DATA_MASTER[NO. PON],BNW[[#This Row],[No.PON]],DATA_MASTER[Qty
(Unit)])</f>
        <v>2</v>
      </c>
      <c r="L224" s="16">
        <f>BNW[[#This Row],[TOTAL UNIT]]*BNW[[#This Row],[Total Berat Baut
(Kg)]]</f>
        <v>14.111999999999998</v>
      </c>
      <c r="N224"/>
      <c r="O224" s="25"/>
    </row>
    <row r="225" spans="1:15" x14ac:dyDescent="0.3">
      <c r="A225" t="s">
        <v>422</v>
      </c>
      <c r="B225" t="str">
        <f>IFERROR(VLOOKUP(A225,'DATA MASTER'!A:O,2,0)," ")</f>
        <v>Panel Bailey</v>
      </c>
      <c r="C225" t="str">
        <f>IFERROR(VLOOKUP(A225,'DATA MASTER'!A:O,4,0)," ")</f>
        <v>30 DSR2-EW</v>
      </c>
      <c r="D225" t="s">
        <v>139</v>
      </c>
      <c r="E225" t="s">
        <v>106</v>
      </c>
      <c r="F225" s="1">
        <v>8.8000000000000007</v>
      </c>
      <c r="G225" s="1">
        <v>10</v>
      </c>
      <c r="H225">
        <v>0.29399999999999998</v>
      </c>
      <c r="I225" s="16">
        <f>BNW[[#This Row],[Berat Satuan
(Kg)]]*BNW[[#This Row],[Qty
(Set)]]</f>
        <v>2.94</v>
      </c>
      <c r="K225" s="1">
        <f>SUMIF(DATA_MASTER[NO. PON],BNW[[#This Row],[No.PON]],DATA_MASTER[Qty
(Unit)])</f>
        <v>2</v>
      </c>
      <c r="L225" s="16">
        <f>BNW[[#This Row],[TOTAL UNIT]]*BNW[[#This Row],[Total Berat Baut
(Kg)]]</f>
        <v>5.88</v>
      </c>
      <c r="N225"/>
      <c r="O225" s="25"/>
    </row>
    <row r="226" spans="1:15" x14ac:dyDescent="0.3">
      <c r="A226" t="s">
        <v>422</v>
      </c>
      <c r="B226" t="str">
        <f>IFERROR(VLOOKUP(A226,'DATA MASTER'!A:O,2,0)," ")</f>
        <v>Panel Bailey</v>
      </c>
      <c r="C226" t="str">
        <f>IFERROR(VLOOKUP(A226,'DATA MASTER'!A:O,4,0)," ")</f>
        <v>30 DSR2-EW</v>
      </c>
      <c r="D226" t="s">
        <v>140</v>
      </c>
      <c r="E226" t="s">
        <v>106</v>
      </c>
      <c r="F226" s="1">
        <v>8.8000000000000007</v>
      </c>
      <c r="G226" s="1">
        <v>160</v>
      </c>
      <c r="H226">
        <v>0.24399999999999999</v>
      </c>
      <c r="I226" s="16">
        <f>BNW[[#This Row],[Berat Satuan
(Kg)]]*BNW[[#This Row],[Qty
(Set)]]</f>
        <v>39.04</v>
      </c>
      <c r="K226" s="1">
        <f>SUMIF(DATA_MASTER[NO. PON],BNW[[#This Row],[No.PON]],DATA_MASTER[Qty
(Unit)])</f>
        <v>2</v>
      </c>
      <c r="L226" s="16">
        <f>BNW[[#This Row],[TOTAL UNIT]]*BNW[[#This Row],[Total Berat Baut
(Kg)]]</f>
        <v>78.08</v>
      </c>
      <c r="N226"/>
      <c r="O226" s="25"/>
    </row>
    <row r="227" spans="1:15" x14ac:dyDescent="0.3">
      <c r="A227" t="s">
        <v>422</v>
      </c>
      <c r="B227" t="str">
        <f>IFERROR(VLOOKUP(A227,'DATA MASTER'!A:O,2,0)," ")</f>
        <v>Panel Bailey</v>
      </c>
      <c r="C227" t="str">
        <f>IFERROR(VLOOKUP(A227,'DATA MASTER'!A:O,4,0)," ")</f>
        <v>30 DSR2-EW</v>
      </c>
      <c r="D227" t="s">
        <v>141</v>
      </c>
      <c r="E227" t="s">
        <v>106</v>
      </c>
      <c r="F227" s="1">
        <v>8.8000000000000007</v>
      </c>
      <c r="G227" s="1">
        <v>16</v>
      </c>
      <c r="H227">
        <v>0.14000000000000001</v>
      </c>
      <c r="I227" s="16">
        <f>BNW[[#This Row],[Berat Satuan
(Kg)]]*BNW[[#This Row],[Qty
(Set)]]</f>
        <v>2.2400000000000002</v>
      </c>
      <c r="K227" s="1">
        <f>SUMIF(DATA_MASTER[NO. PON],BNW[[#This Row],[No.PON]],DATA_MASTER[Qty
(Unit)])</f>
        <v>2</v>
      </c>
      <c r="L227" s="16">
        <f>BNW[[#This Row],[TOTAL UNIT]]*BNW[[#This Row],[Total Berat Baut
(Kg)]]</f>
        <v>4.4800000000000004</v>
      </c>
      <c r="N227"/>
      <c r="O227" s="25"/>
    </row>
    <row r="228" spans="1:15" x14ac:dyDescent="0.3">
      <c r="A228" t="s">
        <v>422</v>
      </c>
      <c r="B228" t="str">
        <f>IFERROR(VLOOKUP(A228,'DATA MASTER'!A:O,2,0)," ")</f>
        <v>Panel Bailey</v>
      </c>
      <c r="C228" t="str">
        <f>IFERROR(VLOOKUP(A228,'DATA MASTER'!A:O,4,0)," ")</f>
        <v>30 DSR2-EW</v>
      </c>
      <c r="D228" t="s">
        <v>142</v>
      </c>
      <c r="E228" t="s">
        <v>106</v>
      </c>
      <c r="F228" s="1">
        <v>8.8000000000000007</v>
      </c>
      <c r="G228" s="1">
        <v>80</v>
      </c>
      <c r="H228">
        <v>0.13600000000000001</v>
      </c>
      <c r="I228" s="16">
        <f>BNW[[#This Row],[Berat Satuan
(Kg)]]*BNW[[#This Row],[Qty
(Set)]]</f>
        <v>10.88</v>
      </c>
      <c r="K228" s="1">
        <f>SUMIF(DATA_MASTER[NO. PON],BNW[[#This Row],[No.PON]],DATA_MASTER[Qty
(Unit)])</f>
        <v>2</v>
      </c>
      <c r="L228" s="16">
        <f>BNW[[#This Row],[TOTAL UNIT]]*BNW[[#This Row],[Total Berat Baut
(Kg)]]</f>
        <v>21.76</v>
      </c>
      <c r="N228"/>
      <c r="O228" s="25"/>
    </row>
    <row r="229" spans="1:15" x14ac:dyDescent="0.3">
      <c r="A229" t="s">
        <v>424</v>
      </c>
      <c r="B229" t="str">
        <f>IFERROR(VLOOKUP(A229,'DATA MASTER'!A:O,2,0)," ")</f>
        <v>Panel Bailey</v>
      </c>
      <c r="C229" t="str">
        <f>IFERROR(VLOOKUP(A229,'DATA MASTER'!A:O,4,0)," ")</f>
        <v>45 TSR2 - EW</v>
      </c>
      <c r="D229" t="s">
        <v>133</v>
      </c>
      <c r="E229" t="s">
        <v>106</v>
      </c>
      <c r="F229" s="1">
        <v>8.8000000000000007</v>
      </c>
      <c r="G229" s="1">
        <v>1080</v>
      </c>
      <c r="H229">
        <v>0.53</v>
      </c>
      <c r="I229" s="16">
        <f>BNW[[#This Row],[Berat Satuan
(Kg)]]*BNW[[#This Row],[Qty
(Set)]]</f>
        <v>572.4</v>
      </c>
      <c r="K229" s="1">
        <f>SUMIF(DATA_MASTER[NO. PON],BNW[[#This Row],[No.PON]],DATA_MASTER[Qty
(Unit)])</f>
        <v>1</v>
      </c>
      <c r="L229" s="16">
        <f>BNW[[#This Row],[TOTAL UNIT]]*BNW[[#This Row],[Total Berat Baut
(Kg)]]</f>
        <v>572.4</v>
      </c>
      <c r="N229"/>
      <c r="O229" s="25"/>
    </row>
    <row r="230" spans="1:15" x14ac:dyDescent="0.3">
      <c r="A230" t="s">
        <v>424</v>
      </c>
      <c r="B230" t="str">
        <f>IFERROR(VLOOKUP(A230,'DATA MASTER'!A:O,2,0)," ")</f>
        <v>Panel Bailey</v>
      </c>
      <c r="C230" t="str">
        <f>IFERROR(VLOOKUP(A230,'DATA MASTER'!A:O,4,0)," ")</f>
        <v>45 TSR2 - EW</v>
      </c>
      <c r="D230" t="s">
        <v>134</v>
      </c>
      <c r="E230" t="s">
        <v>106</v>
      </c>
      <c r="F230" s="1">
        <v>8.8000000000000007</v>
      </c>
      <c r="G230" s="1">
        <v>210</v>
      </c>
      <c r="H230">
        <v>0.46</v>
      </c>
      <c r="I230" s="16">
        <f>BNW[[#This Row],[Berat Satuan
(Kg)]]*BNW[[#This Row],[Qty
(Set)]]</f>
        <v>96.600000000000009</v>
      </c>
      <c r="K230" s="1">
        <f>SUMIF(DATA_MASTER[NO. PON],BNW[[#This Row],[No.PON]],DATA_MASTER[Qty
(Unit)])</f>
        <v>1</v>
      </c>
      <c r="L230" s="16">
        <f>BNW[[#This Row],[TOTAL UNIT]]*BNW[[#This Row],[Total Berat Baut
(Kg)]]</f>
        <v>96.600000000000009</v>
      </c>
      <c r="N230"/>
      <c r="O230" s="25"/>
    </row>
    <row r="231" spans="1:15" x14ac:dyDescent="0.3">
      <c r="A231" t="s">
        <v>424</v>
      </c>
      <c r="B231" t="str">
        <f>IFERROR(VLOOKUP(A231,'DATA MASTER'!A:O,2,0)," ")</f>
        <v>Panel Bailey</v>
      </c>
      <c r="C231" t="str">
        <f>IFERROR(VLOOKUP(A231,'DATA MASTER'!A:O,4,0)," ")</f>
        <v>45 TSR2 - EW</v>
      </c>
      <c r="D231" t="s">
        <v>135</v>
      </c>
      <c r="E231" t="s">
        <v>106</v>
      </c>
      <c r="F231" s="1">
        <v>8.8000000000000007</v>
      </c>
      <c r="G231" s="1">
        <v>120</v>
      </c>
      <c r="H231">
        <v>0.43</v>
      </c>
      <c r="I231" s="16">
        <f>BNW[[#This Row],[Berat Satuan
(Kg)]]*BNW[[#This Row],[Qty
(Set)]]</f>
        <v>51.6</v>
      </c>
      <c r="K231" s="1">
        <f>SUMIF(DATA_MASTER[NO. PON],BNW[[#This Row],[No.PON]],DATA_MASTER[Qty
(Unit)])</f>
        <v>1</v>
      </c>
      <c r="L231" s="16">
        <f>BNW[[#This Row],[TOTAL UNIT]]*BNW[[#This Row],[Total Berat Baut
(Kg)]]</f>
        <v>51.6</v>
      </c>
      <c r="N231"/>
      <c r="O231" s="25"/>
    </row>
    <row r="232" spans="1:15" x14ac:dyDescent="0.3">
      <c r="A232" t="s">
        <v>424</v>
      </c>
      <c r="B232" t="str">
        <f>IFERROR(VLOOKUP(A232,'DATA MASTER'!A:O,2,0)," ")</f>
        <v>Panel Bailey</v>
      </c>
      <c r="C232" t="str">
        <f>IFERROR(VLOOKUP(A232,'DATA MASTER'!A:O,4,0)," ")</f>
        <v>45 TSR2 - EW</v>
      </c>
      <c r="D232" t="s">
        <v>136</v>
      </c>
      <c r="E232" t="s">
        <v>106</v>
      </c>
      <c r="F232" s="1">
        <v>8.8000000000000007</v>
      </c>
      <c r="G232" s="1">
        <v>104</v>
      </c>
      <c r="H232">
        <v>0.41</v>
      </c>
      <c r="I232" s="16">
        <f>BNW[[#This Row],[Berat Satuan
(Kg)]]*BNW[[#This Row],[Qty
(Set)]]</f>
        <v>42.64</v>
      </c>
      <c r="K232" s="1">
        <f>SUMIF(DATA_MASTER[NO. PON],BNW[[#This Row],[No.PON]],DATA_MASTER[Qty
(Unit)])</f>
        <v>1</v>
      </c>
      <c r="L232" s="16">
        <f>BNW[[#This Row],[TOTAL UNIT]]*BNW[[#This Row],[Total Berat Baut
(Kg)]]</f>
        <v>42.64</v>
      </c>
      <c r="N232"/>
      <c r="O232" s="25"/>
    </row>
    <row r="233" spans="1:15" x14ac:dyDescent="0.3">
      <c r="A233" t="s">
        <v>424</v>
      </c>
      <c r="B233" t="str">
        <f>IFERROR(VLOOKUP(A233,'DATA MASTER'!A:O,2,0)," ")</f>
        <v>Panel Bailey</v>
      </c>
      <c r="C233" t="str">
        <f>IFERROR(VLOOKUP(A233,'DATA MASTER'!A:O,4,0)," ")</f>
        <v>45 TSR2 - EW</v>
      </c>
      <c r="D233" t="s">
        <v>137</v>
      </c>
      <c r="E233" t="s">
        <v>106</v>
      </c>
      <c r="F233" s="1">
        <v>8.8000000000000007</v>
      </c>
      <c r="G233" s="1">
        <v>272</v>
      </c>
      <c r="H233">
        <v>0.47399999999999998</v>
      </c>
      <c r="I233" s="16">
        <f>BNW[[#This Row],[Berat Satuan
(Kg)]]*BNW[[#This Row],[Qty
(Set)]]</f>
        <v>128.928</v>
      </c>
      <c r="K233" s="1">
        <f>SUMIF(DATA_MASTER[NO. PON],BNW[[#This Row],[No.PON]],DATA_MASTER[Qty
(Unit)])</f>
        <v>1</v>
      </c>
      <c r="L233" s="16">
        <f>BNW[[#This Row],[TOTAL UNIT]]*BNW[[#This Row],[Total Berat Baut
(Kg)]]</f>
        <v>128.928</v>
      </c>
      <c r="N233"/>
      <c r="O233" s="25"/>
    </row>
    <row r="234" spans="1:15" x14ac:dyDescent="0.3">
      <c r="A234" t="s">
        <v>424</v>
      </c>
      <c r="B234" t="str">
        <f>IFERROR(VLOOKUP(A234,'DATA MASTER'!A:O,2,0)," ")</f>
        <v>Panel Bailey</v>
      </c>
      <c r="C234" t="str">
        <f>IFERROR(VLOOKUP(A234,'DATA MASTER'!A:O,4,0)," ")</f>
        <v>45 TSR2 - EW</v>
      </c>
      <c r="D234" t="s">
        <v>138</v>
      </c>
      <c r="E234" t="s">
        <v>106</v>
      </c>
      <c r="F234" s="1">
        <v>8.8000000000000007</v>
      </c>
      <c r="G234" s="1">
        <v>144</v>
      </c>
      <c r="H234">
        <v>0.29399999999999998</v>
      </c>
      <c r="I234" s="16">
        <f>BNW[[#This Row],[Berat Satuan
(Kg)]]*BNW[[#This Row],[Qty
(Set)]]</f>
        <v>42.335999999999999</v>
      </c>
      <c r="K234" s="1">
        <f>SUMIF(DATA_MASTER[NO. PON],BNW[[#This Row],[No.PON]],DATA_MASTER[Qty
(Unit)])</f>
        <v>1</v>
      </c>
      <c r="L234" s="16">
        <f>BNW[[#This Row],[TOTAL UNIT]]*BNW[[#This Row],[Total Berat Baut
(Kg)]]</f>
        <v>42.335999999999999</v>
      </c>
      <c r="N234"/>
      <c r="O234" s="25"/>
    </row>
    <row r="235" spans="1:15" x14ac:dyDescent="0.3">
      <c r="A235" t="s">
        <v>424</v>
      </c>
      <c r="B235" t="str">
        <f>IFERROR(VLOOKUP(A235,'DATA MASTER'!A:O,2,0)," ")</f>
        <v>Panel Bailey</v>
      </c>
      <c r="C235" t="str">
        <f>IFERROR(VLOOKUP(A235,'DATA MASTER'!A:O,4,0)," ")</f>
        <v>45 TSR2 - EW</v>
      </c>
      <c r="D235" t="s">
        <v>139</v>
      </c>
      <c r="E235" t="s">
        <v>106</v>
      </c>
      <c r="F235" s="1">
        <v>8.8000000000000007</v>
      </c>
      <c r="G235" s="1">
        <v>45</v>
      </c>
      <c r="H235">
        <v>0.29399999999999998</v>
      </c>
      <c r="I235" s="16">
        <f>BNW[[#This Row],[Berat Satuan
(Kg)]]*BNW[[#This Row],[Qty
(Set)]]</f>
        <v>13.229999999999999</v>
      </c>
      <c r="K235" s="1">
        <f>SUMIF(DATA_MASTER[NO. PON],BNW[[#This Row],[No.PON]],DATA_MASTER[Qty
(Unit)])</f>
        <v>1</v>
      </c>
      <c r="L235" s="16">
        <f>BNW[[#This Row],[TOTAL UNIT]]*BNW[[#This Row],[Total Berat Baut
(Kg)]]</f>
        <v>13.229999999999999</v>
      </c>
      <c r="N235"/>
      <c r="O235" s="25"/>
    </row>
    <row r="236" spans="1:15" x14ac:dyDescent="0.3">
      <c r="A236" t="s">
        <v>424</v>
      </c>
      <c r="B236" t="str">
        <f>IFERROR(VLOOKUP(A236,'DATA MASTER'!A:O,2,0)," ")</f>
        <v>Panel Bailey</v>
      </c>
      <c r="C236" t="str">
        <f>IFERROR(VLOOKUP(A236,'DATA MASTER'!A:O,4,0)," ")</f>
        <v>45 TSR2 - EW</v>
      </c>
      <c r="D236" t="s">
        <v>140</v>
      </c>
      <c r="E236" t="s">
        <v>106</v>
      </c>
      <c r="F236" s="1">
        <v>8.8000000000000007</v>
      </c>
      <c r="G236" s="1">
        <v>288</v>
      </c>
      <c r="H236">
        <v>0.24399999999999999</v>
      </c>
      <c r="I236" s="16">
        <f>BNW[[#This Row],[Berat Satuan
(Kg)]]*BNW[[#This Row],[Qty
(Set)]]</f>
        <v>70.271999999999991</v>
      </c>
      <c r="K236" s="1">
        <f>SUMIF(DATA_MASTER[NO. PON],BNW[[#This Row],[No.PON]],DATA_MASTER[Qty
(Unit)])</f>
        <v>1</v>
      </c>
      <c r="L236" s="16">
        <f>BNW[[#This Row],[TOTAL UNIT]]*BNW[[#This Row],[Total Berat Baut
(Kg)]]</f>
        <v>70.271999999999991</v>
      </c>
      <c r="N236"/>
      <c r="O236" s="25"/>
    </row>
    <row r="237" spans="1:15" x14ac:dyDescent="0.3">
      <c r="A237" t="s">
        <v>424</v>
      </c>
      <c r="B237" t="str">
        <f>IFERROR(VLOOKUP(A237,'DATA MASTER'!A:O,2,0)," ")</f>
        <v>Panel Bailey</v>
      </c>
      <c r="C237" t="str">
        <f>IFERROR(VLOOKUP(A237,'DATA MASTER'!A:O,4,0)," ")</f>
        <v>45 TSR2 - EW</v>
      </c>
      <c r="D237" t="s">
        <v>141</v>
      </c>
      <c r="E237" t="s">
        <v>106</v>
      </c>
      <c r="F237" s="1">
        <v>8.8000000000000007</v>
      </c>
      <c r="G237" s="1">
        <v>48</v>
      </c>
      <c r="H237">
        <v>0.14000000000000001</v>
      </c>
      <c r="I237" s="16">
        <f>BNW[[#This Row],[Berat Satuan
(Kg)]]*BNW[[#This Row],[Qty
(Set)]]</f>
        <v>6.7200000000000006</v>
      </c>
      <c r="K237" s="1">
        <f>SUMIF(DATA_MASTER[NO. PON],BNW[[#This Row],[No.PON]],DATA_MASTER[Qty
(Unit)])</f>
        <v>1</v>
      </c>
      <c r="L237" s="16">
        <f>BNW[[#This Row],[TOTAL UNIT]]*BNW[[#This Row],[Total Berat Baut
(Kg)]]</f>
        <v>6.7200000000000006</v>
      </c>
      <c r="N237"/>
      <c r="O237" s="25"/>
    </row>
    <row r="238" spans="1:15" x14ac:dyDescent="0.3">
      <c r="A238" t="s">
        <v>424</v>
      </c>
      <c r="B238" t="str">
        <f>IFERROR(VLOOKUP(A238,'DATA MASTER'!A:O,2,0)," ")</f>
        <v>Panel Bailey</v>
      </c>
      <c r="C238" t="str">
        <f>IFERROR(VLOOKUP(A238,'DATA MASTER'!A:O,4,0)," ")</f>
        <v>45 TSR2 - EW</v>
      </c>
      <c r="D238" t="s">
        <v>142</v>
      </c>
      <c r="E238" t="s">
        <v>106</v>
      </c>
      <c r="F238" s="1">
        <v>8.8000000000000007</v>
      </c>
      <c r="G238" s="1">
        <v>120</v>
      </c>
      <c r="H238">
        <v>0.13600000000000001</v>
      </c>
      <c r="I238" s="16">
        <f>BNW[[#This Row],[Berat Satuan
(Kg)]]*BNW[[#This Row],[Qty
(Set)]]</f>
        <v>16.32</v>
      </c>
      <c r="K238" s="1">
        <f>SUMIF(DATA_MASTER[NO. PON],BNW[[#This Row],[No.PON]],DATA_MASTER[Qty
(Unit)])</f>
        <v>1</v>
      </c>
      <c r="L238" s="16">
        <f>BNW[[#This Row],[TOTAL UNIT]]*BNW[[#This Row],[Total Berat Baut
(Kg)]]</f>
        <v>16.32</v>
      </c>
      <c r="N238"/>
      <c r="O238" s="25"/>
    </row>
    <row r="239" spans="1:15" x14ac:dyDescent="0.3">
      <c r="A239" t="s">
        <v>645</v>
      </c>
      <c r="B239" t="str">
        <f>IFERROR(VLOOKUP(A239,'DATA MASTER'!A:O,2,0)," ")</f>
        <v>RAMP Panel Bailey</v>
      </c>
      <c r="C239" t="str">
        <f>IFERROR(VLOOKUP(A239,'DATA MASTER'!A:O,4,0)," ")</f>
        <v>RAMP PANEL BAILEY</v>
      </c>
      <c r="D239" t="s">
        <v>82</v>
      </c>
      <c r="E239" t="s">
        <v>106</v>
      </c>
      <c r="F239" s="1">
        <v>8.8000000000000007</v>
      </c>
      <c r="G239" s="1">
        <v>66</v>
      </c>
      <c r="H239">
        <v>0.254</v>
      </c>
      <c r="I239" s="16">
        <f>BNW[[#This Row],[Berat Satuan
(Kg)]]*BNW[[#This Row],[Qty
(Set)]]</f>
        <v>16.763999999999999</v>
      </c>
      <c r="K239" s="1">
        <f>SUMIF(DATA_MASTER[NO. PON],BNW[[#This Row],[No.PON]],DATA_MASTER[Qty
(Unit)])</f>
        <v>6</v>
      </c>
      <c r="L239" s="16">
        <f>BNW[[#This Row],[TOTAL UNIT]]*BNW[[#This Row],[Total Berat Baut
(Kg)]]</f>
        <v>100.584</v>
      </c>
      <c r="N239"/>
      <c r="O239" s="25"/>
    </row>
    <row r="240" spans="1:15" x14ac:dyDescent="0.3">
      <c r="A240" t="s">
        <v>645</v>
      </c>
      <c r="B240" t="str">
        <f>IFERROR(VLOOKUP(A240,'DATA MASTER'!A:O,2,0)," ")</f>
        <v>RAMP Panel Bailey</v>
      </c>
      <c r="C240" t="str">
        <f>IFERROR(VLOOKUP(A240,'DATA MASTER'!A:O,4,0)," ")</f>
        <v>RAMP PANEL BAILEY</v>
      </c>
      <c r="D240" t="s">
        <v>200</v>
      </c>
      <c r="E240" t="s">
        <v>106</v>
      </c>
      <c r="F240" s="1">
        <v>8.8000000000000007</v>
      </c>
      <c r="G240" s="1">
        <v>50</v>
      </c>
      <c r="H240">
        <v>0.24400000000000002</v>
      </c>
      <c r="I240" s="16">
        <f>BNW[[#This Row],[Berat Satuan
(Kg)]]*BNW[[#This Row],[Qty
(Set)]]</f>
        <v>12.200000000000001</v>
      </c>
      <c r="K240" s="1">
        <f>SUMIF(DATA_MASTER[NO. PON],BNW[[#This Row],[No.PON]],DATA_MASTER[Qty
(Unit)])</f>
        <v>6</v>
      </c>
      <c r="L240" s="16">
        <f>BNW[[#This Row],[TOTAL UNIT]]*BNW[[#This Row],[Total Berat Baut
(Kg)]]</f>
        <v>73.2</v>
      </c>
      <c r="N240"/>
      <c r="O240" s="25"/>
    </row>
    <row r="241" spans="1:15" x14ac:dyDescent="0.3">
      <c r="A241" t="s">
        <v>442</v>
      </c>
      <c r="B241" t="str">
        <f>IFERROR(VLOOKUP(A241,'DATA MASTER'!A:O,2,0)," ")</f>
        <v>Panel Bailey</v>
      </c>
      <c r="C241" t="str">
        <f>IFERROR(VLOOKUP(A241,'DATA MASTER'!A:O,4,0)," ")</f>
        <v>30 DSR2-EW</v>
      </c>
      <c r="D241" t="s">
        <v>133</v>
      </c>
      <c r="E241" t="s">
        <v>106</v>
      </c>
      <c r="F241" s="1">
        <v>8.8000000000000007</v>
      </c>
      <c r="G241" s="1">
        <v>320</v>
      </c>
      <c r="H241">
        <v>0.53</v>
      </c>
      <c r="I241" s="16">
        <f>BNW[[#This Row],[Berat Satuan
(Kg)]]*BNW[[#This Row],[Qty
(Set)]]</f>
        <v>169.60000000000002</v>
      </c>
      <c r="K241" s="1">
        <f>SUMIF(DATA_MASTER[NO. PON],BNW[[#This Row],[No.PON]],DATA_MASTER[Qty
(Unit)])</f>
        <v>1</v>
      </c>
      <c r="L241" s="16">
        <f>BNW[[#This Row],[TOTAL UNIT]]*BNW[[#This Row],[Total Berat Baut
(Kg)]]</f>
        <v>169.60000000000002</v>
      </c>
      <c r="N241"/>
      <c r="O241" s="25"/>
    </row>
    <row r="242" spans="1:15" x14ac:dyDescent="0.3">
      <c r="A242" t="s">
        <v>442</v>
      </c>
      <c r="B242" t="str">
        <f>IFERROR(VLOOKUP(A242,'DATA MASTER'!A:O,2,0)," ")</f>
        <v>Panel Bailey</v>
      </c>
      <c r="C242" t="str">
        <f>IFERROR(VLOOKUP(A242,'DATA MASTER'!A:O,4,0)," ")</f>
        <v>30 DSR2-EW</v>
      </c>
      <c r="D242" t="s">
        <v>134</v>
      </c>
      <c r="E242" t="s">
        <v>106</v>
      </c>
      <c r="F242" s="1">
        <v>8.8000000000000007</v>
      </c>
      <c r="G242" s="1">
        <v>170</v>
      </c>
      <c r="H242">
        <v>0.46</v>
      </c>
      <c r="I242" s="16">
        <f>BNW[[#This Row],[Berat Satuan
(Kg)]]*BNW[[#This Row],[Qty
(Set)]]</f>
        <v>78.2</v>
      </c>
      <c r="K242" s="1">
        <f>SUMIF(DATA_MASTER[NO. PON],BNW[[#This Row],[No.PON]],DATA_MASTER[Qty
(Unit)])</f>
        <v>1</v>
      </c>
      <c r="L242" s="16">
        <f>BNW[[#This Row],[TOTAL UNIT]]*BNW[[#This Row],[Total Berat Baut
(Kg)]]</f>
        <v>78.2</v>
      </c>
      <c r="N242"/>
      <c r="O242" s="25"/>
    </row>
    <row r="243" spans="1:15" x14ac:dyDescent="0.3">
      <c r="A243" t="s">
        <v>442</v>
      </c>
      <c r="B243" t="str">
        <f>IFERROR(VLOOKUP(A243,'DATA MASTER'!A:O,2,0)," ")</f>
        <v>Panel Bailey</v>
      </c>
      <c r="C243" t="str">
        <f>IFERROR(VLOOKUP(A243,'DATA MASTER'!A:O,4,0)," ")</f>
        <v>30 DSR2-EW</v>
      </c>
      <c r="D243" t="s">
        <v>135</v>
      </c>
      <c r="E243" t="s">
        <v>106</v>
      </c>
      <c r="F243" s="1">
        <v>8.8000000000000007</v>
      </c>
      <c r="G243" s="1">
        <v>80</v>
      </c>
      <c r="H243">
        <v>0.43</v>
      </c>
      <c r="I243" s="16">
        <f>BNW[[#This Row],[Berat Satuan
(Kg)]]*BNW[[#This Row],[Qty
(Set)]]</f>
        <v>34.4</v>
      </c>
      <c r="K243" s="1">
        <f>SUMIF(DATA_MASTER[NO. PON],BNW[[#This Row],[No.PON]],DATA_MASTER[Qty
(Unit)])</f>
        <v>1</v>
      </c>
      <c r="L243" s="16">
        <f>BNW[[#This Row],[TOTAL UNIT]]*BNW[[#This Row],[Total Berat Baut
(Kg)]]</f>
        <v>34.4</v>
      </c>
      <c r="N243"/>
      <c r="O243" s="25"/>
    </row>
    <row r="244" spans="1:15" x14ac:dyDescent="0.3">
      <c r="A244" t="s">
        <v>442</v>
      </c>
      <c r="B244" t="str">
        <f>IFERROR(VLOOKUP(A244,'DATA MASTER'!A:O,2,0)," ")</f>
        <v>Panel Bailey</v>
      </c>
      <c r="C244" t="str">
        <f>IFERROR(VLOOKUP(A244,'DATA MASTER'!A:O,4,0)," ")</f>
        <v>30 DSR2-EW</v>
      </c>
      <c r="D244" t="s">
        <v>136</v>
      </c>
      <c r="E244" t="s">
        <v>106</v>
      </c>
      <c r="F244" s="1">
        <v>8.8000000000000007</v>
      </c>
      <c r="G244" s="1">
        <v>48</v>
      </c>
      <c r="H244">
        <v>0.41</v>
      </c>
      <c r="I244" s="16">
        <f>BNW[[#This Row],[Berat Satuan
(Kg)]]*BNW[[#This Row],[Qty
(Set)]]</f>
        <v>19.68</v>
      </c>
      <c r="K244" s="1">
        <f>SUMIF(DATA_MASTER[NO. PON],BNW[[#This Row],[No.PON]],DATA_MASTER[Qty
(Unit)])</f>
        <v>1</v>
      </c>
      <c r="L244" s="16">
        <f>BNW[[#This Row],[TOTAL UNIT]]*BNW[[#This Row],[Total Berat Baut
(Kg)]]</f>
        <v>19.68</v>
      </c>
      <c r="N244"/>
      <c r="O244" s="25"/>
    </row>
    <row r="245" spans="1:15" x14ac:dyDescent="0.3">
      <c r="A245" t="s">
        <v>442</v>
      </c>
      <c r="B245" t="str">
        <f>IFERROR(VLOOKUP(A245,'DATA MASTER'!A:O,2,0)," ")</f>
        <v>Panel Bailey</v>
      </c>
      <c r="C245" t="str">
        <f>IFERROR(VLOOKUP(A245,'DATA MASTER'!A:O,4,0)," ")</f>
        <v>30 DSR2-EW</v>
      </c>
      <c r="D245" t="s">
        <v>137</v>
      </c>
      <c r="E245" t="s">
        <v>106</v>
      </c>
      <c r="F245" s="1">
        <v>8.8000000000000007</v>
      </c>
      <c r="G245" s="1">
        <v>176</v>
      </c>
      <c r="H245">
        <v>0.47399999999999998</v>
      </c>
      <c r="I245" s="16">
        <f>BNW[[#This Row],[Berat Satuan
(Kg)]]*BNW[[#This Row],[Qty
(Set)]]</f>
        <v>83.423999999999992</v>
      </c>
      <c r="K245" s="1">
        <f>SUMIF(DATA_MASTER[NO. PON],BNW[[#This Row],[No.PON]],DATA_MASTER[Qty
(Unit)])</f>
        <v>1</v>
      </c>
      <c r="L245" s="16">
        <f>BNW[[#This Row],[TOTAL UNIT]]*BNW[[#This Row],[Total Berat Baut
(Kg)]]</f>
        <v>83.423999999999992</v>
      </c>
      <c r="N245"/>
      <c r="O245" s="25"/>
    </row>
    <row r="246" spans="1:15" x14ac:dyDescent="0.3">
      <c r="A246" t="s">
        <v>442</v>
      </c>
      <c r="B246" t="str">
        <f>IFERROR(VLOOKUP(A246,'DATA MASTER'!A:O,2,0)," ")</f>
        <v>Panel Bailey</v>
      </c>
      <c r="C246" t="str">
        <f>IFERROR(VLOOKUP(A246,'DATA MASTER'!A:O,4,0)," ")</f>
        <v>30 DSR2-EW</v>
      </c>
      <c r="D246" t="s">
        <v>138</v>
      </c>
      <c r="E246" t="s">
        <v>106</v>
      </c>
      <c r="F246" s="1">
        <v>8.8000000000000007</v>
      </c>
      <c r="G246" s="1">
        <v>24</v>
      </c>
      <c r="H246">
        <v>0.29399999999999998</v>
      </c>
      <c r="I246" s="16">
        <f>BNW[[#This Row],[Berat Satuan
(Kg)]]*BNW[[#This Row],[Qty
(Set)]]</f>
        <v>7.0559999999999992</v>
      </c>
      <c r="K246" s="1">
        <f>SUMIF(DATA_MASTER[NO. PON],BNW[[#This Row],[No.PON]],DATA_MASTER[Qty
(Unit)])</f>
        <v>1</v>
      </c>
      <c r="L246" s="16">
        <f>BNW[[#This Row],[TOTAL UNIT]]*BNW[[#This Row],[Total Berat Baut
(Kg)]]</f>
        <v>7.0559999999999992</v>
      </c>
      <c r="N246"/>
      <c r="O246" s="25"/>
    </row>
    <row r="247" spans="1:15" x14ac:dyDescent="0.3">
      <c r="A247" t="s">
        <v>442</v>
      </c>
      <c r="B247" t="str">
        <f>IFERROR(VLOOKUP(A247,'DATA MASTER'!A:O,2,0)," ")</f>
        <v>Panel Bailey</v>
      </c>
      <c r="C247" t="str">
        <f>IFERROR(VLOOKUP(A247,'DATA MASTER'!A:O,4,0)," ")</f>
        <v>30 DSR2-EW</v>
      </c>
      <c r="D247" t="s">
        <v>139</v>
      </c>
      <c r="E247" t="s">
        <v>106</v>
      </c>
      <c r="F247" s="1">
        <v>8.8000000000000007</v>
      </c>
      <c r="G247" s="1">
        <v>10</v>
      </c>
      <c r="H247">
        <v>0.29399999999999998</v>
      </c>
      <c r="I247" s="16">
        <f>BNW[[#This Row],[Berat Satuan
(Kg)]]*BNW[[#This Row],[Qty
(Set)]]</f>
        <v>2.94</v>
      </c>
      <c r="K247" s="1">
        <f>SUMIF(DATA_MASTER[NO. PON],BNW[[#This Row],[No.PON]],DATA_MASTER[Qty
(Unit)])</f>
        <v>1</v>
      </c>
      <c r="L247" s="16">
        <f>BNW[[#This Row],[TOTAL UNIT]]*BNW[[#This Row],[Total Berat Baut
(Kg)]]</f>
        <v>2.94</v>
      </c>
      <c r="N247"/>
      <c r="O247" s="25"/>
    </row>
    <row r="248" spans="1:15" x14ac:dyDescent="0.3">
      <c r="A248" t="s">
        <v>442</v>
      </c>
      <c r="B248" t="str">
        <f>IFERROR(VLOOKUP(A248,'DATA MASTER'!A:O,2,0)," ")</f>
        <v>Panel Bailey</v>
      </c>
      <c r="C248" t="str">
        <f>IFERROR(VLOOKUP(A248,'DATA MASTER'!A:O,4,0)," ")</f>
        <v>30 DSR2-EW</v>
      </c>
      <c r="D248" t="s">
        <v>140</v>
      </c>
      <c r="E248" t="s">
        <v>106</v>
      </c>
      <c r="F248" s="1">
        <v>8.8000000000000007</v>
      </c>
      <c r="G248" s="1">
        <v>160</v>
      </c>
      <c r="H248">
        <v>0.24399999999999999</v>
      </c>
      <c r="I248" s="16">
        <f>BNW[[#This Row],[Berat Satuan
(Kg)]]*BNW[[#This Row],[Qty
(Set)]]</f>
        <v>39.04</v>
      </c>
      <c r="K248" s="1">
        <f>SUMIF(DATA_MASTER[NO. PON],BNW[[#This Row],[No.PON]],DATA_MASTER[Qty
(Unit)])</f>
        <v>1</v>
      </c>
      <c r="L248" s="16">
        <f>BNW[[#This Row],[TOTAL UNIT]]*BNW[[#This Row],[Total Berat Baut
(Kg)]]</f>
        <v>39.04</v>
      </c>
      <c r="N248"/>
      <c r="O248" s="25"/>
    </row>
    <row r="249" spans="1:15" x14ac:dyDescent="0.3">
      <c r="A249" t="s">
        <v>442</v>
      </c>
      <c r="B249" t="str">
        <f>IFERROR(VLOOKUP(A249,'DATA MASTER'!A:O,2,0)," ")</f>
        <v>Panel Bailey</v>
      </c>
      <c r="C249" t="str">
        <f>IFERROR(VLOOKUP(A249,'DATA MASTER'!A:O,4,0)," ")</f>
        <v>30 DSR2-EW</v>
      </c>
      <c r="D249" t="s">
        <v>141</v>
      </c>
      <c r="E249" t="s">
        <v>106</v>
      </c>
      <c r="F249" s="1">
        <v>8.8000000000000007</v>
      </c>
      <c r="G249" s="1">
        <v>16</v>
      </c>
      <c r="H249">
        <v>0.14000000000000001</v>
      </c>
      <c r="I249" s="16">
        <f>BNW[[#This Row],[Berat Satuan
(Kg)]]*BNW[[#This Row],[Qty
(Set)]]</f>
        <v>2.2400000000000002</v>
      </c>
      <c r="K249" s="1">
        <f>SUMIF(DATA_MASTER[NO. PON],BNW[[#This Row],[No.PON]],DATA_MASTER[Qty
(Unit)])</f>
        <v>1</v>
      </c>
      <c r="L249" s="16">
        <f>BNW[[#This Row],[TOTAL UNIT]]*BNW[[#This Row],[Total Berat Baut
(Kg)]]</f>
        <v>2.2400000000000002</v>
      </c>
      <c r="N249"/>
      <c r="O249" s="25"/>
    </row>
    <row r="250" spans="1:15" x14ac:dyDescent="0.3">
      <c r="A250" t="s">
        <v>442</v>
      </c>
      <c r="B250" t="str">
        <f>IFERROR(VLOOKUP(A250,'DATA MASTER'!A:O,2,0)," ")</f>
        <v>Panel Bailey</v>
      </c>
      <c r="C250" t="str">
        <f>IFERROR(VLOOKUP(A250,'DATA MASTER'!A:O,4,0)," ")</f>
        <v>30 DSR2-EW</v>
      </c>
      <c r="D250" t="s">
        <v>142</v>
      </c>
      <c r="E250" t="s">
        <v>106</v>
      </c>
      <c r="F250" s="1">
        <v>8.8000000000000007</v>
      </c>
      <c r="G250" s="1">
        <v>80</v>
      </c>
      <c r="H250">
        <v>0.13600000000000001</v>
      </c>
      <c r="I250" s="16">
        <f>BNW[[#This Row],[Berat Satuan
(Kg)]]*BNW[[#This Row],[Qty
(Set)]]</f>
        <v>10.88</v>
      </c>
      <c r="K250" s="1">
        <f>SUMIF(DATA_MASTER[NO. PON],BNW[[#This Row],[No.PON]],DATA_MASTER[Qty
(Unit)])</f>
        <v>1</v>
      </c>
      <c r="L250" s="16">
        <f>BNW[[#This Row],[TOTAL UNIT]]*BNW[[#This Row],[Total Berat Baut
(Kg)]]</f>
        <v>10.88</v>
      </c>
      <c r="N250"/>
      <c r="O250" s="25"/>
    </row>
    <row r="251" spans="1:15" x14ac:dyDescent="0.3">
      <c r="A251" t="s">
        <v>443</v>
      </c>
      <c r="B251" t="str">
        <f>IFERROR(VLOOKUP(A251,'DATA MASTER'!A:O,2,0)," ")</f>
        <v>Panel Bailey</v>
      </c>
      <c r="C251" t="str">
        <f>IFERROR(VLOOKUP(A251,'DATA MASTER'!A:O,4,0)," ")</f>
        <v>21 SSR-EW</v>
      </c>
      <c r="D251" t="s">
        <v>133</v>
      </c>
      <c r="E251" t="s">
        <v>106</v>
      </c>
      <c r="F251" s="1" t="s">
        <v>296</v>
      </c>
      <c r="G251" s="1">
        <v>112</v>
      </c>
      <c r="H251">
        <v>0.79</v>
      </c>
      <c r="I251" s="16">
        <f>BNW[[#This Row],[Berat Satuan
(Kg)]]*BNW[[#This Row],[Qty
(Set)]]</f>
        <v>88.48</v>
      </c>
      <c r="K251" s="1">
        <f>SUMIF(DATA_MASTER[NO. PON],BNW[[#This Row],[No.PON]],DATA_MASTER[Qty
(Unit)])</f>
        <v>2</v>
      </c>
      <c r="L251" s="16">
        <f>BNW[[#This Row],[TOTAL UNIT]]*BNW[[#This Row],[Total Berat Baut
(Kg)]]</f>
        <v>176.96</v>
      </c>
      <c r="N251"/>
      <c r="O251" s="25"/>
    </row>
    <row r="252" spans="1:15" x14ac:dyDescent="0.3">
      <c r="A252" t="s">
        <v>443</v>
      </c>
      <c r="B252" t="str">
        <f>IFERROR(VLOOKUP(A252,'DATA MASTER'!A:O,2,0)," ")</f>
        <v>Panel Bailey</v>
      </c>
      <c r="C252" t="str">
        <f>IFERROR(VLOOKUP(A252,'DATA MASTER'!A:O,4,0)," ")</f>
        <v>21 SSR-EW</v>
      </c>
      <c r="D252" t="s">
        <v>134</v>
      </c>
      <c r="E252" t="s">
        <v>106</v>
      </c>
      <c r="F252" s="1">
        <v>8.8000000000000007</v>
      </c>
      <c r="G252" s="1">
        <v>7</v>
      </c>
      <c r="H252">
        <v>0.46</v>
      </c>
      <c r="I252" s="16">
        <f>BNW[[#This Row],[Berat Satuan
(Kg)]]*BNW[[#This Row],[Qty
(Set)]]</f>
        <v>3.22</v>
      </c>
      <c r="K252" s="1">
        <f>SUMIF(DATA_MASTER[NO. PON],BNW[[#This Row],[No.PON]],DATA_MASTER[Qty
(Unit)])</f>
        <v>2</v>
      </c>
      <c r="L252" s="16">
        <f>BNW[[#This Row],[TOTAL UNIT]]*BNW[[#This Row],[Total Berat Baut
(Kg)]]</f>
        <v>6.44</v>
      </c>
      <c r="N252"/>
      <c r="O252" s="25"/>
    </row>
    <row r="253" spans="1:15" x14ac:dyDescent="0.3">
      <c r="A253" t="s">
        <v>443</v>
      </c>
      <c r="B253" t="str">
        <f>IFERROR(VLOOKUP(A253,'DATA MASTER'!A:O,2,0)," ")</f>
        <v>Panel Bailey</v>
      </c>
      <c r="C253" t="str">
        <f>IFERROR(VLOOKUP(A253,'DATA MASTER'!A:O,4,0)," ")</f>
        <v>21 SSR-EW</v>
      </c>
      <c r="D253" t="s">
        <v>135</v>
      </c>
      <c r="E253" t="s">
        <v>106</v>
      </c>
      <c r="F253" s="1">
        <v>8.8000000000000007</v>
      </c>
      <c r="G253" s="1">
        <v>56</v>
      </c>
      <c r="H253">
        <v>0.43</v>
      </c>
      <c r="I253" s="16">
        <f>BNW[[#This Row],[Berat Satuan
(Kg)]]*BNW[[#This Row],[Qty
(Set)]]</f>
        <v>24.08</v>
      </c>
      <c r="K253" s="1">
        <f>SUMIF(DATA_MASTER[NO. PON],BNW[[#This Row],[No.PON]],DATA_MASTER[Qty
(Unit)])</f>
        <v>2</v>
      </c>
      <c r="L253" s="16">
        <f>BNW[[#This Row],[TOTAL UNIT]]*BNW[[#This Row],[Total Berat Baut
(Kg)]]</f>
        <v>48.16</v>
      </c>
      <c r="N253"/>
      <c r="O253" s="25"/>
    </row>
    <row r="254" spans="1:15" x14ac:dyDescent="0.3">
      <c r="A254" t="s">
        <v>443</v>
      </c>
      <c r="B254" t="str">
        <f>IFERROR(VLOOKUP(A254,'DATA MASTER'!A:O,2,0)," ")</f>
        <v>Panel Bailey</v>
      </c>
      <c r="C254" t="str">
        <f>IFERROR(VLOOKUP(A254,'DATA MASTER'!A:O,4,0)," ")</f>
        <v>21 SSR-EW</v>
      </c>
      <c r="D254" t="s">
        <v>136</v>
      </c>
      <c r="E254" t="s">
        <v>106</v>
      </c>
      <c r="F254" s="1">
        <v>8.8000000000000007</v>
      </c>
      <c r="G254" s="1">
        <v>36</v>
      </c>
      <c r="H254">
        <v>0.41</v>
      </c>
      <c r="I254" s="16">
        <f>BNW[[#This Row],[Berat Satuan
(Kg)]]*BNW[[#This Row],[Qty
(Set)]]</f>
        <v>14.76</v>
      </c>
      <c r="K254" s="1">
        <f>SUMIF(DATA_MASTER[NO. PON],BNW[[#This Row],[No.PON]],DATA_MASTER[Qty
(Unit)])</f>
        <v>2</v>
      </c>
      <c r="L254" s="16">
        <f>BNW[[#This Row],[TOTAL UNIT]]*BNW[[#This Row],[Total Berat Baut
(Kg)]]</f>
        <v>29.52</v>
      </c>
      <c r="N254"/>
      <c r="O254" s="25"/>
    </row>
    <row r="255" spans="1:15" x14ac:dyDescent="0.3">
      <c r="A255" t="s">
        <v>443</v>
      </c>
      <c r="B255" t="str">
        <f>IFERROR(VLOOKUP(A255,'DATA MASTER'!A:O,2,0)," ")</f>
        <v>Panel Bailey</v>
      </c>
      <c r="C255" t="str">
        <f>IFERROR(VLOOKUP(A255,'DATA MASTER'!A:O,4,0)," ")</f>
        <v>21 SSR-EW</v>
      </c>
      <c r="D255" t="s">
        <v>137</v>
      </c>
      <c r="E255" t="s">
        <v>106</v>
      </c>
      <c r="F255" s="1">
        <v>8.8000000000000007</v>
      </c>
      <c r="G255" s="1">
        <v>128</v>
      </c>
      <c r="H255">
        <v>0.47399999999999998</v>
      </c>
      <c r="I255" s="16">
        <f>BNW[[#This Row],[Berat Satuan
(Kg)]]*BNW[[#This Row],[Qty
(Set)]]</f>
        <v>60.671999999999997</v>
      </c>
      <c r="K255" s="1">
        <f>SUMIF(DATA_MASTER[NO. PON],BNW[[#This Row],[No.PON]],DATA_MASTER[Qty
(Unit)])</f>
        <v>2</v>
      </c>
      <c r="L255" s="16">
        <f>BNW[[#This Row],[TOTAL UNIT]]*BNW[[#This Row],[Total Berat Baut
(Kg)]]</f>
        <v>121.34399999999999</v>
      </c>
      <c r="N255"/>
      <c r="O255" s="25"/>
    </row>
    <row r="256" spans="1:15" x14ac:dyDescent="0.3">
      <c r="A256" t="s">
        <v>443</v>
      </c>
      <c r="B256" t="str">
        <f>IFERROR(VLOOKUP(A256,'DATA MASTER'!A:O,2,0)," ")</f>
        <v>Panel Bailey</v>
      </c>
      <c r="C256" t="str">
        <f>IFERROR(VLOOKUP(A256,'DATA MASTER'!A:O,4,0)," ")</f>
        <v>21 SSR-EW</v>
      </c>
      <c r="D256" t="s">
        <v>294</v>
      </c>
      <c r="E256" t="s">
        <v>106</v>
      </c>
      <c r="F256" s="1">
        <v>8.8000000000000007</v>
      </c>
      <c r="G256" s="1">
        <v>16</v>
      </c>
      <c r="H256">
        <v>0.35400000000000004</v>
      </c>
      <c r="I256" s="16">
        <f>BNW[[#This Row],[Berat Satuan
(Kg)]]*BNW[[#This Row],[Qty
(Set)]]</f>
        <v>5.6640000000000006</v>
      </c>
      <c r="K256" s="1">
        <f>SUMIF(DATA_MASTER[NO. PON],BNW[[#This Row],[No.PON]],DATA_MASTER[Qty
(Unit)])</f>
        <v>2</v>
      </c>
      <c r="L256" s="16">
        <f>BNW[[#This Row],[TOTAL UNIT]]*BNW[[#This Row],[Total Berat Baut
(Kg)]]</f>
        <v>11.328000000000001</v>
      </c>
      <c r="N256"/>
      <c r="O256" s="25"/>
    </row>
    <row r="257" spans="1:15" x14ac:dyDescent="0.3">
      <c r="A257" t="s">
        <v>443</v>
      </c>
      <c r="B257" t="str">
        <f>IFERROR(VLOOKUP(A257,'DATA MASTER'!A:O,2,0)," ")</f>
        <v>Panel Bailey</v>
      </c>
      <c r="C257" t="str">
        <f>IFERROR(VLOOKUP(A257,'DATA MASTER'!A:O,4,0)," ")</f>
        <v>21 SSR-EW</v>
      </c>
      <c r="D257" t="s">
        <v>295</v>
      </c>
      <c r="E257" t="s">
        <v>106</v>
      </c>
      <c r="F257" s="1">
        <v>8.8000000000000007</v>
      </c>
      <c r="G257" s="1">
        <v>16</v>
      </c>
      <c r="H257">
        <v>0.33400000000000002</v>
      </c>
      <c r="I257" s="16">
        <f>BNW[[#This Row],[Berat Satuan
(Kg)]]*BNW[[#This Row],[Qty
(Set)]]</f>
        <v>5.3440000000000003</v>
      </c>
      <c r="K257" s="1">
        <f>SUMIF(DATA_MASTER[NO. PON],BNW[[#This Row],[No.PON]],DATA_MASTER[Qty
(Unit)])</f>
        <v>2</v>
      </c>
      <c r="L257" s="16">
        <f>BNW[[#This Row],[TOTAL UNIT]]*BNW[[#This Row],[Total Berat Baut
(Kg)]]</f>
        <v>10.688000000000001</v>
      </c>
      <c r="N257"/>
      <c r="O257" s="25"/>
    </row>
    <row r="258" spans="1:15" x14ac:dyDescent="0.3">
      <c r="A258" t="s">
        <v>443</v>
      </c>
      <c r="B258" t="str">
        <f>IFERROR(VLOOKUP(A258,'DATA MASTER'!A:O,2,0)," ")</f>
        <v>Panel Bailey</v>
      </c>
      <c r="C258" t="str">
        <f>IFERROR(VLOOKUP(A258,'DATA MASTER'!A:O,4,0)," ")</f>
        <v>21 SSR-EW</v>
      </c>
      <c r="D258" t="s">
        <v>138</v>
      </c>
      <c r="E258" t="s">
        <v>106</v>
      </c>
      <c r="F258" s="1">
        <v>8.8000000000000007</v>
      </c>
      <c r="G258" s="1">
        <v>16</v>
      </c>
      <c r="H258">
        <v>0.29399999999999998</v>
      </c>
      <c r="I258" s="16">
        <f>BNW[[#This Row],[Berat Satuan
(Kg)]]*BNW[[#This Row],[Qty
(Set)]]</f>
        <v>4.7039999999999997</v>
      </c>
      <c r="K258" s="1">
        <f>SUMIF(DATA_MASTER[NO. PON],BNW[[#This Row],[No.PON]],DATA_MASTER[Qty
(Unit)])</f>
        <v>2</v>
      </c>
      <c r="L258" s="16">
        <f>BNW[[#This Row],[TOTAL UNIT]]*BNW[[#This Row],[Total Berat Baut
(Kg)]]</f>
        <v>9.4079999999999995</v>
      </c>
      <c r="N258"/>
      <c r="O258" s="25"/>
    </row>
    <row r="259" spans="1:15" x14ac:dyDescent="0.3">
      <c r="A259" t="s">
        <v>443</v>
      </c>
      <c r="B259" t="str">
        <f>IFERROR(VLOOKUP(A259,'DATA MASTER'!A:O,2,0)," ")</f>
        <v>Panel Bailey</v>
      </c>
      <c r="C259" t="str">
        <f>IFERROR(VLOOKUP(A259,'DATA MASTER'!A:O,4,0)," ")</f>
        <v>21 SSR-EW</v>
      </c>
      <c r="D259" t="s">
        <v>139</v>
      </c>
      <c r="E259" t="s">
        <v>106</v>
      </c>
      <c r="F259" s="1">
        <v>8.8000000000000007</v>
      </c>
      <c r="G259" s="1">
        <v>7</v>
      </c>
      <c r="H259">
        <v>0.29399999999999998</v>
      </c>
      <c r="I259" s="16">
        <f>BNW[[#This Row],[Berat Satuan
(Kg)]]*BNW[[#This Row],[Qty
(Set)]]</f>
        <v>2.0579999999999998</v>
      </c>
      <c r="K259" s="1">
        <f>SUMIF(DATA_MASTER[NO. PON],BNW[[#This Row],[No.PON]],DATA_MASTER[Qty
(Unit)])</f>
        <v>2</v>
      </c>
      <c r="L259" s="16">
        <f>BNW[[#This Row],[TOTAL UNIT]]*BNW[[#This Row],[Total Berat Baut
(Kg)]]</f>
        <v>4.1159999999999997</v>
      </c>
      <c r="N259"/>
      <c r="O259" s="25"/>
    </row>
    <row r="260" spans="1:15" x14ac:dyDescent="0.3">
      <c r="A260" t="s">
        <v>443</v>
      </c>
      <c r="B260" t="str">
        <f>IFERROR(VLOOKUP(A260,'DATA MASTER'!A:O,2,0)," ")</f>
        <v>Panel Bailey</v>
      </c>
      <c r="C260" t="str">
        <f>IFERROR(VLOOKUP(A260,'DATA MASTER'!A:O,4,0)," ")</f>
        <v>21 SSR-EW</v>
      </c>
      <c r="D260" t="s">
        <v>140</v>
      </c>
      <c r="E260" t="s">
        <v>106</v>
      </c>
      <c r="F260" s="1">
        <v>8.8000000000000007</v>
      </c>
      <c r="G260" s="1">
        <v>56</v>
      </c>
      <c r="H260">
        <v>0.24399999999999999</v>
      </c>
      <c r="I260" s="16">
        <f>BNW[[#This Row],[Berat Satuan
(Kg)]]*BNW[[#This Row],[Qty
(Set)]]</f>
        <v>13.664</v>
      </c>
      <c r="K260" s="1">
        <f>SUMIF(DATA_MASTER[NO. PON],BNW[[#This Row],[No.PON]],DATA_MASTER[Qty
(Unit)])</f>
        <v>2</v>
      </c>
      <c r="L260" s="16">
        <f>BNW[[#This Row],[TOTAL UNIT]]*BNW[[#This Row],[Total Berat Baut
(Kg)]]</f>
        <v>27.327999999999999</v>
      </c>
      <c r="N260"/>
      <c r="O260" s="25"/>
    </row>
    <row r="261" spans="1:15" x14ac:dyDescent="0.3">
      <c r="A261" t="s">
        <v>443</v>
      </c>
      <c r="B261" t="str">
        <f>IFERROR(VLOOKUP(A261,'DATA MASTER'!A:O,2,0)," ")</f>
        <v>Panel Bailey</v>
      </c>
      <c r="C261" t="str">
        <f>IFERROR(VLOOKUP(A261,'DATA MASTER'!A:O,4,0)," ")</f>
        <v>21 SSR-EW</v>
      </c>
      <c r="D261" t="s">
        <v>141</v>
      </c>
      <c r="E261" t="s">
        <v>106</v>
      </c>
      <c r="F261" s="1">
        <v>8.8000000000000007</v>
      </c>
      <c r="G261" s="1">
        <v>8</v>
      </c>
      <c r="H261">
        <v>0.13600000000000001</v>
      </c>
      <c r="I261" s="16">
        <f>BNW[[#This Row],[Berat Satuan
(Kg)]]*BNW[[#This Row],[Qty
(Set)]]</f>
        <v>1.0880000000000001</v>
      </c>
      <c r="K261" s="1">
        <f>SUMIF(DATA_MASTER[NO. PON],BNW[[#This Row],[No.PON]],DATA_MASTER[Qty
(Unit)])</f>
        <v>2</v>
      </c>
      <c r="L261" s="16">
        <f>BNW[[#This Row],[TOTAL UNIT]]*BNW[[#This Row],[Total Berat Baut
(Kg)]]</f>
        <v>2.1760000000000002</v>
      </c>
      <c r="N261"/>
      <c r="O261" s="25"/>
    </row>
    <row r="262" spans="1:15" x14ac:dyDescent="0.3">
      <c r="A262" t="s">
        <v>443</v>
      </c>
      <c r="B262" t="str">
        <f>IFERROR(VLOOKUP(A262,'DATA MASTER'!A:O,2,0)," ")</f>
        <v>Panel Bailey</v>
      </c>
      <c r="C262" t="str">
        <f>IFERROR(VLOOKUP(A262,'DATA MASTER'!A:O,4,0)," ")</f>
        <v>21 SSR-EW</v>
      </c>
      <c r="D262" t="s">
        <v>142</v>
      </c>
      <c r="E262" t="s">
        <v>106</v>
      </c>
      <c r="F262" s="1">
        <v>8.8000000000000007</v>
      </c>
      <c r="G262" s="1">
        <v>56</v>
      </c>
      <c r="H262">
        <v>0.13600000000000001</v>
      </c>
      <c r="I262" s="16">
        <f>BNW[[#This Row],[Berat Satuan
(Kg)]]*BNW[[#This Row],[Qty
(Set)]]</f>
        <v>7.6160000000000005</v>
      </c>
      <c r="K262" s="1">
        <f>SUMIF(DATA_MASTER[NO. PON],BNW[[#This Row],[No.PON]],DATA_MASTER[Qty
(Unit)])</f>
        <v>2</v>
      </c>
      <c r="L262" s="16">
        <f>BNW[[#This Row],[TOTAL UNIT]]*BNW[[#This Row],[Total Berat Baut
(Kg)]]</f>
        <v>15.232000000000001</v>
      </c>
      <c r="N262"/>
      <c r="O262" s="25"/>
    </row>
    <row r="263" spans="1:15" x14ac:dyDescent="0.3">
      <c r="A263" t="s">
        <v>445</v>
      </c>
      <c r="B263" t="str">
        <f>IFERROR(VLOOKUP(A263,'DATA MASTER'!A:O,2,0)," ")</f>
        <v>Panel Bailey</v>
      </c>
      <c r="C263" t="str">
        <f>IFERROR(VLOOKUP(A263,'DATA MASTER'!A:O,4,0)," ")</f>
        <v>24 SSR-EW</v>
      </c>
      <c r="D263" t="s">
        <v>133</v>
      </c>
      <c r="E263" t="s">
        <v>441</v>
      </c>
      <c r="F263" s="1" t="s">
        <v>296</v>
      </c>
      <c r="G263" s="1">
        <v>128</v>
      </c>
      <c r="H263">
        <v>0.79</v>
      </c>
      <c r="I263" s="16">
        <f>BNW[[#This Row],[Berat Satuan
(Kg)]]*BNW[[#This Row],[Qty
(Set)]]</f>
        <v>101.12</v>
      </c>
      <c r="K263" s="1">
        <f>SUMIF(DATA_MASTER[NO. PON],BNW[[#This Row],[No.PON]],DATA_MASTER[Qty
(Unit)])</f>
        <v>1</v>
      </c>
      <c r="L263" s="16">
        <f>BNW[[#This Row],[TOTAL UNIT]]*BNW[[#This Row],[Total Berat Baut
(Kg)]]</f>
        <v>101.12</v>
      </c>
      <c r="N263"/>
      <c r="O263" s="25"/>
    </row>
    <row r="264" spans="1:15" x14ac:dyDescent="0.3">
      <c r="A264" t="s">
        <v>445</v>
      </c>
      <c r="B264" t="str">
        <f>IFERROR(VLOOKUP(A264,'DATA MASTER'!A:O,2,0)," ")</f>
        <v>Panel Bailey</v>
      </c>
      <c r="C264" t="str">
        <f>IFERROR(VLOOKUP(A264,'DATA MASTER'!A:O,4,0)," ")</f>
        <v>24 SSR-EW</v>
      </c>
      <c r="D264" t="s">
        <v>134</v>
      </c>
      <c r="E264" t="s">
        <v>106</v>
      </c>
      <c r="F264" s="1">
        <v>8.8000000000000007</v>
      </c>
      <c r="G264" s="1">
        <v>8</v>
      </c>
      <c r="H264">
        <v>0.46</v>
      </c>
      <c r="I264" s="16">
        <f>BNW[[#This Row],[Berat Satuan
(Kg)]]*BNW[[#This Row],[Qty
(Set)]]</f>
        <v>3.68</v>
      </c>
      <c r="K264" s="1">
        <f>SUMIF(DATA_MASTER[NO. PON],BNW[[#This Row],[No.PON]],DATA_MASTER[Qty
(Unit)])</f>
        <v>1</v>
      </c>
      <c r="L264" s="16">
        <f>BNW[[#This Row],[TOTAL UNIT]]*BNW[[#This Row],[Total Berat Baut
(Kg)]]</f>
        <v>3.68</v>
      </c>
      <c r="N264"/>
      <c r="O264" s="25"/>
    </row>
    <row r="265" spans="1:15" x14ac:dyDescent="0.3">
      <c r="A265" t="s">
        <v>445</v>
      </c>
      <c r="B265" t="str">
        <f>IFERROR(VLOOKUP(A265,'DATA MASTER'!A:O,2,0)," ")</f>
        <v>Panel Bailey</v>
      </c>
      <c r="C265" t="str">
        <f>IFERROR(VLOOKUP(A265,'DATA MASTER'!A:O,4,0)," ")</f>
        <v>24 SSR-EW</v>
      </c>
      <c r="D265" t="s">
        <v>135</v>
      </c>
      <c r="E265" t="s">
        <v>106</v>
      </c>
      <c r="F265" s="1">
        <v>8.8000000000000007</v>
      </c>
      <c r="G265" s="1">
        <v>64</v>
      </c>
      <c r="H265">
        <v>0.43</v>
      </c>
      <c r="I265" s="16">
        <f>BNW[[#This Row],[Berat Satuan
(Kg)]]*BNW[[#This Row],[Qty
(Set)]]</f>
        <v>27.52</v>
      </c>
      <c r="K265" s="1">
        <f>SUMIF(DATA_MASTER[NO. PON],BNW[[#This Row],[No.PON]],DATA_MASTER[Qty
(Unit)])</f>
        <v>1</v>
      </c>
      <c r="L265" s="16">
        <f>BNW[[#This Row],[TOTAL UNIT]]*BNW[[#This Row],[Total Berat Baut
(Kg)]]</f>
        <v>27.52</v>
      </c>
      <c r="N265"/>
      <c r="O265" s="25"/>
    </row>
    <row r="266" spans="1:15" x14ac:dyDescent="0.3">
      <c r="A266" t="s">
        <v>445</v>
      </c>
      <c r="B266" t="str">
        <f>IFERROR(VLOOKUP(A266,'DATA MASTER'!A:O,2,0)," ")</f>
        <v>Panel Bailey</v>
      </c>
      <c r="C266" t="str">
        <f>IFERROR(VLOOKUP(A266,'DATA MASTER'!A:O,4,0)," ")</f>
        <v>24 SSR-EW</v>
      </c>
      <c r="D266" t="s">
        <v>136</v>
      </c>
      <c r="E266" t="s">
        <v>106</v>
      </c>
      <c r="F266" s="1">
        <v>8.8000000000000007</v>
      </c>
      <c r="G266" s="1">
        <v>40</v>
      </c>
      <c r="H266">
        <v>0.41</v>
      </c>
      <c r="I266" s="16">
        <f>BNW[[#This Row],[Berat Satuan
(Kg)]]*BNW[[#This Row],[Qty
(Set)]]</f>
        <v>16.399999999999999</v>
      </c>
      <c r="K266" s="1">
        <f>SUMIF(DATA_MASTER[NO. PON],BNW[[#This Row],[No.PON]],DATA_MASTER[Qty
(Unit)])</f>
        <v>1</v>
      </c>
      <c r="L266" s="16">
        <f>BNW[[#This Row],[TOTAL UNIT]]*BNW[[#This Row],[Total Berat Baut
(Kg)]]</f>
        <v>16.399999999999999</v>
      </c>
      <c r="N266"/>
      <c r="O266" s="25"/>
    </row>
    <row r="267" spans="1:15" x14ac:dyDescent="0.3">
      <c r="A267" t="s">
        <v>445</v>
      </c>
      <c r="B267" t="str">
        <f>IFERROR(VLOOKUP(A267,'DATA MASTER'!A:O,2,0)," ")</f>
        <v>Panel Bailey</v>
      </c>
      <c r="C267" t="str">
        <f>IFERROR(VLOOKUP(A267,'DATA MASTER'!A:O,4,0)," ")</f>
        <v>24 SSR-EW</v>
      </c>
      <c r="D267" t="s">
        <v>137</v>
      </c>
      <c r="E267" t="s">
        <v>106</v>
      </c>
      <c r="F267" s="1">
        <v>8.8000000000000007</v>
      </c>
      <c r="G267" s="1">
        <v>144</v>
      </c>
      <c r="H267">
        <v>0.47399999999999998</v>
      </c>
      <c r="I267" s="16">
        <f>BNW[[#This Row],[Berat Satuan
(Kg)]]*BNW[[#This Row],[Qty
(Set)]]</f>
        <v>68.256</v>
      </c>
      <c r="K267" s="1">
        <f>SUMIF(DATA_MASTER[NO. PON],BNW[[#This Row],[No.PON]],DATA_MASTER[Qty
(Unit)])</f>
        <v>1</v>
      </c>
      <c r="L267" s="16">
        <f>BNW[[#This Row],[TOTAL UNIT]]*BNW[[#This Row],[Total Berat Baut
(Kg)]]</f>
        <v>68.256</v>
      </c>
      <c r="N267"/>
      <c r="O267" s="25"/>
    </row>
    <row r="268" spans="1:15" x14ac:dyDescent="0.3">
      <c r="A268" t="s">
        <v>445</v>
      </c>
      <c r="B268" t="str">
        <f>IFERROR(VLOOKUP(A268,'DATA MASTER'!A:O,2,0)," ")</f>
        <v>Panel Bailey</v>
      </c>
      <c r="C268" t="str">
        <f>IFERROR(VLOOKUP(A268,'DATA MASTER'!A:O,4,0)," ")</f>
        <v>24 SSR-EW</v>
      </c>
      <c r="D268" t="s">
        <v>294</v>
      </c>
      <c r="E268" t="s">
        <v>106</v>
      </c>
      <c r="F268" s="1">
        <v>8.8000000000000007</v>
      </c>
      <c r="G268" s="1">
        <v>18</v>
      </c>
      <c r="H268">
        <v>0.35400000000000004</v>
      </c>
      <c r="I268" s="16">
        <f>BNW[[#This Row],[Berat Satuan
(Kg)]]*BNW[[#This Row],[Qty
(Set)]]</f>
        <v>6.3720000000000008</v>
      </c>
      <c r="K268" s="1">
        <f>SUMIF(DATA_MASTER[NO. PON],BNW[[#This Row],[No.PON]],DATA_MASTER[Qty
(Unit)])</f>
        <v>1</v>
      </c>
      <c r="L268" s="16">
        <f>BNW[[#This Row],[TOTAL UNIT]]*BNW[[#This Row],[Total Berat Baut
(Kg)]]</f>
        <v>6.3720000000000008</v>
      </c>
      <c r="N268"/>
      <c r="O268" s="25"/>
    </row>
    <row r="269" spans="1:15" x14ac:dyDescent="0.3">
      <c r="A269" t="s">
        <v>445</v>
      </c>
      <c r="B269" t="str">
        <f>IFERROR(VLOOKUP(A269,'DATA MASTER'!A:O,2,0)," ")</f>
        <v>Panel Bailey</v>
      </c>
      <c r="C269" t="str">
        <f>IFERROR(VLOOKUP(A269,'DATA MASTER'!A:O,4,0)," ")</f>
        <v>24 SSR-EW</v>
      </c>
      <c r="D269" t="s">
        <v>295</v>
      </c>
      <c r="E269" t="s">
        <v>106</v>
      </c>
      <c r="F269" s="1">
        <v>8.8000000000000007</v>
      </c>
      <c r="G269" s="1">
        <v>18</v>
      </c>
      <c r="H269">
        <v>0.33400000000000002</v>
      </c>
      <c r="I269" s="16">
        <f>BNW[[#This Row],[Berat Satuan
(Kg)]]*BNW[[#This Row],[Qty
(Set)]]</f>
        <v>6.0120000000000005</v>
      </c>
      <c r="K269" s="1">
        <f>SUMIF(DATA_MASTER[NO. PON],BNW[[#This Row],[No.PON]],DATA_MASTER[Qty
(Unit)])</f>
        <v>1</v>
      </c>
      <c r="L269" s="16">
        <f>BNW[[#This Row],[TOTAL UNIT]]*BNW[[#This Row],[Total Berat Baut
(Kg)]]</f>
        <v>6.0120000000000005</v>
      </c>
      <c r="N269"/>
      <c r="O269" s="25"/>
    </row>
    <row r="270" spans="1:15" x14ac:dyDescent="0.3">
      <c r="A270" t="s">
        <v>445</v>
      </c>
      <c r="B270" t="str">
        <f>IFERROR(VLOOKUP(A270,'DATA MASTER'!A:O,2,0)," ")</f>
        <v>Panel Bailey</v>
      </c>
      <c r="C270" t="str">
        <f>IFERROR(VLOOKUP(A270,'DATA MASTER'!A:O,4,0)," ")</f>
        <v>24 SSR-EW</v>
      </c>
      <c r="D270" t="s">
        <v>138</v>
      </c>
      <c r="E270" t="s">
        <v>106</v>
      </c>
      <c r="F270" s="1">
        <v>8.8000000000000007</v>
      </c>
      <c r="G270" s="1">
        <v>16</v>
      </c>
      <c r="H270">
        <v>0.29399999999999998</v>
      </c>
      <c r="I270" s="16">
        <f>BNW[[#This Row],[Berat Satuan
(Kg)]]*BNW[[#This Row],[Qty
(Set)]]</f>
        <v>4.7039999999999997</v>
      </c>
      <c r="K270" s="1">
        <f>SUMIF(DATA_MASTER[NO. PON],BNW[[#This Row],[No.PON]],DATA_MASTER[Qty
(Unit)])</f>
        <v>1</v>
      </c>
      <c r="L270" s="16">
        <f>BNW[[#This Row],[TOTAL UNIT]]*BNW[[#This Row],[Total Berat Baut
(Kg)]]</f>
        <v>4.7039999999999997</v>
      </c>
      <c r="N270"/>
      <c r="O270" s="25"/>
    </row>
    <row r="271" spans="1:15" x14ac:dyDescent="0.3">
      <c r="A271" t="s">
        <v>445</v>
      </c>
      <c r="B271" t="str">
        <f>IFERROR(VLOOKUP(A271,'DATA MASTER'!A:O,2,0)," ")</f>
        <v>Panel Bailey</v>
      </c>
      <c r="C271" t="str">
        <f>IFERROR(VLOOKUP(A271,'DATA MASTER'!A:O,4,0)," ")</f>
        <v>24 SSR-EW</v>
      </c>
      <c r="D271" t="s">
        <v>139</v>
      </c>
      <c r="E271" t="s">
        <v>106</v>
      </c>
      <c r="F271" s="1">
        <v>8.8000000000000007</v>
      </c>
      <c r="G271" s="1">
        <v>8</v>
      </c>
      <c r="H271">
        <v>0.29399999999999998</v>
      </c>
      <c r="I271" s="16">
        <f>BNW[[#This Row],[Berat Satuan
(Kg)]]*BNW[[#This Row],[Qty
(Set)]]</f>
        <v>2.3519999999999999</v>
      </c>
      <c r="K271" s="1">
        <f>SUMIF(DATA_MASTER[NO. PON],BNW[[#This Row],[No.PON]],DATA_MASTER[Qty
(Unit)])</f>
        <v>1</v>
      </c>
      <c r="L271" s="16">
        <f>BNW[[#This Row],[TOTAL UNIT]]*BNW[[#This Row],[Total Berat Baut
(Kg)]]</f>
        <v>2.3519999999999999</v>
      </c>
      <c r="N271"/>
      <c r="O271" s="25"/>
    </row>
    <row r="272" spans="1:15" x14ac:dyDescent="0.3">
      <c r="A272" t="s">
        <v>445</v>
      </c>
      <c r="B272" t="str">
        <f>IFERROR(VLOOKUP(A272,'DATA MASTER'!A:O,2,0)," ")</f>
        <v>Panel Bailey</v>
      </c>
      <c r="C272" t="str">
        <f>IFERROR(VLOOKUP(A272,'DATA MASTER'!A:O,4,0)," ")</f>
        <v>24 SSR-EW</v>
      </c>
      <c r="D272" t="s">
        <v>140</v>
      </c>
      <c r="E272" t="s">
        <v>106</v>
      </c>
      <c r="F272" s="1">
        <v>8.8000000000000007</v>
      </c>
      <c r="G272" s="1">
        <v>64</v>
      </c>
      <c r="H272">
        <v>0.24399999999999999</v>
      </c>
      <c r="I272" s="16">
        <f>BNW[[#This Row],[Berat Satuan
(Kg)]]*BNW[[#This Row],[Qty
(Set)]]</f>
        <v>15.616</v>
      </c>
      <c r="K272" s="1">
        <f>SUMIF(DATA_MASTER[NO. PON],BNW[[#This Row],[No.PON]],DATA_MASTER[Qty
(Unit)])</f>
        <v>1</v>
      </c>
      <c r="L272" s="16">
        <f>BNW[[#This Row],[TOTAL UNIT]]*BNW[[#This Row],[Total Berat Baut
(Kg)]]</f>
        <v>15.616</v>
      </c>
      <c r="N272"/>
      <c r="O272" s="25"/>
    </row>
    <row r="273" spans="1:15" x14ac:dyDescent="0.3">
      <c r="A273" t="s">
        <v>445</v>
      </c>
      <c r="B273" t="str">
        <f>IFERROR(VLOOKUP(A273,'DATA MASTER'!A:O,2,0)," ")</f>
        <v>Panel Bailey</v>
      </c>
      <c r="C273" t="str">
        <f>IFERROR(VLOOKUP(A273,'DATA MASTER'!A:O,4,0)," ")</f>
        <v>24 SSR-EW</v>
      </c>
      <c r="D273" t="s">
        <v>141</v>
      </c>
      <c r="E273" t="s">
        <v>106</v>
      </c>
      <c r="F273" s="1">
        <v>8.8000000000000007</v>
      </c>
      <c r="G273" s="1">
        <v>8</v>
      </c>
      <c r="H273">
        <v>0.13600000000000001</v>
      </c>
      <c r="I273" s="16">
        <f>BNW[[#This Row],[Berat Satuan
(Kg)]]*BNW[[#This Row],[Qty
(Set)]]</f>
        <v>1.0880000000000001</v>
      </c>
      <c r="K273" s="1">
        <f>SUMIF(DATA_MASTER[NO. PON],BNW[[#This Row],[No.PON]],DATA_MASTER[Qty
(Unit)])</f>
        <v>1</v>
      </c>
      <c r="L273" s="16">
        <f>BNW[[#This Row],[TOTAL UNIT]]*BNW[[#This Row],[Total Berat Baut
(Kg)]]</f>
        <v>1.0880000000000001</v>
      </c>
      <c r="N273"/>
      <c r="O273" s="25"/>
    </row>
    <row r="274" spans="1:15" x14ac:dyDescent="0.3">
      <c r="A274" t="s">
        <v>445</v>
      </c>
      <c r="B274" t="str">
        <f>IFERROR(VLOOKUP(A274,'DATA MASTER'!A:O,2,0)," ")</f>
        <v>Panel Bailey</v>
      </c>
      <c r="C274" t="str">
        <f>IFERROR(VLOOKUP(A274,'DATA MASTER'!A:O,4,0)," ")</f>
        <v>24 SSR-EW</v>
      </c>
      <c r="D274" t="s">
        <v>142</v>
      </c>
      <c r="E274" t="s">
        <v>106</v>
      </c>
      <c r="F274" s="1">
        <v>8.8000000000000007</v>
      </c>
      <c r="G274" s="1">
        <v>64</v>
      </c>
      <c r="H274">
        <v>0.13600000000000001</v>
      </c>
      <c r="I274" s="16">
        <f>BNW[[#This Row],[Berat Satuan
(Kg)]]*BNW[[#This Row],[Qty
(Set)]]</f>
        <v>8.7040000000000006</v>
      </c>
      <c r="K274" s="1">
        <f>SUMIF(DATA_MASTER[NO. PON],BNW[[#This Row],[No.PON]],DATA_MASTER[Qty
(Unit)])</f>
        <v>1</v>
      </c>
      <c r="L274" s="16">
        <f>BNW[[#This Row],[TOTAL UNIT]]*BNW[[#This Row],[Total Berat Baut
(Kg)]]</f>
        <v>8.7040000000000006</v>
      </c>
      <c r="N274"/>
      <c r="O274" s="25"/>
    </row>
    <row r="275" spans="1:15" x14ac:dyDescent="0.3">
      <c r="A275" t="s">
        <v>447</v>
      </c>
      <c r="B275" t="str">
        <f>IFERROR(VLOOKUP(A275,'DATA MASTER'!A:O,2,0)," ")</f>
        <v>Panel Bailey</v>
      </c>
      <c r="C275" t="str">
        <f>IFERROR(VLOOKUP(A275,'DATA MASTER'!A:O,4,0)," ")</f>
        <v>27 DSR2-EW</v>
      </c>
      <c r="D275" t="s">
        <v>133</v>
      </c>
      <c r="E275" t="s">
        <v>441</v>
      </c>
      <c r="F275" s="1" t="s">
        <v>296</v>
      </c>
      <c r="G275" s="1">
        <v>288</v>
      </c>
      <c r="H275">
        <v>0.53</v>
      </c>
      <c r="I275" s="16">
        <f>BNW[[#This Row],[Berat Satuan
(Kg)]]*BNW[[#This Row],[Qty
(Set)]]</f>
        <v>152.64000000000001</v>
      </c>
      <c r="K275" s="1">
        <f>SUMIF(DATA_MASTER[NO. PON],BNW[[#This Row],[No.PON]],DATA_MASTER[Qty
(Unit)])</f>
        <v>1</v>
      </c>
      <c r="L275" s="16">
        <f>BNW[[#This Row],[TOTAL UNIT]]*BNW[[#This Row],[Total Berat Baut
(Kg)]]</f>
        <v>152.64000000000001</v>
      </c>
      <c r="N275"/>
      <c r="O275" s="25"/>
    </row>
    <row r="276" spans="1:15" x14ac:dyDescent="0.3">
      <c r="A276" t="s">
        <v>447</v>
      </c>
      <c r="B276" t="str">
        <f>IFERROR(VLOOKUP(A276,'DATA MASTER'!A:O,2,0)," ")</f>
        <v>Panel Bailey</v>
      </c>
      <c r="C276" t="str">
        <f>IFERROR(VLOOKUP(A276,'DATA MASTER'!A:O,4,0)," ")</f>
        <v>27 DSR2-EW</v>
      </c>
      <c r="D276" t="s">
        <v>134</v>
      </c>
      <c r="E276" t="s">
        <v>106</v>
      </c>
      <c r="F276" s="1">
        <v>8.8000000000000007</v>
      </c>
      <c r="G276" s="1">
        <v>153</v>
      </c>
      <c r="H276">
        <v>0.46</v>
      </c>
      <c r="I276" s="16">
        <f>BNW[[#This Row],[Berat Satuan
(Kg)]]*BNW[[#This Row],[Qty
(Set)]]</f>
        <v>70.38000000000001</v>
      </c>
      <c r="K276" s="1">
        <f>SUMIF(DATA_MASTER[NO. PON],BNW[[#This Row],[No.PON]],DATA_MASTER[Qty
(Unit)])</f>
        <v>1</v>
      </c>
      <c r="L276" s="16">
        <f>BNW[[#This Row],[TOTAL UNIT]]*BNW[[#This Row],[Total Berat Baut
(Kg)]]</f>
        <v>70.38000000000001</v>
      </c>
      <c r="N276"/>
      <c r="O276" s="25"/>
    </row>
    <row r="277" spans="1:15" x14ac:dyDescent="0.3">
      <c r="A277" t="s">
        <v>447</v>
      </c>
      <c r="B277" t="str">
        <f>IFERROR(VLOOKUP(A277,'DATA MASTER'!A:O,2,0)," ")</f>
        <v>Panel Bailey</v>
      </c>
      <c r="C277" t="str">
        <f>IFERROR(VLOOKUP(A277,'DATA MASTER'!A:O,4,0)," ")</f>
        <v>27 DSR2-EW</v>
      </c>
      <c r="D277" t="s">
        <v>135</v>
      </c>
      <c r="E277" t="s">
        <v>106</v>
      </c>
      <c r="F277" s="1">
        <v>8.8000000000000007</v>
      </c>
      <c r="G277" s="1">
        <v>72</v>
      </c>
      <c r="H277">
        <v>0.43</v>
      </c>
      <c r="I277" s="16">
        <f>BNW[[#This Row],[Berat Satuan
(Kg)]]*BNW[[#This Row],[Qty
(Set)]]</f>
        <v>30.96</v>
      </c>
      <c r="K277" s="1">
        <f>SUMIF(DATA_MASTER[NO. PON],BNW[[#This Row],[No.PON]],DATA_MASTER[Qty
(Unit)])</f>
        <v>1</v>
      </c>
      <c r="L277" s="16">
        <f>BNW[[#This Row],[TOTAL UNIT]]*BNW[[#This Row],[Total Berat Baut
(Kg)]]</f>
        <v>30.96</v>
      </c>
      <c r="N277"/>
      <c r="O277" s="25"/>
    </row>
    <row r="278" spans="1:15" x14ac:dyDescent="0.3">
      <c r="A278" t="s">
        <v>447</v>
      </c>
      <c r="B278" t="str">
        <f>IFERROR(VLOOKUP(A278,'DATA MASTER'!A:O,2,0)," ")</f>
        <v>Panel Bailey</v>
      </c>
      <c r="C278" t="str">
        <f>IFERROR(VLOOKUP(A278,'DATA MASTER'!A:O,4,0)," ")</f>
        <v>27 DSR2-EW</v>
      </c>
      <c r="D278" t="s">
        <v>136</v>
      </c>
      <c r="E278" t="s">
        <v>106</v>
      </c>
      <c r="F278" s="1">
        <v>8.8000000000000007</v>
      </c>
      <c r="G278" s="1">
        <v>44</v>
      </c>
      <c r="H278">
        <v>0.41</v>
      </c>
      <c r="I278" s="16">
        <f>BNW[[#This Row],[Berat Satuan
(Kg)]]*BNW[[#This Row],[Qty
(Set)]]</f>
        <v>18.04</v>
      </c>
      <c r="K278" s="1">
        <f>SUMIF(DATA_MASTER[NO. PON],BNW[[#This Row],[No.PON]],DATA_MASTER[Qty
(Unit)])</f>
        <v>1</v>
      </c>
      <c r="L278" s="16">
        <f>BNW[[#This Row],[TOTAL UNIT]]*BNW[[#This Row],[Total Berat Baut
(Kg)]]</f>
        <v>18.04</v>
      </c>
      <c r="N278"/>
      <c r="O278" s="25"/>
    </row>
    <row r="279" spans="1:15" x14ac:dyDescent="0.3">
      <c r="A279" t="s">
        <v>447</v>
      </c>
      <c r="B279" t="str">
        <f>IFERROR(VLOOKUP(A279,'DATA MASTER'!A:O,2,0)," ")</f>
        <v>Panel Bailey</v>
      </c>
      <c r="C279" t="str">
        <f>IFERROR(VLOOKUP(A279,'DATA MASTER'!A:O,4,0)," ")</f>
        <v>27 DSR2-EW</v>
      </c>
      <c r="D279" t="s">
        <v>137</v>
      </c>
      <c r="E279" t="s">
        <v>106</v>
      </c>
      <c r="F279" s="1">
        <v>8.8000000000000007</v>
      </c>
      <c r="G279" s="1">
        <v>160</v>
      </c>
      <c r="H279">
        <v>0.47399999999999998</v>
      </c>
      <c r="I279" s="16">
        <f>BNW[[#This Row],[Berat Satuan
(Kg)]]*BNW[[#This Row],[Qty
(Set)]]</f>
        <v>75.84</v>
      </c>
      <c r="K279" s="1">
        <f>SUMIF(DATA_MASTER[NO. PON],BNW[[#This Row],[No.PON]],DATA_MASTER[Qty
(Unit)])</f>
        <v>1</v>
      </c>
      <c r="L279" s="16">
        <f>BNW[[#This Row],[TOTAL UNIT]]*BNW[[#This Row],[Total Berat Baut
(Kg)]]</f>
        <v>75.84</v>
      </c>
      <c r="N279"/>
      <c r="O279" s="25"/>
    </row>
    <row r="280" spans="1:15" x14ac:dyDescent="0.3">
      <c r="A280" t="s">
        <v>447</v>
      </c>
      <c r="B280" t="str">
        <f>IFERROR(VLOOKUP(A280,'DATA MASTER'!A:O,2,0)," ")</f>
        <v>Panel Bailey</v>
      </c>
      <c r="C280" t="str">
        <f>IFERROR(VLOOKUP(A280,'DATA MASTER'!A:O,4,0)," ")</f>
        <v>27 DSR2-EW</v>
      </c>
      <c r="D280" t="s">
        <v>138</v>
      </c>
      <c r="E280" t="s">
        <v>106</v>
      </c>
      <c r="F280" s="1">
        <v>8.8000000000000007</v>
      </c>
      <c r="G280" s="1">
        <v>24</v>
      </c>
      <c r="H280">
        <v>0.29399999999999998</v>
      </c>
      <c r="I280" s="16">
        <f>BNW[[#This Row],[Berat Satuan
(Kg)]]*BNW[[#This Row],[Qty
(Set)]]</f>
        <v>7.0559999999999992</v>
      </c>
      <c r="K280" s="1">
        <f>SUMIF(DATA_MASTER[NO. PON],BNW[[#This Row],[No.PON]],DATA_MASTER[Qty
(Unit)])</f>
        <v>1</v>
      </c>
      <c r="L280" s="16">
        <f>BNW[[#This Row],[TOTAL UNIT]]*BNW[[#This Row],[Total Berat Baut
(Kg)]]</f>
        <v>7.0559999999999992</v>
      </c>
      <c r="N280"/>
      <c r="O280" s="25"/>
    </row>
    <row r="281" spans="1:15" x14ac:dyDescent="0.3">
      <c r="A281" t="s">
        <v>447</v>
      </c>
      <c r="B281" t="str">
        <f>IFERROR(VLOOKUP(A281,'DATA MASTER'!A:O,2,0)," ")</f>
        <v>Panel Bailey</v>
      </c>
      <c r="C281" t="str">
        <f>IFERROR(VLOOKUP(A281,'DATA MASTER'!A:O,4,0)," ")</f>
        <v>27 DSR2-EW</v>
      </c>
      <c r="D281" t="s">
        <v>139</v>
      </c>
      <c r="E281" t="s">
        <v>106</v>
      </c>
      <c r="F281" s="1">
        <v>8.8000000000000007</v>
      </c>
      <c r="G281" s="1">
        <v>9</v>
      </c>
      <c r="H281">
        <v>0.29399999999999998</v>
      </c>
      <c r="I281" s="16">
        <f>BNW[[#This Row],[Berat Satuan
(Kg)]]*BNW[[#This Row],[Qty
(Set)]]</f>
        <v>2.6459999999999999</v>
      </c>
      <c r="K281" s="1">
        <f>SUMIF(DATA_MASTER[NO. PON],BNW[[#This Row],[No.PON]],DATA_MASTER[Qty
(Unit)])</f>
        <v>1</v>
      </c>
      <c r="L281" s="16">
        <f>BNW[[#This Row],[TOTAL UNIT]]*BNW[[#This Row],[Total Berat Baut
(Kg)]]</f>
        <v>2.6459999999999999</v>
      </c>
      <c r="N281"/>
      <c r="O281" s="25"/>
    </row>
    <row r="282" spans="1:15" x14ac:dyDescent="0.3">
      <c r="A282" t="s">
        <v>447</v>
      </c>
      <c r="B282" t="str">
        <f>IFERROR(VLOOKUP(A282,'DATA MASTER'!A:O,2,0)," ")</f>
        <v>Panel Bailey</v>
      </c>
      <c r="C282" t="str">
        <f>IFERROR(VLOOKUP(A282,'DATA MASTER'!A:O,4,0)," ")</f>
        <v>27 DSR2-EW</v>
      </c>
      <c r="D282" t="s">
        <v>140</v>
      </c>
      <c r="E282" t="s">
        <v>106</v>
      </c>
      <c r="F282" s="1">
        <v>8.8000000000000007</v>
      </c>
      <c r="G282" s="1">
        <v>144</v>
      </c>
      <c r="H282">
        <v>0.24399999999999999</v>
      </c>
      <c r="I282" s="16">
        <f>BNW[[#This Row],[Berat Satuan
(Kg)]]*BNW[[#This Row],[Qty
(Set)]]</f>
        <v>35.135999999999996</v>
      </c>
      <c r="K282" s="1">
        <f>SUMIF(DATA_MASTER[NO. PON],BNW[[#This Row],[No.PON]],DATA_MASTER[Qty
(Unit)])</f>
        <v>1</v>
      </c>
      <c r="L282" s="16">
        <f>BNW[[#This Row],[TOTAL UNIT]]*BNW[[#This Row],[Total Berat Baut
(Kg)]]</f>
        <v>35.135999999999996</v>
      </c>
      <c r="N282"/>
      <c r="O282" s="25"/>
    </row>
    <row r="283" spans="1:15" x14ac:dyDescent="0.3">
      <c r="A283" t="s">
        <v>447</v>
      </c>
      <c r="B283" t="str">
        <f>IFERROR(VLOOKUP(A283,'DATA MASTER'!A:O,2,0)," ")</f>
        <v>Panel Bailey</v>
      </c>
      <c r="C283" t="str">
        <f>IFERROR(VLOOKUP(A283,'DATA MASTER'!A:O,4,0)," ")</f>
        <v>27 DSR2-EW</v>
      </c>
      <c r="D283" t="s">
        <v>141</v>
      </c>
      <c r="E283" t="s">
        <v>106</v>
      </c>
      <c r="F283" s="1">
        <v>8.8000000000000007</v>
      </c>
      <c r="G283" s="1">
        <v>16</v>
      </c>
      <c r="H283">
        <v>0.14000000000000001</v>
      </c>
      <c r="I283" s="16">
        <f>BNW[[#This Row],[Berat Satuan
(Kg)]]*BNW[[#This Row],[Qty
(Set)]]</f>
        <v>2.2400000000000002</v>
      </c>
      <c r="K283" s="1">
        <f>SUMIF(DATA_MASTER[NO. PON],BNW[[#This Row],[No.PON]],DATA_MASTER[Qty
(Unit)])</f>
        <v>1</v>
      </c>
      <c r="L283" s="16">
        <f>BNW[[#This Row],[TOTAL UNIT]]*BNW[[#This Row],[Total Berat Baut
(Kg)]]</f>
        <v>2.2400000000000002</v>
      </c>
      <c r="N283"/>
      <c r="O283" s="25"/>
    </row>
    <row r="284" spans="1:15" x14ac:dyDescent="0.3">
      <c r="A284" t="s">
        <v>447</v>
      </c>
      <c r="B284" t="str">
        <f>IFERROR(VLOOKUP(A284,'DATA MASTER'!A:O,2,0)," ")</f>
        <v>Panel Bailey</v>
      </c>
      <c r="C284" t="str">
        <f>IFERROR(VLOOKUP(A284,'DATA MASTER'!A:O,4,0)," ")</f>
        <v>27 DSR2-EW</v>
      </c>
      <c r="D284" t="s">
        <v>142</v>
      </c>
      <c r="E284" t="s">
        <v>106</v>
      </c>
      <c r="F284" s="1">
        <v>8.8000000000000007</v>
      </c>
      <c r="G284" s="1">
        <v>72</v>
      </c>
      <c r="H284">
        <v>0.13600000000000001</v>
      </c>
      <c r="I284" s="16">
        <f>BNW[[#This Row],[Berat Satuan
(Kg)]]*BNW[[#This Row],[Qty
(Set)]]</f>
        <v>9.7920000000000016</v>
      </c>
      <c r="K284" s="1">
        <f>SUMIF(DATA_MASTER[NO. PON],BNW[[#This Row],[No.PON]],DATA_MASTER[Qty
(Unit)])</f>
        <v>1</v>
      </c>
      <c r="L284" s="16">
        <f>BNW[[#This Row],[TOTAL UNIT]]*BNW[[#This Row],[Total Berat Baut
(Kg)]]</f>
        <v>9.7920000000000016</v>
      </c>
      <c r="N284"/>
      <c r="O284" s="25"/>
    </row>
    <row r="285" spans="1:15" x14ac:dyDescent="0.3">
      <c r="A285" t="s">
        <v>863</v>
      </c>
      <c r="B285" t="str">
        <f>IFERROR(VLOOKUP(A285,'DATA MASTER'!A:O,2,0)," ")</f>
        <v>Panel Bailey</v>
      </c>
      <c r="C285" t="str">
        <f>IFERROR(VLOOKUP(A285,'DATA MASTER'!A:O,4,0)," ")</f>
        <v>39 DSR2H**-EW</v>
      </c>
      <c r="D285" t="s">
        <v>132</v>
      </c>
      <c r="E285" t="s">
        <v>106</v>
      </c>
      <c r="F285" s="1">
        <v>8.8000000000000007</v>
      </c>
      <c r="G285" s="1">
        <v>33</v>
      </c>
      <c r="H285">
        <v>0.67</v>
      </c>
      <c r="I285" s="16">
        <f>BNW[[#This Row],[Berat Satuan
(Kg)]]*BNW[[#This Row],[Qty
(Set)]]</f>
        <v>22.110000000000003</v>
      </c>
      <c r="K285" s="1">
        <f>SUMIF(DATA_MASTER[NO. PON],BNW[[#This Row],[No.PON]],DATA_MASTER[Qty
(Unit)])</f>
        <v>1</v>
      </c>
      <c r="L285" s="16">
        <f>BNW[[#This Row],[TOTAL UNIT]]*BNW[[#This Row],[Total Berat Baut
(Kg)]]</f>
        <v>22.110000000000003</v>
      </c>
      <c r="N285"/>
      <c r="O285" s="25"/>
    </row>
    <row r="286" spans="1:15" x14ac:dyDescent="0.3">
      <c r="A286" t="s">
        <v>863</v>
      </c>
      <c r="B286" t="str">
        <f>IFERROR(VLOOKUP(A286,'DATA MASTER'!A:O,2,0)," ")</f>
        <v>Panel Bailey</v>
      </c>
      <c r="C286" t="str">
        <f>IFERROR(VLOOKUP(A286,'DATA MASTER'!A:O,4,0)," ")</f>
        <v>39 DSR2H**-EW</v>
      </c>
      <c r="D286" t="s">
        <v>133</v>
      </c>
      <c r="E286" t="s">
        <v>106</v>
      </c>
      <c r="F286" s="1" t="s">
        <v>296</v>
      </c>
      <c r="G286" s="1">
        <v>429</v>
      </c>
      <c r="H286">
        <v>0.79</v>
      </c>
      <c r="I286" s="16">
        <f>BNW[[#This Row],[Berat Satuan
(Kg)]]*BNW[[#This Row],[Qty
(Set)]]</f>
        <v>338.91</v>
      </c>
      <c r="K286" s="1">
        <f>SUMIF(DATA_MASTER[NO. PON],BNW[[#This Row],[No.PON]],DATA_MASTER[Qty
(Unit)])</f>
        <v>1</v>
      </c>
      <c r="L286" s="16">
        <f>BNW[[#This Row],[TOTAL UNIT]]*BNW[[#This Row],[Total Berat Baut
(Kg)]]</f>
        <v>338.91</v>
      </c>
      <c r="N286"/>
      <c r="O286" s="25"/>
    </row>
    <row r="287" spans="1:15" x14ac:dyDescent="0.3">
      <c r="A287" t="s">
        <v>863</v>
      </c>
      <c r="B287" t="str">
        <f>IFERROR(VLOOKUP(A287,'DATA MASTER'!A:O,2,0)," ")</f>
        <v>Panel Bailey</v>
      </c>
      <c r="C287" t="str">
        <f>IFERROR(VLOOKUP(A287,'DATA MASTER'!A:O,4,0)," ")</f>
        <v>39 DSR2H**-EW</v>
      </c>
      <c r="D287" t="s">
        <v>134</v>
      </c>
      <c r="E287" t="s">
        <v>106</v>
      </c>
      <c r="F287" s="1">
        <v>8.8000000000000007</v>
      </c>
      <c r="G287" s="1">
        <v>228</v>
      </c>
      <c r="H287">
        <v>0.46</v>
      </c>
      <c r="I287" s="16">
        <f>BNW[[#This Row],[Berat Satuan
(Kg)]]*BNW[[#This Row],[Qty
(Set)]]</f>
        <v>104.88000000000001</v>
      </c>
      <c r="K287" s="1">
        <f>SUMIF(DATA_MASTER[NO. PON],BNW[[#This Row],[No.PON]],DATA_MASTER[Qty
(Unit)])</f>
        <v>1</v>
      </c>
      <c r="L287" s="16">
        <f>BNW[[#This Row],[TOTAL UNIT]]*BNW[[#This Row],[Total Berat Baut
(Kg)]]</f>
        <v>104.88000000000001</v>
      </c>
      <c r="N287"/>
      <c r="O287" s="25"/>
    </row>
    <row r="288" spans="1:15" x14ac:dyDescent="0.3">
      <c r="A288" t="s">
        <v>863</v>
      </c>
      <c r="B288" t="str">
        <f>IFERROR(VLOOKUP(A288,'DATA MASTER'!A:O,2,0)," ")</f>
        <v>Panel Bailey</v>
      </c>
      <c r="C288" t="str">
        <f>IFERROR(VLOOKUP(A288,'DATA MASTER'!A:O,4,0)," ")</f>
        <v>39 DSR2H**-EW</v>
      </c>
      <c r="D288" t="s">
        <v>135</v>
      </c>
      <c r="E288" t="s">
        <v>106</v>
      </c>
      <c r="F288" s="1">
        <v>8.8000000000000007</v>
      </c>
      <c r="G288" s="1">
        <v>54</v>
      </c>
      <c r="H288">
        <v>0.43</v>
      </c>
      <c r="I288" s="16">
        <f>BNW[[#This Row],[Berat Satuan
(Kg)]]*BNW[[#This Row],[Qty
(Set)]]</f>
        <v>23.22</v>
      </c>
      <c r="K288" s="1">
        <f>SUMIF(DATA_MASTER[NO. PON],BNW[[#This Row],[No.PON]],DATA_MASTER[Qty
(Unit)])</f>
        <v>1</v>
      </c>
      <c r="L288" s="16">
        <f>BNW[[#This Row],[TOTAL UNIT]]*BNW[[#This Row],[Total Berat Baut
(Kg)]]</f>
        <v>23.22</v>
      </c>
      <c r="N288"/>
      <c r="O288" s="25"/>
    </row>
    <row r="289" spans="1:15" x14ac:dyDescent="0.3">
      <c r="A289" t="s">
        <v>863</v>
      </c>
      <c r="B289" t="str">
        <f>IFERROR(VLOOKUP(A289,'DATA MASTER'!A:O,2,0)," ")</f>
        <v>Panel Bailey</v>
      </c>
      <c r="C289" t="str">
        <f>IFERROR(VLOOKUP(A289,'DATA MASTER'!A:O,4,0)," ")</f>
        <v>39 DSR2H**-EW</v>
      </c>
      <c r="D289" t="s">
        <v>136</v>
      </c>
      <c r="E289" t="s">
        <v>106</v>
      </c>
      <c r="F289" s="1">
        <v>8.8000000000000007</v>
      </c>
      <c r="G289" s="1">
        <v>83</v>
      </c>
      <c r="H289">
        <v>0.41</v>
      </c>
      <c r="I289" s="16">
        <f>BNW[[#This Row],[Berat Satuan
(Kg)]]*BNW[[#This Row],[Qty
(Set)]]</f>
        <v>34.03</v>
      </c>
      <c r="K289" s="1">
        <f>SUMIF(DATA_MASTER[NO. PON],BNW[[#This Row],[No.PON]],DATA_MASTER[Qty
(Unit)])</f>
        <v>1</v>
      </c>
      <c r="L289" s="16">
        <f>BNW[[#This Row],[TOTAL UNIT]]*BNW[[#This Row],[Total Berat Baut
(Kg)]]</f>
        <v>34.03</v>
      </c>
      <c r="N289"/>
      <c r="O289" s="25"/>
    </row>
    <row r="290" spans="1:15" x14ac:dyDescent="0.3">
      <c r="A290" t="s">
        <v>863</v>
      </c>
      <c r="B290" t="str">
        <f>IFERROR(VLOOKUP(A290,'DATA MASTER'!A:O,2,0)," ")</f>
        <v>Panel Bailey</v>
      </c>
      <c r="C290" t="str">
        <f>IFERROR(VLOOKUP(A290,'DATA MASTER'!A:O,4,0)," ")</f>
        <v>39 DSR2H**-EW</v>
      </c>
      <c r="D290" t="s">
        <v>137</v>
      </c>
      <c r="E290" t="s">
        <v>106</v>
      </c>
      <c r="F290" s="1">
        <v>8.8000000000000007</v>
      </c>
      <c r="G290" s="1">
        <v>264</v>
      </c>
      <c r="H290">
        <v>0.47399999999999998</v>
      </c>
      <c r="I290" s="16">
        <f>BNW[[#This Row],[Berat Satuan
(Kg)]]*BNW[[#This Row],[Qty
(Set)]]</f>
        <v>125.136</v>
      </c>
      <c r="K290" s="1">
        <f>SUMIF(DATA_MASTER[NO. PON],BNW[[#This Row],[No.PON]],DATA_MASTER[Qty
(Unit)])</f>
        <v>1</v>
      </c>
      <c r="L290" s="16">
        <f>BNW[[#This Row],[TOTAL UNIT]]*BNW[[#This Row],[Total Berat Baut
(Kg)]]</f>
        <v>125.136</v>
      </c>
      <c r="N290"/>
      <c r="O290" s="25"/>
    </row>
    <row r="291" spans="1:15" x14ac:dyDescent="0.3">
      <c r="A291" t="s">
        <v>863</v>
      </c>
      <c r="B291" t="str">
        <f>IFERROR(VLOOKUP(A291,'DATA MASTER'!A:O,2,0)," ")</f>
        <v>Panel Bailey</v>
      </c>
      <c r="C291" t="str">
        <f>IFERROR(VLOOKUP(A291,'DATA MASTER'!A:O,4,0)," ")</f>
        <v>39 DSR2H**-EW</v>
      </c>
      <c r="D291" t="s">
        <v>138</v>
      </c>
      <c r="E291" t="s">
        <v>106</v>
      </c>
      <c r="F291" s="1">
        <v>8.8000000000000007</v>
      </c>
      <c r="G291" s="1">
        <v>25</v>
      </c>
      <c r="H291">
        <v>0.29399999999999998</v>
      </c>
      <c r="I291" s="16">
        <f>BNW[[#This Row],[Berat Satuan
(Kg)]]*BNW[[#This Row],[Qty
(Set)]]</f>
        <v>7.35</v>
      </c>
      <c r="K291" s="1">
        <f>SUMIF(DATA_MASTER[NO. PON],BNW[[#This Row],[No.PON]],DATA_MASTER[Qty
(Unit)])</f>
        <v>1</v>
      </c>
      <c r="L291" s="16">
        <f>BNW[[#This Row],[TOTAL UNIT]]*BNW[[#This Row],[Total Berat Baut
(Kg)]]</f>
        <v>7.35</v>
      </c>
      <c r="N291"/>
      <c r="O291" s="25"/>
    </row>
    <row r="292" spans="1:15" x14ac:dyDescent="0.3">
      <c r="A292" t="s">
        <v>863</v>
      </c>
      <c r="B292" t="str">
        <f>IFERROR(VLOOKUP(A292,'DATA MASTER'!A:O,2,0)," ")</f>
        <v>Panel Bailey</v>
      </c>
      <c r="C292" t="str">
        <f>IFERROR(VLOOKUP(A292,'DATA MASTER'!A:O,4,0)," ")</f>
        <v>39 DSR2H**-EW</v>
      </c>
      <c r="D292" t="s">
        <v>139</v>
      </c>
      <c r="E292" t="s">
        <v>106</v>
      </c>
      <c r="F292" s="1">
        <v>8.8000000000000007</v>
      </c>
      <c r="G292" s="1">
        <v>88</v>
      </c>
      <c r="H292">
        <v>0.254</v>
      </c>
      <c r="I292" s="16">
        <f>BNW[[#This Row],[Berat Satuan
(Kg)]]*BNW[[#This Row],[Qty
(Set)]]</f>
        <v>22.352</v>
      </c>
      <c r="K292" s="1">
        <f>SUMIF(DATA_MASTER[NO. PON],BNW[[#This Row],[No.PON]],DATA_MASTER[Qty
(Unit)])</f>
        <v>1</v>
      </c>
      <c r="L292" s="16">
        <f>BNW[[#This Row],[TOTAL UNIT]]*BNW[[#This Row],[Total Berat Baut
(Kg)]]</f>
        <v>22.352</v>
      </c>
      <c r="N292"/>
      <c r="O292" s="25"/>
    </row>
    <row r="293" spans="1:15" x14ac:dyDescent="0.3">
      <c r="A293" t="s">
        <v>863</v>
      </c>
      <c r="B293" t="str">
        <f>IFERROR(VLOOKUP(A293,'DATA MASTER'!A:O,2,0)," ")</f>
        <v>Panel Bailey</v>
      </c>
      <c r="C293" t="str">
        <f>IFERROR(VLOOKUP(A293,'DATA MASTER'!A:O,4,0)," ")</f>
        <v>39 DSR2H**-EW</v>
      </c>
      <c r="D293" t="s">
        <v>140</v>
      </c>
      <c r="E293" t="s">
        <v>106</v>
      </c>
      <c r="F293" s="1">
        <v>8.8000000000000007</v>
      </c>
      <c r="G293" s="1">
        <v>54</v>
      </c>
      <c r="H293">
        <v>0.24399999999999999</v>
      </c>
      <c r="I293" s="16">
        <f>BNW[[#This Row],[Berat Satuan
(Kg)]]*BNW[[#This Row],[Qty
(Set)]]</f>
        <v>13.176</v>
      </c>
      <c r="K293" s="1">
        <f>SUMIF(DATA_MASTER[NO. PON],BNW[[#This Row],[No.PON]],DATA_MASTER[Qty
(Unit)])</f>
        <v>1</v>
      </c>
      <c r="L293" s="16">
        <f>BNW[[#This Row],[TOTAL UNIT]]*BNW[[#This Row],[Total Berat Baut
(Kg)]]</f>
        <v>13.176</v>
      </c>
      <c r="N293"/>
      <c r="O293" s="25"/>
    </row>
    <row r="294" spans="1:15" x14ac:dyDescent="0.3">
      <c r="A294" t="s">
        <v>863</v>
      </c>
      <c r="B294" t="str">
        <f>IFERROR(VLOOKUP(A294,'DATA MASTER'!A:O,2,0)," ")</f>
        <v>Panel Bailey</v>
      </c>
      <c r="C294" t="str">
        <f>IFERROR(VLOOKUP(A294,'DATA MASTER'!A:O,4,0)," ")</f>
        <v>39 DSR2H**-EW</v>
      </c>
      <c r="D294" t="s">
        <v>141</v>
      </c>
      <c r="E294" t="s">
        <v>106</v>
      </c>
      <c r="F294" s="1">
        <v>8.8000000000000007</v>
      </c>
      <c r="G294" s="1">
        <v>17</v>
      </c>
      <c r="H294">
        <v>0.13600000000000001</v>
      </c>
      <c r="I294" s="16">
        <f>BNW[[#This Row],[Berat Satuan
(Kg)]]*BNW[[#This Row],[Qty
(Set)]]</f>
        <v>2.3120000000000003</v>
      </c>
      <c r="K294" s="1">
        <f>SUMIF(DATA_MASTER[NO. PON],BNW[[#This Row],[No.PON]],DATA_MASTER[Qty
(Unit)])</f>
        <v>1</v>
      </c>
      <c r="L294" s="16">
        <f>BNW[[#This Row],[TOTAL UNIT]]*BNW[[#This Row],[Total Berat Baut
(Kg)]]</f>
        <v>2.3120000000000003</v>
      </c>
      <c r="N294"/>
      <c r="O294" s="25"/>
    </row>
    <row r="295" spans="1:15" x14ac:dyDescent="0.3">
      <c r="A295" t="s">
        <v>863</v>
      </c>
      <c r="B295" t="str">
        <f>IFERROR(VLOOKUP(A295,'DATA MASTER'!A:O,2,0)," ")</f>
        <v>Panel Bailey</v>
      </c>
      <c r="C295" t="str">
        <f>IFERROR(VLOOKUP(A295,'DATA MASTER'!A:O,4,0)," ")</f>
        <v>39 DSR2H**-EW</v>
      </c>
      <c r="D295" t="s">
        <v>142</v>
      </c>
      <c r="E295" t="s">
        <v>106</v>
      </c>
      <c r="F295" s="1">
        <v>8.8000000000000007</v>
      </c>
      <c r="G295" s="1">
        <v>108</v>
      </c>
      <c r="H295">
        <v>0.13600000000000001</v>
      </c>
      <c r="I295" s="16">
        <f>BNW[[#This Row],[Berat Satuan
(Kg)]]*BNW[[#This Row],[Qty
(Set)]]</f>
        <v>14.688000000000001</v>
      </c>
      <c r="K295" s="1">
        <f>SUMIF(DATA_MASTER[NO. PON],BNW[[#This Row],[No.PON]],DATA_MASTER[Qty
(Unit)])</f>
        <v>1</v>
      </c>
      <c r="L295" s="16">
        <f>BNW[[#This Row],[TOTAL UNIT]]*BNW[[#This Row],[Total Berat Baut
(Kg)]]</f>
        <v>14.688000000000001</v>
      </c>
      <c r="N295"/>
      <c r="O295" s="25"/>
    </row>
    <row r="296" spans="1:15" x14ac:dyDescent="0.3">
      <c r="A296" t="s">
        <v>863</v>
      </c>
      <c r="B296" t="str">
        <f>IFERROR(VLOOKUP(A296,'DATA MASTER'!A:O,2,0)," ")</f>
        <v>Panel Bailey</v>
      </c>
      <c r="C296" t="str">
        <f>IFERROR(VLOOKUP(A296,'DATA MASTER'!A:O,4,0)," ")</f>
        <v>39 DSR2H**-EW</v>
      </c>
      <c r="D296" t="s">
        <v>132</v>
      </c>
      <c r="E296" t="s">
        <v>106</v>
      </c>
      <c r="F296" s="1">
        <v>8.8000000000000007</v>
      </c>
      <c r="G296" s="1">
        <v>32</v>
      </c>
      <c r="H296">
        <v>0.67</v>
      </c>
      <c r="I296" s="16">
        <f>BNW[[#This Row],[Berat Satuan
(Kg)]]*BNW[[#This Row],[Qty
(Set)]]</f>
        <v>21.44</v>
      </c>
      <c r="K296" s="1">
        <f>SUMIF(DATA_MASTER[NO. PON],BNW[[#This Row],[No.PON]],DATA_MASTER[Qty
(Unit)])</f>
        <v>1</v>
      </c>
      <c r="L296" s="16">
        <f>BNW[[#This Row],[TOTAL UNIT]]*BNW[[#This Row],[Total Berat Baut
(Kg)]]</f>
        <v>21.44</v>
      </c>
      <c r="O296" s="25"/>
    </row>
    <row r="297" spans="1:15" x14ac:dyDescent="0.3">
      <c r="A297" t="s">
        <v>863</v>
      </c>
      <c r="B297" t="str">
        <f>IFERROR(VLOOKUP(A297,'DATA MASTER'!A:O,2,0)," ")</f>
        <v>Panel Bailey</v>
      </c>
      <c r="C297" t="str">
        <f>IFERROR(VLOOKUP(A297,'DATA MASTER'!A:O,4,0)," ")</f>
        <v>39 DSR2H**-EW</v>
      </c>
      <c r="D297" t="s">
        <v>133</v>
      </c>
      <c r="E297" t="s">
        <v>106</v>
      </c>
      <c r="F297" s="1">
        <v>8.8000000000000007</v>
      </c>
      <c r="G297" s="1">
        <v>416</v>
      </c>
      <c r="H297">
        <v>0.53</v>
      </c>
      <c r="I297" s="16">
        <f>BNW[[#This Row],[Berat Satuan
(Kg)]]*BNW[[#This Row],[Qty
(Set)]]</f>
        <v>220.48000000000002</v>
      </c>
      <c r="K297" s="1">
        <f>SUMIF(DATA_MASTER[NO. PON],BNW[[#This Row],[No.PON]],DATA_MASTER[Qty
(Unit)])</f>
        <v>1</v>
      </c>
      <c r="L297" s="16">
        <f>BNW[[#This Row],[TOTAL UNIT]]*BNW[[#This Row],[Total Berat Baut
(Kg)]]</f>
        <v>220.48000000000002</v>
      </c>
      <c r="N297"/>
      <c r="O297" s="25"/>
    </row>
    <row r="298" spans="1:15" x14ac:dyDescent="0.3">
      <c r="A298" t="s">
        <v>863</v>
      </c>
      <c r="B298" t="str">
        <f>IFERROR(VLOOKUP(A298,'DATA MASTER'!A:O,2,0)," ")</f>
        <v>Panel Bailey</v>
      </c>
      <c r="C298" t="str">
        <f>IFERROR(VLOOKUP(A298,'DATA MASTER'!A:O,4,0)," ")</f>
        <v>39 DSR2H**-EW</v>
      </c>
      <c r="D298" t="s">
        <v>134</v>
      </c>
      <c r="E298" t="s">
        <v>106</v>
      </c>
      <c r="F298" s="1">
        <v>8.8000000000000007</v>
      </c>
      <c r="G298" s="1">
        <v>182</v>
      </c>
      <c r="H298">
        <v>0.46</v>
      </c>
      <c r="I298" s="16">
        <f>BNW[[#This Row],[Berat Satuan
(Kg)]]*BNW[[#This Row],[Qty
(Set)]]</f>
        <v>83.72</v>
      </c>
      <c r="K298" s="1">
        <f>SUMIF(DATA_MASTER[NO. PON],BNW[[#This Row],[No.PON]],DATA_MASTER[Qty
(Unit)])</f>
        <v>1</v>
      </c>
      <c r="L298" s="16">
        <f>BNW[[#This Row],[TOTAL UNIT]]*BNW[[#This Row],[Total Berat Baut
(Kg)]]</f>
        <v>83.72</v>
      </c>
      <c r="N298"/>
      <c r="O298" s="25"/>
    </row>
    <row r="299" spans="1:15" x14ac:dyDescent="0.3">
      <c r="A299" t="s">
        <v>863</v>
      </c>
      <c r="B299" t="str">
        <f>IFERROR(VLOOKUP(A299,'DATA MASTER'!A:O,2,0)," ")</f>
        <v>Panel Bailey</v>
      </c>
      <c r="C299" t="str">
        <f>IFERROR(VLOOKUP(A299,'DATA MASTER'!A:O,4,0)," ")</f>
        <v>39 DSR2H**-EW</v>
      </c>
      <c r="D299" t="s">
        <v>135</v>
      </c>
      <c r="E299" t="s">
        <v>106</v>
      </c>
      <c r="F299" s="1">
        <v>8.8000000000000007</v>
      </c>
      <c r="G299" s="1">
        <v>104</v>
      </c>
      <c r="H299">
        <v>0.43</v>
      </c>
      <c r="I299" s="16">
        <f>BNW[[#This Row],[Berat Satuan
(Kg)]]*BNW[[#This Row],[Qty
(Set)]]</f>
        <v>44.72</v>
      </c>
      <c r="K299" s="1">
        <f>SUMIF(DATA_MASTER[NO. PON],BNW[[#This Row],[No.PON]],DATA_MASTER[Qty
(Unit)])</f>
        <v>1</v>
      </c>
      <c r="L299" s="16">
        <f>BNW[[#This Row],[TOTAL UNIT]]*BNW[[#This Row],[Total Berat Baut
(Kg)]]</f>
        <v>44.72</v>
      </c>
      <c r="N299"/>
      <c r="O299" s="25"/>
    </row>
    <row r="300" spans="1:15" x14ac:dyDescent="0.3">
      <c r="A300" t="s">
        <v>863</v>
      </c>
      <c r="B300" t="str">
        <f>IFERROR(VLOOKUP(A300,'DATA MASTER'!A:O,2,0)," ")</f>
        <v>Panel Bailey</v>
      </c>
      <c r="C300" t="str">
        <f>IFERROR(VLOOKUP(A300,'DATA MASTER'!A:O,4,0)," ")</f>
        <v>39 DSR2H**-EW</v>
      </c>
      <c r="D300" t="s">
        <v>136</v>
      </c>
      <c r="E300" t="s">
        <v>106</v>
      </c>
      <c r="F300" s="1">
        <v>8.8000000000000007</v>
      </c>
      <c r="G300" s="1">
        <v>64</v>
      </c>
      <c r="H300">
        <v>0.41</v>
      </c>
      <c r="I300" s="16">
        <f>BNW[[#This Row],[Berat Satuan
(Kg)]]*BNW[[#This Row],[Qty
(Set)]]</f>
        <v>26.24</v>
      </c>
      <c r="K300" s="1">
        <f>SUMIF(DATA_MASTER[NO. PON],BNW[[#This Row],[No.PON]],DATA_MASTER[Qty
(Unit)])</f>
        <v>1</v>
      </c>
      <c r="L300" s="16">
        <f>BNW[[#This Row],[TOTAL UNIT]]*BNW[[#This Row],[Total Berat Baut
(Kg)]]</f>
        <v>26.24</v>
      </c>
      <c r="N300"/>
      <c r="O300" s="25"/>
    </row>
    <row r="301" spans="1:15" x14ac:dyDescent="0.3">
      <c r="A301" t="s">
        <v>863</v>
      </c>
      <c r="B301" t="str">
        <f>IFERROR(VLOOKUP(A301,'DATA MASTER'!A:O,2,0)," ")</f>
        <v>Panel Bailey</v>
      </c>
      <c r="C301" t="str">
        <f>IFERROR(VLOOKUP(A301,'DATA MASTER'!A:O,4,0)," ")</f>
        <v>39 DSR2H**-EW</v>
      </c>
      <c r="D301" t="s">
        <v>137</v>
      </c>
      <c r="E301" t="s">
        <v>106</v>
      </c>
      <c r="F301" s="1">
        <v>8.8000000000000007</v>
      </c>
      <c r="G301" s="1">
        <v>240</v>
      </c>
      <c r="H301">
        <v>0.47399999999999998</v>
      </c>
      <c r="I301" s="16">
        <f>BNW[[#This Row],[Berat Satuan
(Kg)]]*BNW[[#This Row],[Qty
(Set)]]</f>
        <v>113.75999999999999</v>
      </c>
      <c r="K301" s="1">
        <f>SUMIF(DATA_MASTER[NO. PON],BNW[[#This Row],[No.PON]],DATA_MASTER[Qty
(Unit)])</f>
        <v>1</v>
      </c>
      <c r="L301" s="16">
        <f>BNW[[#This Row],[TOTAL UNIT]]*BNW[[#This Row],[Total Berat Baut
(Kg)]]</f>
        <v>113.75999999999999</v>
      </c>
      <c r="N301"/>
      <c r="O301" s="25"/>
    </row>
    <row r="302" spans="1:15" x14ac:dyDescent="0.3">
      <c r="A302" t="s">
        <v>863</v>
      </c>
      <c r="B302" t="str">
        <f>IFERROR(VLOOKUP(A302,'DATA MASTER'!A:O,2,0)," ")</f>
        <v>Panel Bailey</v>
      </c>
      <c r="C302" t="str">
        <f>IFERROR(VLOOKUP(A302,'DATA MASTER'!A:O,4,0)," ")</f>
        <v>39 DSR2H**-EW</v>
      </c>
      <c r="D302" t="s">
        <v>138</v>
      </c>
      <c r="E302" t="s">
        <v>106</v>
      </c>
      <c r="F302" s="1">
        <v>8.8000000000000007</v>
      </c>
      <c r="G302" s="1">
        <v>172</v>
      </c>
      <c r="H302">
        <v>0.29399999999999998</v>
      </c>
      <c r="I302" s="16">
        <f>BNW[[#This Row],[Berat Satuan
(Kg)]]*BNW[[#This Row],[Qty
(Set)]]</f>
        <v>50.567999999999998</v>
      </c>
      <c r="K302" s="1">
        <f>SUMIF(DATA_MASTER[NO. PON],BNW[[#This Row],[No.PON]],DATA_MASTER[Qty
(Unit)])</f>
        <v>1</v>
      </c>
      <c r="L302" s="16">
        <f>BNW[[#This Row],[TOTAL UNIT]]*BNW[[#This Row],[Total Berat Baut
(Kg)]]</f>
        <v>50.567999999999998</v>
      </c>
      <c r="N302"/>
      <c r="O302" s="25"/>
    </row>
    <row r="303" spans="1:15" x14ac:dyDescent="0.3">
      <c r="A303" t="s">
        <v>863</v>
      </c>
      <c r="B303" t="str">
        <f>IFERROR(VLOOKUP(A303,'DATA MASTER'!A:O,2,0)," ")</f>
        <v>Panel Bailey</v>
      </c>
      <c r="C303" t="str">
        <f>IFERROR(VLOOKUP(A303,'DATA MASTER'!A:O,4,0)," ")</f>
        <v>39 DSR2H**-EW</v>
      </c>
      <c r="D303" t="s">
        <v>139</v>
      </c>
      <c r="E303" t="s">
        <v>106</v>
      </c>
      <c r="F303" s="1">
        <v>8.8000000000000007</v>
      </c>
      <c r="G303" s="1">
        <v>18</v>
      </c>
      <c r="H303">
        <v>0.29399999999999998</v>
      </c>
      <c r="I303" s="16">
        <f>BNW[[#This Row],[Berat Satuan
(Kg)]]*BNW[[#This Row],[Qty
(Set)]]</f>
        <v>5.2919999999999998</v>
      </c>
      <c r="K303" s="1">
        <f>SUMIF(DATA_MASTER[NO. PON],BNW[[#This Row],[No.PON]],DATA_MASTER[Qty
(Unit)])</f>
        <v>1</v>
      </c>
      <c r="L303" s="16">
        <f>BNW[[#This Row],[TOTAL UNIT]]*BNW[[#This Row],[Total Berat Baut
(Kg)]]</f>
        <v>5.2919999999999998</v>
      </c>
      <c r="N303"/>
      <c r="O303" s="25"/>
    </row>
    <row r="304" spans="1:15" x14ac:dyDescent="0.3">
      <c r="A304" t="s">
        <v>863</v>
      </c>
      <c r="B304" t="str">
        <f>IFERROR(VLOOKUP(A304,'DATA MASTER'!A:O,2,0)," ")</f>
        <v>Panel Bailey</v>
      </c>
      <c r="C304" t="str">
        <f>IFERROR(VLOOKUP(A304,'DATA MASTER'!A:O,4,0)," ")</f>
        <v>39 DSR2H**-EW</v>
      </c>
      <c r="D304" t="s">
        <v>140</v>
      </c>
      <c r="E304" t="s">
        <v>106</v>
      </c>
      <c r="F304" s="1">
        <v>8.8000000000000007</v>
      </c>
      <c r="G304" s="1">
        <v>200</v>
      </c>
      <c r="H304">
        <v>0.24399999999999999</v>
      </c>
      <c r="I304" s="16">
        <f>BNW[[#This Row],[Berat Satuan
(Kg)]]*BNW[[#This Row],[Qty
(Set)]]</f>
        <v>48.8</v>
      </c>
      <c r="K304" s="1">
        <f>SUMIF(DATA_MASTER[NO. PON],BNW[[#This Row],[No.PON]],DATA_MASTER[Qty
(Unit)])</f>
        <v>1</v>
      </c>
      <c r="L304" s="16">
        <f>BNW[[#This Row],[TOTAL UNIT]]*BNW[[#This Row],[Total Berat Baut
(Kg)]]</f>
        <v>48.8</v>
      </c>
      <c r="N304"/>
      <c r="O304" s="25"/>
    </row>
    <row r="305" spans="1:15" x14ac:dyDescent="0.3">
      <c r="A305" t="s">
        <v>863</v>
      </c>
      <c r="B305" t="str">
        <f>IFERROR(VLOOKUP(A305,'DATA MASTER'!A:O,2,0)," ")</f>
        <v>Panel Bailey</v>
      </c>
      <c r="C305" t="str">
        <f>IFERROR(VLOOKUP(A305,'DATA MASTER'!A:O,4,0)," ")</f>
        <v>39 DSR2H**-EW</v>
      </c>
      <c r="D305" t="s">
        <v>141</v>
      </c>
      <c r="E305" t="s">
        <v>106</v>
      </c>
      <c r="F305" s="1">
        <v>8.8000000000000007</v>
      </c>
      <c r="G305" s="1">
        <v>16</v>
      </c>
      <c r="H305">
        <v>0.13600000000000001</v>
      </c>
      <c r="I305" s="16">
        <f>BNW[[#This Row],[Berat Satuan
(Kg)]]*BNW[[#This Row],[Qty
(Set)]]</f>
        <v>2.1760000000000002</v>
      </c>
      <c r="K305" s="1">
        <f>SUMIF(DATA_MASTER[NO. PON],BNW[[#This Row],[No.PON]],DATA_MASTER[Qty
(Unit)])</f>
        <v>1</v>
      </c>
      <c r="L305" s="16">
        <f>BNW[[#This Row],[TOTAL UNIT]]*BNW[[#This Row],[Total Berat Baut
(Kg)]]</f>
        <v>2.1760000000000002</v>
      </c>
      <c r="N305"/>
      <c r="O305" s="25"/>
    </row>
    <row r="306" spans="1:15" x14ac:dyDescent="0.3">
      <c r="A306" t="s">
        <v>863</v>
      </c>
      <c r="B306" t="str">
        <f>IFERROR(VLOOKUP(A306,'DATA MASTER'!A:O,2,0)," ")</f>
        <v>Panel Bailey</v>
      </c>
      <c r="C306" t="str">
        <f>IFERROR(VLOOKUP(A306,'DATA MASTER'!A:O,4,0)," ")</f>
        <v>39 DSR2H**-EW</v>
      </c>
      <c r="D306" t="s">
        <v>142</v>
      </c>
      <c r="E306" t="s">
        <v>106</v>
      </c>
      <c r="F306" s="1">
        <v>8.8000000000000007</v>
      </c>
      <c r="G306" s="1">
        <v>104</v>
      </c>
      <c r="H306">
        <v>0.13600000000000001</v>
      </c>
      <c r="I306" s="16">
        <f>BNW[[#This Row],[Berat Satuan
(Kg)]]*BNW[[#This Row],[Qty
(Set)]]</f>
        <v>14.144000000000002</v>
      </c>
      <c r="K306" s="1">
        <f>SUMIF(DATA_MASTER[NO. PON],BNW[[#This Row],[No.PON]],DATA_MASTER[Qty
(Unit)])</f>
        <v>1</v>
      </c>
      <c r="L306" s="16">
        <f>BNW[[#This Row],[TOTAL UNIT]]*BNW[[#This Row],[Total Berat Baut
(Kg)]]</f>
        <v>14.144000000000002</v>
      </c>
      <c r="N306"/>
      <c r="O306" s="25"/>
    </row>
    <row r="307" spans="1:15" x14ac:dyDescent="0.3">
      <c r="A307" t="s">
        <v>469</v>
      </c>
      <c r="B307" t="str">
        <f>IFERROR(VLOOKUP(A307,'DATA MASTER'!A:O,2,0)," ")</f>
        <v>Girder Spesial</v>
      </c>
      <c r="C307" t="str">
        <f>IFERROR(VLOOKUP(A307,'DATA MASTER'!A:O,4,0)," ")</f>
        <v>GD14</v>
      </c>
      <c r="D307" t="s">
        <v>473</v>
      </c>
      <c r="E307" t="s">
        <v>107</v>
      </c>
      <c r="F307" s="1" t="s">
        <v>116</v>
      </c>
      <c r="G307" s="1">
        <v>99</v>
      </c>
      <c r="H307">
        <v>0.39400000000000002</v>
      </c>
      <c r="I307" s="16">
        <f>BNW[[#This Row],[Berat Satuan
(Kg)]]*BNW[[#This Row],[Qty
(Set)]]</f>
        <v>39.006</v>
      </c>
      <c r="K307" s="1">
        <f>SUMIF(DATA_MASTER[NO. PON],BNW[[#This Row],[No.PON]],DATA_MASTER[Qty
(Unit)])</f>
        <v>1</v>
      </c>
      <c r="L307" s="16">
        <f>BNW[[#This Row],[TOTAL UNIT]]*BNW[[#This Row],[Total Berat Baut
(Kg)]]</f>
        <v>39.006</v>
      </c>
      <c r="N307"/>
      <c r="O307" s="25"/>
    </row>
    <row r="308" spans="1:15" x14ac:dyDescent="0.3">
      <c r="A308" t="s">
        <v>469</v>
      </c>
      <c r="B308" t="str">
        <f>IFERROR(VLOOKUP(A308,'DATA MASTER'!A:O,2,0)," ")</f>
        <v>Girder Spesial</v>
      </c>
      <c r="C308" t="str">
        <f>IFERROR(VLOOKUP(A308,'DATA MASTER'!A:O,4,0)," ")</f>
        <v>GD14</v>
      </c>
      <c r="D308" t="s">
        <v>474</v>
      </c>
      <c r="E308" t="s">
        <v>107</v>
      </c>
      <c r="F308" s="1" t="s">
        <v>116</v>
      </c>
      <c r="G308" s="1">
        <v>149</v>
      </c>
      <c r="H308">
        <v>0.38</v>
      </c>
      <c r="I308" s="16">
        <f>BNW[[#This Row],[Berat Satuan
(Kg)]]*BNW[[#This Row],[Qty
(Set)]]</f>
        <v>56.62</v>
      </c>
      <c r="K308" s="1">
        <f>SUMIF(DATA_MASTER[NO. PON],BNW[[#This Row],[No.PON]],DATA_MASTER[Qty
(Unit)])</f>
        <v>1</v>
      </c>
      <c r="L308" s="16">
        <f>BNW[[#This Row],[TOTAL UNIT]]*BNW[[#This Row],[Total Berat Baut
(Kg)]]</f>
        <v>56.62</v>
      </c>
      <c r="N308"/>
      <c r="O308" s="25"/>
    </row>
    <row r="309" spans="1:15" x14ac:dyDescent="0.3">
      <c r="A309" t="s">
        <v>469</v>
      </c>
      <c r="B309" t="str">
        <f>IFERROR(VLOOKUP(A309,'DATA MASTER'!A:O,2,0)," ")</f>
        <v>Girder Spesial</v>
      </c>
      <c r="C309" t="str">
        <f>IFERROR(VLOOKUP(A309,'DATA MASTER'!A:O,4,0)," ")</f>
        <v>GD14</v>
      </c>
      <c r="D309" t="s">
        <v>475</v>
      </c>
      <c r="E309" t="s">
        <v>106</v>
      </c>
      <c r="F309" s="1" t="s">
        <v>116</v>
      </c>
      <c r="G309" s="1">
        <v>124</v>
      </c>
      <c r="H309">
        <v>0.23699999999999999</v>
      </c>
      <c r="I309" s="16">
        <f>BNW[[#This Row],[Berat Satuan
(Kg)]]*BNW[[#This Row],[Qty
(Set)]]</f>
        <v>29.387999999999998</v>
      </c>
      <c r="K309" s="1">
        <f>SUMIF(DATA_MASTER[NO. PON],BNW[[#This Row],[No.PON]],DATA_MASTER[Qty
(Unit)])</f>
        <v>1</v>
      </c>
      <c r="L309" s="16">
        <f>BNW[[#This Row],[TOTAL UNIT]]*BNW[[#This Row],[Total Berat Baut
(Kg)]]</f>
        <v>29.387999999999998</v>
      </c>
      <c r="N309"/>
      <c r="O309" s="25"/>
    </row>
    <row r="310" spans="1:15" x14ac:dyDescent="0.3">
      <c r="A310" t="s">
        <v>469</v>
      </c>
      <c r="B310" t="str">
        <f>IFERROR(VLOOKUP(A310,'DATA MASTER'!A:O,2,0)," ")</f>
        <v>Girder Spesial</v>
      </c>
      <c r="C310" t="str">
        <f>IFERROR(VLOOKUP(A310,'DATA MASTER'!A:O,4,0)," ")</f>
        <v>GD14</v>
      </c>
      <c r="D310" t="s">
        <v>476</v>
      </c>
      <c r="E310" t="s">
        <v>106</v>
      </c>
      <c r="F310" s="1" t="s">
        <v>116</v>
      </c>
      <c r="G310" s="1">
        <v>145</v>
      </c>
      <c r="H310">
        <v>0.22899999999999998</v>
      </c>
      <c r="I310" s="16">
        <f>BNW[[#This Row],[Berat Satuan
(Kg)]]*BNW[[#This Row],[Qty
(Set)]]</f>
        <v>33.204999999999998</v>
      </c>
      <c r="K310" s="1">
        <f>SUMIF(DATA_MASTER[NO. PON],BNW[[#This Row],[No.PON]],DATA_MASTER[Qty
(Unit)])</f>
        <v>1</v>
      </c>
      <c r="L310" s="16">
        <f>BNW[[#This Row],[TOTAL UNIT]]*BNW[[#This Row],[Total Berat Baut
(Kg)]]</f>
        <v>33.204999999999998</v>
      </c>
      <c r="N310"/>
      <c r="O310" s="25"/>
    </row>
    <row r="311" spans="1:15" x14ac:dyDescent="0.3">
      <c r="A311" t="s">
        <v>469</v>
      </c>
      <c r="B311" t="str">
        <f>IFERROR(VLOOKUP(A311,'DATA MASTER'!A:O,2,0)," ")</f>
        <v>Girder Spesial</v>
      </c>
      <c r="C311" t="str">
        <f>IFERROR(VLOOKUP(A311,'DATA MASTER'!A:O,4,0)," ")</f>
        <v>GD14</v>
      </c>
      <c r="D311" t="s">
        <v>477</v>
      </c>
      <c r="E311" t="s">
        <v>106</v>
      </c>
      <c r="F311" s="1">
        <v>8.8000000000000007</v>
      </c>
      <c r="G311" s="1">
        <v>99</v>
      </c>
      <c r="H311">
        <v>7.2000000000000008E-2</v>
      </c>
      <c r="I311" s="16">
        <f>BNW[[#This Row],[Berat Satuan
(Kg)]]*BNW[[#This Row],[Qty
(Set)]]</f>
        <v>7.128000000000001</v>
      </c>
      <c r="K311" s="1">
        <f>SUMIF(DATA_MASTER[NO. PON],BNW[[#This Row],[No.PON]],DATA_MASTER[Qty
(Unit)])</f>
        <v>1</v>
      </c>
      <c r="L311" s="16">
        <f>BNW[[#This Row],[TOTAL UNIT]]*BNW[[#This Row],[Total Berat Baut
(Kg)]]</f>
        <v>7.128000000000001</v>
      </c>
      <c r="N311"/>
      <c r="O311" s="25"/>
    </row>
    <row r="312" spans="1:15" x14ac:dyDescent="0.3">
      <c r="A312" t="s">
        <v>469</v>
      </c>
      <c r="B312" t="str">
        <f>IFERROR(VLOOKUP(A312,'DATA MASTER'!A:O,2,0)," ")</f>
        <v>Girder Spesial</v>
      </c>
      <c r="C312" t="str">
        <f>IFERROR(VLOOKUP(A312,'DATA MASTER'!A:O,4,0)," ")</f>
        <v>GD14</v>
      </c>
      <c r="D312" t="s">
        <v>478</v>
      </c>
      <c r="E312" t="s">
        <v>106</v>
      </c>
      <c r="F312" s="1">
        <v>8.8000000000000007</v>
      </c>
      <c r="G312" s="1">
        <v>54</v>
      </c>
      <c r="H312">
        <v>7.2000000000000008E-2</v>
      </c>
      <c r="I312" s="16">
        <f>BNW[[#This Row],[Berat Satuan
(Kg)]]*BNW[[#This Row],[Qty
(Set)]]</f>
        <v>3.8880000000000003</v>
      </c>
      <c r="K312" s="1">
        <f>SUMIF(DATA_MASTER[NO. PON],BNW[[#This Row],[No.PON]],DATA_MASTER[Qty
(Unit)])</f>
        <v>1</v>
      </c>
      <c r="L312" s="16">
        <f>BNW[[#This Row],[TOTAL UNIT]]*BNW[[#This Row],[Total Berat Baut
(Kg)]]</f>
        <v>3.8880000000000003</v>
      </c>
      <c r="N312"/>
      <c r="O312" s="25"/>
    </row>
    <row r="313" spans="1:15" x14ac:dyDescent="0.3">
      <c r="A313" t="s">
        <v>479</v>
      </c>
      <c r="B313" t="str">
        <f>IFERROR(VLOOKUP(A313,'DATA MASTER'!A:O,2,0)," ")</f>
        <v>Girder Spesial</v>
      </c>
      <c r="C313" t="str">
        <f>IFERROR(VLOOKUP(A313,'DATA MASTER'!A:O,4,0)," ")</f>
        <v>GD16</v>
      </c>
      <c r="D313" t="s">
        <v>473</v>
      </c>
      <c r="E313" t="s">
        <v>107</v>
      </c>
      <c r="F313" s="1" t="s">
        <v>116</v>
      </c>
      <c r="G313" s="1">
        <v>99</v>
      </c>
      <c r="H313">
        <v>0.39400000000000002</v>
      </c>
      <c r="I313" s="16">
        <f>BNW[[#This Row],[Berat Satuan
(Kg)]]*BNW[[#This Row],[Qty
(Set)]]</f>
        <v>39.006</v>
      </c>
      <c r="K313" s="1">
        <f>SUMIF(DATA_MASTER[NO. PON],BNW[[#This Row],[No.PON]],DATA_MASTER[Qty
(Unit)])</f>
        <v>5</v>
      </c>
      <c r="L313" s="16">
        <f>BNW[[#This Row],[TOTAL UNIT]]*BNW[[#This Row],[Total Berat Baut
(Kg)]]</f>
        <v>195.03</v>
      </c>
      <c r="N313"/>
      <c r="O313" s="25"/>
    </row>
    <row r="314" spans="1:15" x14ac:dyDescent="0.3">
      <c r="A314" t="s">
        <v>479</v>
      </c>
      <c r="B314" t="str">
        <f>IFERROR(VLOOKUP(A314,'DATA MASTER'!A:O,2,0)," ")</f>
        <v>Girder Spesial</v>
      </c>
      <c r="C314" t="str">
        <f>IFERROR(VLOOKUP(A314,'DATA MASTER'!A:O,4,0)," ")</f>
        <v>GD16</v>
      </c>
      <c r="D314" t="s">
        <v>474</v>
      </c>
      <c r="E314" t="s">
        <v>107</v>
      </c>
      <c r="F314" s="1" t="s">
        <v>116</v>
      </c>
      <c r="G314" s="1">
        <v>149</v>
      </c>
      <c r="H314">
        <v>0.38</v>
      </c>
      <c r="I314" s="16">
        <f>BNW[[#This Row],[Berat Satuan
(Kg)]]*BNW[[#This Row],[Qty
(Set)]]</f>
        <v>56.62</v>
      </c>
      <c r="K314" s="1">
        <f>SUMIF(DATA_MASTER[NO. PON],BNW[[#This Row],[No.PON]],DATA_MASTER[Qty
(Unit)])</f>
        <v>5</v>
      </c>
      <c r="L314" s="16">
        <f>BNW[[#This Row],[TOTAL UNIT]]*BNW[[#This Row],[Total Berat Baut
(Kg)]]</f>
        <v>283.09999999999997</v>
      </c>
      <c r="N314"/>
      <c r="O314" s="25"/>
    </row>
    <row r="315" spans="1:15" x14ac:dyDescent="0.3">
      <c r="A315" t="s">
        <v>479</v>
      </c>
      <c r="B315" t="str">
        <f>IFERROR(VLOOKUP(A315,'DATA MASTER'!A:O,2,0)," ")</f>
        <v>Girder Spesial</v>
      </c>
      <c r="C315" t="str">
        <f>IFERROR(VLOOKUP(A315,'DATA MASTER'!A:O,4,0)," ")</f>
        <v>GD16</v>
      </c>
      <c r="D315" t="s">
        <v>475</v>
      </c>
      <c r="E315" t="s">
        <v>106</v>
      </c>
      <c r="F315" s="1" t="s">
        <v>116</v>
      </c>
      <c r="G315" s="1">
        <v>309</v>
      </c>
      <c r="H315">
        <v>0.23699999999999999</v>
      </c>
      <c r="I315" s="16">
        <f>BNW[[#This Row],[Berat Satuan
(Kg)]]*BNW[[#This Row],[Qty
(Set)]]</f>
        <v>73.23299999999999</v>
      </c>
      <c r="K315" s="1">
        <f>SUMIF(DATA_MASTER[NO. PON],BNW[[#This Row],[No.PON]],DATA_MASTER[Qty
(Unit)])</f>
        <v>5</v>
      </c>
      <c r="L315" s="16">
        <f>BNW[[#This Row],[TOTAL UNIT]]*BNW[[#This Row],[Total Berat Baut
(Kg)]]</f>
        <v>366.16499999999996</v>
      </c>
      <c r="N315"/>
      <c r="O315" s="25"/>
    </row>
    <row r="316" spans="1:15" x14ac:dyDescent="0.3">
      <c r="A316" t="s">
        <v>479</v>
      </c>
      <c r="B316" t="str">
        <f>IFERROR(VLOOKUP(A316,'DATA MASTER'!A:O,2,0)," ")</f>
        <v>Girder Spesial</v>
      </c>
      <c r="C316" t="str">
        <f>IFERROR(VLOOKUP(A316,'DATA MASTER'!A:O,4,0)," ")</f>
        <v>GD16</v>
      </c>
      <c r="D316" t="s">
        <v>477</v>
      </c>
      <c r="E316" t="s">
        <v>106</v>
      </c>
      <c r="F316" s="1" t="s">
        <v>116</v>
      </c>
      <c r="G316" s="1">
        <v>116</v>
      </c>
      <c r="H316">
        <v>7.7000000000000013E-2</v>
      </c>
      <c r="I316" s="16">
        <f>BNW[[#This Row],[Berat Satuan
(Kg)]]*BNW[[#This Row],[Qty
(Set)]]</f>
        <v>8.9320000000000022</v>
      </c>
      <c r="K316" s="1">
        <f>SUMIF(DATA_MASTER[NO. PON],BNW[[#This Row],[No.PON]],DATA_MASTER[Qty
(Unit)])</f>
        <v>5</v>
      </c>
      <c r="L316" s="16">
        <f>BNW[[#This Row],[TOTAL UNIT]]*BNW[[#This Row],[Total Berat Baut
(Kg)]]</f>
        <v>44.660000000000011</v>
      </c>
      <c r="N316"/>
      <c r="O316" s="25"/>
    </row>
    <row r="317" spans="1:15" x14ac:dyDescent="0.3">
      <c r="A317" t="s">
        <v>479</v>
      </c>
      <c r="B317" t="str">
        <f>IFERROR(VLOOKUP(A317,'DATA MASTER'!A:O,2,0)," ")</f>
        <v>Girder Spesial</v>
      </c>
      <c r="C317" t="str">
        <f>IFERROR(VLOOKUP(A317,'DATA MASTER'!A:O,4,0)," ")</f>
        <v>GD16</v>
      </c>
      <c r="D317" t="s">
        <v>478</v>
      </c>
      <c r="E317" t="s">
        <v>106</v>
      </c>
      <c r="F317" s="1">
        <v>8.8000000000000007</v>
      </c>
      <c r="G317" s="1">
        <v>58</v>
      </c>
      <c r="H317">
        <v>7.2000000000000008E-2</v>
      </c>
      <c r="I317" s="16">
        <f>BNW[[#This Row],[Berat Satuan
(Kg)]]*BNW[[#This Row],[Qty
(Set)]]</f>
        <v>4.1760000000000002</v>
      </c>
      <c r="K317" s="1">
        <f>SUMIF(DATA_MASTER[NO. PON],BNW[[#This Row],[No.PON]],DATA_MASTER[Qty
(Unit)])</f>
        <v>5</v>
      </c>
      <c r="L317" s="16">
        <f>BNW[[#This Row],[TOTAL UNIT]]*BNW[[#This Row],[Total Berat Baut
(Kg)]]</f>
        <v>20.880000000000003</v>
      </c>
      <c r="N317"/>
      <c r="O317" s="25"/>
    </row>
    <row r="318" spans="1:15" x14ac:dyDescent="0.3">
      <c r="A318" t="s">
        <v>479</v>
      </c>
      <c r="B318" t="str">
        <f>IFERROR(VLOOKUP(A318,'DATA MASTER'!A:O,2,0)," ")</f>
        <v>Girder Spesial</v>
      </c>
      <c r="C318" t="str">
        <f>IFERROR(VLOOKUP(A318,'DATA MASTER'!A:O,4,0)," ")</f>
        <v>GD16</v>
      </c>
      <c r="D318" t="s">
        <v>89</v>
      </c>
      <c r="E318" t="s">
        <v>106</v>
      </c>
      <c r="F318" s="1">
        <v>8.8000000000000007</v>
      </c>
      <c r="G318" s="1">
        <v>198</v>
      </c>
      <c r="H318">
        <v>6.8000000000000005E-2</v>
      </c>
      <c r="I318" s="16">
        <f>BNW[[#This Row],[Berat Satuan
(Kg)]]*BNW[[#This Row],[Qty
(Set)]]</f>
        <v>13.464</v>
      </c>
      <c r="K318" s="1">
        <f>SUMIF(DATA_MASTER[NO. PON],BNW[[#This Row],[No.PON]],DATA_MASTER[Qty
(Unit)])</f>
        <v>5</v>
      </c>
      <c r="L318" s="16">
        <f>BNW[[#This Row],[TOTAL UNIT]]*BNW[[#This Row],[Total Berat Baut
(Kg)]]</f>
        <v>67.320000000000007</v>
      </c>
      <c r="N318"/>
      <c r="O318" s="25"/>
    </row>
    <row r="319" spans="1:15" x14ac:dyDescent="0.3">
      <c r="A319" t="s">
        <v>482</v>
      </c>
      <c r="B319" t="str">
        <f>IFERROR(VLOOKUP(A319,'DATA MASTER'!A:O,2,0)," ")</f>
        <v>Girder Spesial</v>
      </c>
      <c r="C319" t="str">
        <f>IFERROR(VLOOKUP(A319,'DATA MASTER'!A:O,4,0)," ")</f>
        <v>GD18</v>
      </c>
      <c r="D319" t="s">
        <v>473</v>
      </c>
      <c r="E319" t="s">
        <v>107</v>
      </c>
      <c r="F319" s="1" t="s">
        <v>116</v>
      </c>
      <c r="G319" s="1">
        <v>132</v>
      </c>
      <c r="H319">
        <v>0.39400000000000002</v>
      </c>
      <c r="I319" s="16">
        <f>BNW[[#This Row],[Berat Satuan
(Kg)]]*BNW[[#This Row],[Qty
(Set)]]</f>
        <v>52.008000000000003</v>
      </c>
      <c r="K319" s="1">
        <f>SUMIF(DATA_MASTER[NO. PON],BNW[[#This Row],[No.PON]],DATA_MASTER[Qty
(Unit)])</f>
        <v>3</v>
      </c>
      <c r="L319" s="16">
        <f>BNW[[#This Row],[TOTAL UNIT]]*BNW[[#This Row],[Total Berat Baut
(Kg)]]</f>
        <v>156.024</v>
      </c>
      <c r="N319"/>
      <c r="O319" s="25"/>
    </row>
    <row r="320" spans="1:15" x14ac:dyDescent="0.3">
      <c r="A320" t="s">
        <v>482</v>
      </c>
      <c r="B320" t="str">
        <f>IFERROR(VLOOKUP(A320,'DATA MASTER'!A:O,2,0)," ")</f>
        <v>Girder Spesial</v>
      </c>
      <c r="C320" t="str">
        <f>IFERROR(VLOOKUP(A320,'DATA MASTER'!A:O,4,0)," ")</f>
        <v>GD18</v>
      </c>
      <c r="D320" t="s">
        <v>474</v>
      </c>
      <c r="E320" t="s">
        <v>107</v>
      </c>
      <c r="F320" s="1" t="s">
        <v>116</v>
      </c>
      <c r="G320" s="1">
        <v>231</v>
      </c>
      <c r="H320">
        <v>0.38</v>
      </c>
      <c r="I320" s="16">
        <f>BNW[[#This Row],[Berat Satuan
(Kg)]]*BNW[[#This Row],[Qty
(Set)]]</f>
        <v>87.78</v>
      </c>
      <c r="K320" s="1">
        <f>SUMIF(DATA_MASTER[NO. PON],BNW[[#This Row],[No.PON]],DATA_MASTER[Qty
(Unit)])</f>
        <v>3</v>
      </c>
      <c r="L320" s="16">
        <f>BNW[[#This Row],[TOTAL UNIT]]*BNW[[#This Row],[Total Berat Baut
(Kg)]]</f>
        <v>263.34000000000003</v>
      </c>
      <c r="N320"/>
      <c r="O320" s="25"/>
    </row>
    <row r="321" spans="1:15" x14ac:dyDescent="0.3">
      <c r="A321" t="s">
        <v>482</v>
      </c>
      <c r="B321" t="str">
        <f>IFERROR(VLOOKUP(A321,'DATA MASTER'!A:O,2,0)," ")</f>
        <v>Girder Spesial</v>
      </c>
      <c r="C321" t="str">
        <f>IFERROR(VLOOKUP(A321,'DATA MASTER'!A:O,4,0)," ")</f>
        <v>GD18</v>
      </c>
      <c r="D321" t="s">
        <v>475</v>
      </c>
      <c r="E321" t="s">
        <v>106</v>
      </c>
      <c r="F321" s="1" t="s">
        <v>116</v>
      </c>
      <c r="G321" s="1">
        <v>351</v>
      </c>
      <c r="H321">
        <v>0.23699999999999999</v>
      </c>
      <c r="I321" s="16">
        <f>BNW[[#This Row],[Berat Satuan
(Kg)]]*BNW[[#This Row],[Qty
(Set)]]</f>
        <v>83.186999999999998</v>
      </c>
      <c r="K321" s="1">
        <f>SUMIF(DATA_MASTER[NO. PON],BNW[[#This Row],[No.PON]],DATA_MASTER[Qty
(Unit)])</f>
        <v>3</v>
      </c>
      <c r="L321" s="16">
        <f>BNW[[#This Row],[TOTAL UNIT]]*BNW[[#This Row],[Total Berat Baut
(Kg)]]</f>
        <v>249.56099999999998</v>
      </c>
      <c r="N321"/>
      <c r="O321" s="25"/>
    </row>
    <row r="322" spans="1:15" x14ac:dyDescent="0.3">
      <c r="A322" t="s">
        <v>482</v>
      </c>
      <c r="B322" t="str">
        <f>IFERROR(VLOOKUP(A322,'DATA MASTER'!A:O,2,0)," ")</f>
        <v>Girder Spesial</v>
      </c>
      <c r="C322" t="str">
        <f>IFERROR(VLOOKUP(A322,'DATA MASTER'!A:O,4,0)," ")</f>
        <v>GD18</v>
      </c>
      <c r="D322" t="s">
        <v>477</v>
      </c>
      <c r="E322" t="s">
        <v>106</v>
      </c>
      <c r="F322" s="1">
        <v>8.8000000000000007</v>
      </c>
      <c r="G322" s="1">
        <v>165</v>
      </c>
      <c r="H322">
        <v>0.22899999999999998</v>
      </c>
      <c r="I322" s="16">
        <f>BNW[[#This Row],[Berat Satuan
(Kg)]]*BNW[[#This Row],[Qty
(Set)]]</f>
        <v>37.784999999999997</v>
      </c>
      <c r="K322" s="1">
        <f>SUMIF(DATA_MASTER[NO. PON],BNW[[#This Row],[No.PON]],DATA_MASTER[Qty
(Unit)])</f>
        <v>3</v>
      </c>
      <c r="L322" s="16">
        <f>BNW[[#This Row],[TOTAL UNIT]]*BNW[[#This Row],[Total Berat Baut
(Kg)]]</f>
        <v>113.35499999999999</v>
      </c>
      <c r="N322"/>
      <c r="O322" s="25"/>
    </row>
    <row r="323" spans="1:15" x14ac:dyDescent="0.3">
      <c r="A323" t="s">
        <v>482</v>
      </c>
      <c r="B323" t="str">
        <f>IFERROR(VLOOKUP(A323,'DATA MASTER'!A:O,2,0)," ")</f>
        <v>Girder Spesial</v>
      </c>
      <c r="C323" t="str">
        <f>IFERROR(VLOOKUP(A323,'DATA MASTER'!A:O,4,0)," ")</f>
        <v>GD18</v>
      </c>
      <c r="D323" t="s">
        <v>485</v>
      </c>
      <c r="E323" t="s">
        <v>106</v>
      </c>
      <c r="F323" s="1">
        <v>8.8000000000000007</v>
      </c>
      <c r="G323" s="1">
        <v>71</v>
      </c>
      <c r="H323">
        <v>0.13300000000000001</v>
      </c>
      <c r="I323" s="16">
        <f>BNW[[#This Row],[Berat Satuan
(Kg)]]*BNW[[#This Row],[Qty
(Set)]]</f>
        <v>9.4430000000000014</v>
      </c>
      <c r="K323" s="1">
        <f>SUMIF(DATA_MASTER[NO. PON],BNW[[#This Row],[No.PON]],DATA_MASTER[Qty
(Unit)])</f>
        <v>3</v>
      </c>
      <c r="L323" s="16">
        <f>BNW[[#This Row],[TOTAL UNIT]]*BNW[[#This Row],[Total Berat Baut
(Kg)]]</f>
        <v>28.329000000000004</v>
      </c>
      <c r="N323"/>
      <c r="O323" s="25"/>
    </row>
    <row r="324" spans="1:15" x14ac:dyDescent="0.3">
      <c r="A324" t="s">
        <v>482</v>
      </c>
      <c r="B324" t="str">
        <f>IFERROR(VLOOKUP(A324,'DATA MASTER'!A:O,2,0)," ")</f>
        <v>Girder Spesial</v>
      </c>
      <c r="C324" t="str">
        <f>IFERROR(VLOOKUP(A324,'DATA MASTER'!A:O,4,0)," ")</f>
        <v>GD18</v>
      </c>
      <c r="D324" t="s">
        <v>486</v>
      </c>
      <c r="E324" t="s">
        <v>106</v>
      </c>
      <c r="F324" s="1">
        <v>8.8000000000000007</v>
      </c>
      <c r="G324" s="1">
        <v>223</v>
      </c>
      <c r="H324">
        <v>0.127</v>
      </c>
      <c r="I324" s="16">
        <f>BNW[[#This Row],[Berat Satuan
(Kg)]]*BNW[[#This Row],[Qty
(Set)]]</f>
        <v>28.321000000000002</v>
      </c>
      <c r="K324" s="1">
        <f>SUMIF(DATA_MASTER[NO. PON],BNW[[#This Row],[No.PON]],DATA_MASTER[Qty
(Unit)])</f>
        <v>3</v>
      </c>
      <c r="L324" s="16">
        <f>BNW[[#This Row],[TOTAL UNIT]]*BNW[[#This Row],[Total Berat Baut
(Kg)]]</f>
        <v>84.963000000000008</v>
      </c>
      <c r="N324"/>
      <c r="O324" s="25"/>
    </row>
    <row r="325" spans="1:15" x14ac:dyDescent="0.3">
      <c r="A325" t="s">
        <v>487</v>
      </c>
      <c r="B325" t="str">
        <f>IFERROR(VLOOKUP(A325,'DATA MASTER'!A:O,2,0)," ")</f>
        <v>Girder Spesial</v>
      </c>
      <c r="C325" t="str">
        <f>IFERROR(VLOOKUP(A325,'DATA MASTER'!A:O,4,0)," ")</f>
        <v>GD20</v>
      </c>
      <c r="D325" t="s">
        <v>563</v>
      </c>
      <c r="E325" t="s">
        <v>107</v>
      </c>
      <c r="F325" s="1" t="s">
        <v>116</v>
      </c>
      <c r="G325" s="1">
        <v>165</v>
      </c>
      <c r="H325">
        <v>0.40799999999999997</v>
      </c>
      <c r="I325" s="16">
        <f>BNW[[#This Row],[Berat Satuan
(Kg)]]*BNW[[#This Row],[Qty
(Set)]]</f>
        <v>67.319999999999993</v>
      </c>
      <c r="K325" s="1">
        <f>SUMIF(DATA_MASTER[NO. PON],BNW[[#This Row],[No.PON]],DATA_MASTER[Qty
(Unit)])</f>
        <v>1</v>
      </c>
      <c r="L325" s="16">
        <f>BNW[[#This Row],[TOTAL UNIT]]*BNW[[#This Row],[Total Berat Baut
(Kg)]]</f>
        <v>67.319999999999993</v>
      </c>
      <c r="N325"/>
      <c r="O325" s="25"/>
    </row>
    <row r="326" spans="1:15" x14ac:dyDescent="0.3">
      <c r="A326" t="s">
        <v>487</v>
      </c>
      <c r="B326" t="str">
        <f>IFERROR(VLOOKUP(A326,'DATA MASTER'!A:O,2,0)," ")</f>
        <v>Girder Spesial</v>
      </c>
      <c r="C326" t="str">
        <f>IFERROR(VLOOKUP(A326,'DATA MASTER'!A:O,4,0)," ")</f>
        <v>GD20</v>
      </c>
      <c r="D326" t="s">
        <v>564</v>
      </c>
      <c r="E326" t="s">
        <v>107</v>
      </c>
      <c r="F326" s="1" t="s">
        <v>116</v>
      </c>
      <c r="G326" s="1">
        <v>289</v>
      </c>
      <c r="H326">
        <v>0.38</v>
      </c>
      <c r="I326" s="16">
        <f>BNW[[#This Row],[Berat Satuan
(Kg)]]*BNW[[#This Row],[Qty
(Set)]]</f>
        <v>109.82000000000001</v>
      </c>
      <c r="K326" s="1">
        <f>SUMIF(DATA_MASTER[NO. PON],BNW[[#This Row],[No.PON]],DATA_MASTER[Qty
(Unit)])</f>
        <v>1</v>
      </c>
      <c r="L326" s="16">
        <f>BNW[[#This Row],[TOTAL UNIT]]*BNW[[#This Row],[Total Berat Baut
(Kg)]]</f>
        <v>109.82000000000001</v>
      </c>
      <c r="N326"/>
      <c r="O326" s="25"/>
    </row>
    <row r="327" spans="1:15" x14ac:dyDescent="0.3">
      <c r="A327" t="s">
        <v>487</v>
      </c>
      <c r="B327" t="str">
        <f>IFERROR(VLOOKUP(A327,'DATA MASTER'!A:O,2,0)," ")</f>
        <v>Girder Spesial</v>
      </c>
      <c r="C327" t="str">
        <f>IFERROR(VLOOKUP(A327,'DATA MASTER'!A:O,4,0)," ")</f>
        <v>GD20</v>
      </c>
      <c r="D327" t="s">
        <v>475</v>
      </c>
      <c r="E327" t="s">
        <v>106</v>
      </c>
      <c r="F327" s="1" t="s">
        <v>116</v>
      </c>
      <c r="G327" s="1">
        <v>392</v>
      </c>
      <c r="H327">
        <v>0.23699999999999999</v>
      </c>
      <c r="I327" s="16">
        <f>BNW[[#This Row],[Berat Satuan
(Kg)]]*BNW[[#This Row],[Qty
(Set)]]</f>
        <v>92.903999999999996</v>
      </c>
      <c r="K327" s="1">
        <f>SUMIF(DATA_MASTER[NO. PON],BNW[[#This Row],[No.PON]],DATA_MASTER[Qty
(Unit)])</f>
        <v>1</v>
      </c>
      <c r="L327" s="16">
        <f>BNW[[#This Row],[TOTAL UNIT]]*BNW[[#This Row],[Total Berat Baut
(Kg)]]</f>
        <v>92.903999999999996</v>
      </c>
      <c r="N327"/>
      <c r="O327" s="25"/>
    </row>
    <row r="328" spans="1:15" x14ac:dyDescent="0.3">
      <c r="A328" t="s">
        <v>487</v>
      </c>
      <c r="B328" t="str">
        <f>IFERROR(VLOOKUP(A328,'DATA MASTER'!A:O,2,0)," ")</f>
        <v>Girder Spesial</v>
      </c>
      <c r="C328" t="str">
        <f>IFERROR(VLOOKUP(A328,'DATA MASTER'!A:O,4,0)," ")</f>
        <v>GD20</v>
      </c>
      <c r="D328" t="s">
        <v>477</v>
      </c>
      <c r="E328" t="s">
        <v>106</v>
      </c>
      <c r="F328" s="1">
        <v>8.8000000000000007</v>
      </c>
      <c r="G328" s="1">
        <v>149</v>
      </c>
      <c r="H328">
        <v>7.7000000000000013E-2</v>
      </c>
      <c r="I328" s="16">
        <f>BNW[[#This Row],[Berat Satuan
(Kg)]]*BNW[[#This Row],[Qty
(Set)]]</f>
        <v>11.473000000000003</v>
      </c>
      <c r="K328" s="1">
        <f>SUMIF(DATA_MASTER[NO. PON],BNW[[#This Row],[No.PON]],DATA_MASTER[Qty
(Unit)])</f>
        <v>1</v>
      </c>
      <c r="L328" s="16">
        <f>BNW[[#This Row],[TOTAL UNIT]]*BNW[[#This Row],[Total Berat Baut
(Kg)]]</f>
        <v>11.473000000000003</v>
      </c>
      <c r="N328"/>
      <c r="O328" s="25"/>
    </row>
    <row r="329" spans="1:15" x14ac:dyDescent="0.3">
      <c r="A329" t="s">
        <v>487</v>
      </c>
      <c r="B329" t="str">
        <f>IFERROR(VLOOKUP(A329,'DATA MASTER'!A:O,2,0)," ")</f>
        <v>Girder Spesial</v>
      </c>
      <c r="C329" t="str">
        <f>IFERROR(VLOOKUP(A329,'DATA MASTER'!A:O,4,0)," ")</f>
        <v>GD20</v>
      </c>
      <c r="D329" t="s">
        <v>478</v>
      </c>
      <c r="E329" t="s">
        <v>106</v>
      </c>
      <c r="F329" s="1">
        <v>8.8000000000000007</v>
      </c>
      <c r="G329" s="1">
        <v>75</v>
      </c>
      <c r="H329">
        <v>7.2000000000000008E-2</v>
      </c>
      <c r="I329" s="16">
        <f>BNW[[#This Row],[Berat Satuan
(Kg)]]*BNW[[#This Row],[Qty
(Set)]]</f>
        <v>5.4</v>
      </c>
      <c r="K329" s="1">
        <f>SUMIF(DATA_MASTER[NO. PON],BNW[[#This Row],[No.PON]],DATA_MASTER[Qty
(Unit)])</f>
        <v>1</v>
      </c>
      <c r="L329" s="16">
        <f>BNW[[#This Row],[TOTAL UNIT]]*BNW[[#This Row],[Total Berat Baut
(Kg)]]</f>
        <v>5.4</v>
      </c>
      <c r="N329"/>
      <c r="O329" s="25"/>
    </row>
    <row r="330" spans="1:15" x14ac:dyDescent="0.3">
      <c r="A330" t="s">
        <v>489</v>
      </c>
      <c r="B330" t="str">
        <f>IFERROR(VLOOKUP(A330,'DATA MASTER'!A:O,2,0)," ")</f>
        <v>Girder</v>
      </c>
      <c r="C330" t="str">
        <f>IFERROR(VLOOKUP(A330,'DATA MASTER'!A:O,4,0)," ")</f>
        <v>BG25</v>
      </c>
      <c r="D330" t="s">
        <v>281</v>
      </c>
      <c r="E330" t="s">
        <v>441</v>
      </c>
      <c r="F330" s="1">
        <v>8.8000000000000007</v>
      </c>
      <c r="G330" s="1">
        <v>577</v>
      </c>
      <c r="H330">
        <v>0.40700000000000003</v>
      </c>
      <c r="I330" s="16">
        <f>BNW[[#This Row],[Berat Satuan
(Kg)]]*BNW[[#This Row],[Qty
(Set)]]</f>
        <v>234.83900000000003</v>
      </c>
      <c r="K330" s="1">
        <f>SUMIF(DATA_MASTER[NO. PON],BNW[[#This Row],[No.PON]],DATA_MASTER[Qty
(Unit)])</f>
        <v>1</v>
      </c>
      <c r="L330" s="16">
        <f>BNW[[#This Row],[TOTAL UNIT]]*BNW[[#This Row],[Total Berat Baut
(Kg)]]</f>
        <v>234.83900000000003</v>
      </c>
      <c r="N330"/>
      <c r="O330" s="25"/>
    </row>
    <row r="331" spans="1:15" x14ac:dyDescent="0.3">
      <c r="A331" t="s">
        <v>489</v>
      </c>
      <c r="B331" t="str">
        <f>IFERROR(VLOOKUP(A331,'DATA MASTER'!A:O,2,0)," ")</f>
        <v>Girder</v>
      </c>
      <c r="C331" t="str">
        <f>IFERROR(VLOOKUP(A331,'DATA MASTER'!A:O,4,0)," ")</f>
        <v>BG25</v>
      </c>
      <c r="D331" t="s">
        <v>282</v>
      </c>
      <c r="E331" t="s">
        <v>441</v>
      </c>
      <c r="F331" s="1">
        <v>8.8000000000000007</v>
      </c>
      <c r="G331" s="1">
        <v>289</v>
      </c>
      <c r="H331">
        <v>0.38700000000000001</v>
      </c>
      <c r="I331" s="16">
        <f>BNW[[#This Row],[Berat Satuan
(Kg)]]*BNW[[#This Row],[Qty
(Set)]]</f>
        <v>111.843</v>
      </c>
      <c r="K331" s="1">
        <f>SUMIF(DATA_MASTER[NO. PON],BNW[[#This Row],[No.PON]],DATA_MASTER[Qty
(Unit)])</f>
        <v>1</v>
      </c>
      <c r="L331" s="16">
        <f>BNW[[#This Row],[TOTAL UNIT]]*BNW[[#This Row],[Total Berat Baut
(Kg)]]</f>
        <v>111.843</v>
      </c>
      <c r="N331"/>
      <c r="O331" s="25"/>
    </row>
    <row r="332" spans="1:15" x14ac:dyDescent="0.3">
      <c r="A332" t="s">
        <v>489</v>
      </c>
      <c r="B332" t="str">
        <f>IFERROR(VLOOKUP(A332,'DATA MASTER'!A:O,2,0)," ")</f>
        <v>Girder</v>
      </c>
      <c r="C332" t="str">
        <f>IFERROR(VLOOKUP(A332,'DATA MASTER'!A:O,4,0)," ")</f>
        <v>BG25</v>
      </c>
      <c r="D332" t="s">
        <v>86</v>
      </c>
      <c r="E332" t="s">
        <v>441</v>
      </c>
      <c r="F332" s="1">
        <v>8.8000000000000007</v>
      </c>
      <c r="G332" s="1">
        <v>680</v>
      </c>
      <c r="H332">
        <v>0.35700000000000004</v>
      </c>
      <c r="I332" s="16">
        <f>BNW[[#This Row],[Berat Satuan
(Kg)]]*BNW[[#This Row],[Qty
(Set)]]</f>
        <v>242.76000000000002</v>
      </c>
      <c r="K332" s="1">
        <f>SUMIF(DATA_MASTER[NO. PON],BNW[[#This Row],[No.PON]],DATA_MASTER[Qty
(Unit)])</f>
        <v>1</v>
      </c>
      <c r="L332" s="16">
        <f>BNW[[#This Row],[TOTAL UNIT]]*BNW[[#This Row],[Total Berat Baut
(Kg)]]</f>
        <v>242.76000000000002</v>
      </c>
      <c r="N332"/>
      <c r="O332" s="25"/>
    </row>
    <row r="333" spans="1:15" x14ac:dyDescent="0.3">
      <c r="A333" t="s">
        <v>489</v>
      </c>
      <c r="B333" t="str">
        <f>IFERROR(VLOOKUP(A333,'DATA MASTER'!A:O,2,0)," ")</f>
        <v>Girder</v>
      </c>
      <c r="C333" t="str">
        <f>IFERROR(VLOOKUP(A333,'DATA MASTER'!A:O,4,0)," ")</f>
        <v>BG25</v>
      </c>
      <c r="D333" t="s">
        <v>82</v>
      </c>
      <c r="E333" t="s">
        <v>441</v>
      </c>
      <c r="F333" s="1">
        <v>8.8000000000000007</v>
      </c>
      <c r="G333" s="1">
        <v>17</v>
      </c>
      <c r="H333">
        <v>0.307</v>
      </c>
      <c r="I333" s="16">
        <f>BNW[[#This Row],[Berat Satuan
(Kg)]]*BNW[[#This Row],[Qty
(Set)]]</f>
        <v>5.2190000000000003</v>
      </c>
      <c r="K333" s="1">
        <f>SUMIF(DATA_MASTER[NO. PON],BNW[[#This Row],[No.PON]],DATA_MASTER[Qty
(Unit)])</f>
        <v>1</v>
      </c>
      <c r="L333" s="16">
        <f>BNW[[#This Row],[TOTAL UNIT]]*BNW[[#This Row],[Total Berat Baut
(Kg)]]</f>
        <v>5.2190000000000003</v>
      </c>
      <c r="N333"/>
      <c r="O333" s="25"/>
    </row>
    <row r="334" spans="1:15" x14ac:dyDescent="0.3">
      <c r="A334" t="s">
        <v>489</v>
      </c>
      <c r="B334" t="str">
        <f>IFERROR(VLOOKUP(A334,'DATA MASTER'!A:O,2,0)," ")</f>
        <v>Girder</v>
      </c>
      <c r="C334" t="str">
        <f>IFERROR(VLOOKUP(A334,'DATA MASTER'!A:O,4,0)," ")</f>
        <v>BG25</v>
      </c>
      <c r="D334" t="s">
        <v>202</v>
      </c>
      <c r="E334" t="s">
        <v>106</v>
      </c>
      <c r="F334" s="1">
        <v>8.8000000000000007</v>
      </c>
      <c r="G334" s="1">
        <v>17</v>
      </c>
      <c r="H334">
        <v>0.15400000000000003</v>
      </c>
      <c r="I334" s="16">
        <f>BNW[[#This Row],[Berat Satuan
(Kg)]]*BNW[[#This Row],[Qty
(Set)]]</f>
        <v>2.6180000000000003</v>
      </c>
      <c r="K334" s="1">
        <f>SUMIF(DATA_MASTER[NO. PON],BNW[[#This Row],[No.PON]],DATA_MASTER[Qty
(Unit)])</f>
        <v>1</v>
      </c>
      <c r="L334" s="16">
        <f>BNW[[#This Row],[TOTAL UNIT]]*BNW[[#This Row],[Total Berat Baut
(Kg)]]</f>
        <v>2.6180000000000003</v>
      </c>
      <c r="N334"/>
      <c r="O334" s="25"/>
    </row>
    <row r="335" spans="1:15" x14ac:dyDescent="0.3">
      <c r="A335" t="s">
        <v>489</v>
      </c>
      <c r="B335" t="str">
        <f>IFERROR(VLOOKUP(A335,'DATA MASTER'!A:O,2,0)," ")</f>
        <v>Girder</v>
      </c>
      <c r="C335" t="str">
        <f>IFERROR(VLOOKUP(A335,'DATA MASTER'!A:O,4,0)," ")</f>
        <v>BG25</v>
      </c>
      <c r="D335" t="s">
        <v>88</v>
      </c>
      <c r="E335" t="s">
        <v>106</v>
      </c>
      <c r="F335" s="1">
        <v>8.8000000000000007</v>
      </c>
      <c r="G335" s="1">
        <v>182</v>
      </c>
      <c r="H335">
        <v>0.13600000000000001</v>
      </c>
      <c r="I335" s="16">
        <f>BNW[[#This Row],[Berat Satuan
(Kg)]]*BNW[[#This Row],[Qty
(Set)]]</f>
        <v>24.752000000000002</v>
      </c>
      <c r="K335" s="1">
        <f>SUMIF(DATA_MASTER[NO. PON],BNW[[#This Row],[No.PON]],DATA_MASTER[Qty
(Unit)])</f>
        <v>1</v>
      </c>
      <c r="L335" s="16">
        <f>BNW[[#This Row],[TOTAL UNIT]]*BNW[[#This Row],[Total Berat Baut
(Kg)]]</f>
        <v>24.752000000000002</v>
      </c>
      <c r="N335"/>
      <c r="O335" s="25"/>
    </row>
    <row r="336" spans="1:15" x14ac:dyDescent="0.3">
      <c r="A336" t="s">
        <v>489</v>
      </c>
      <c r="B336" t="str">
        <f>IFERROR(VLOOKUP(A336,'DATA MASTER'!A:O,2,0)," ")</f>
        <v>Girder</v>
      </c>
      <c r="C336" t="str">
        <f>IFERROR(VLOOKUP(A336,'DATA MASTER'!A:O,4,0)," ")</f>
        <v>BG25</v>
      </c>
      <c r="D336" t="s">
        <v>83</v>
      </c>
      <c r="E336" t="s">
        <v>106</v>
      </c>
      <c r="F336" s="1">
        <v>8.8000000000000007</v>
      </c>
      <c r="G336" s="1">
        <v>9</v>
      </c>
      <c r="H336">
        <v>8.1000000000000003E-2</v>
      </c>
      <c r="I336" s="16">
        <f>BNW[[#This Row],[Berat Satuan
(Kg)]]*BNW[[#This Row],[Qty
(Set)]]</f>
        <v>0.72899999999999998</v>
      </c>
      <c r="K336" s="1">
        <f>SUMIF(DATA_MASTER[NO. PON],BNW[[#This Row],[No.PON]],DATA_MASTER[Qty
(Unit)])</f>
        <v>1</v>
      </c>
      <c r="L336" s="16">
        <f>BNW[[#This Row],[TOTAL UNIT]]*BNW[[#This Row],[Total Berat Baut
(Kg)]]</f>
        <v>0.72899999999999998</v>
      </c>
      <c r="N336"/>
      <c r="O336" s="25"/>
    </row>
    <row r="337" spans="1:15" x14ac:dyDescent="0.3">
      <c r="A337" t="s">
        <v>489</v>
      </c>
      <c r="B337" t="str">
        <f>IFERROR(VLOOKUP(A337,'DATA MASTER'!A:O,2,0)," ")</f>
        <v>Girder</v>
      </c>
      <c r="C337" t="str">
        <f>IFERROR(VLOOKUP(A337,'DATA MASTER'!A:O,4,0)," ")</f>
        <v>BG25</v>
      </c>
      <c r="D337" t="s">
        <v>89</v>
      </c>
      <c r="E337" t="s">
        <v>106</v>
      </c>
      <c r="F337" s="1">
        <v>8.8000000000000007</v>
      </c>
      <c r="G337" s="1">
        <v>495</v>
      </c>
      <c r="H337">
        <v>6.8000000000000005E-2</v>
      </c>
      <c r="I337" s="16">
        <f>BNW[[#This Row],[Berat Satuan
(Kg)]]*BNW[[#This Row],[Qty
(Set)]]</f>
        <v>33.660000000000004</v>
      </c>
      <c r="K337" s="1">
        <f>SUMIF(DATA_MASTER[NO. PON],BNW[[#This Row],[No.PON]],DATA_MASTER[Qty
(Unit)])</f>
        <v>1</v>
      </c>
      <c r="L337" s="16">
        <f>BNW[[#This Row],[TOTAL UNIT]]*BNW[[#This Row],[Total Berat Baut
(Kg)]]</f>
        <v>33.660000000000004</v>
      </c>
      <c r="N337"/>
      <c r="O337" s="25"/>
    </row>
    <row r="338" spans="1:15" x14ac:dyDescent="0.3">
      <c r="A338" t="s">
        <v>504</v>
      </c>
      <c r="B338" t="str">
        <f>IFERROR(VLOOKUP(A338,'DATA MASTER'!A:O,2,0)," ")</f>
        <v>Girder</v>
      </c>
      <c r="C338" t="str">
        <f>IFERROR(VLOOKUP(A338,'DATA MASTER'!A:O,4,0)," ")</f>
        <v>BG25</v>
      </c>
      <c r="D338" t="s">
        <v>282</v>
      </c>
      <c r="E338" t="s">
        <v>441</v>
      </c>
      <c r="F338" s="1">
        <v>8.8000000000000007</v>
      </c>
      <c r="G338" s="1">
        <v>433</v>
      </c>
      <c r="H338">
        <v>0.33400000000000002</v>
      </c>
      <c r="I338" s="16">
        <f>BNW[[#This Row],[Berat Satuan
(Kg)]]*BNW[[#This Row],[Qty
(Set)]]</f>
        <v>144.62200000000001</v>
      </c>
      <c r="K338" s="1">
        <f>SUMIF(DATA_MASTER[NO. PON],BNW[[#This Row],[No.PON]],DATA_MASTER[Qty
(Unit)])</f>
        <v>1</v>
      </c>
      <c r="L338" s="16">
        <f>BNW[[#This Row],[TOTAL UNIT]]*BNW[[#This Row],[Total Berat Baut
(Kg)]]</f>
        <v>144.62200000000001</v>
      </c>
      <c r="N338"/>
      <c r="O338" s="25"/>
    </row>
    <row r="339" spans="1:15" x14ac:dyDescent="0.3">
      <c r="A339" t="s">
        <v>504</v>
      </c>
      <c r="B339" t="str">
        <f>IFERROR(VLOOKUP(A339,'DATA MASTER'!A:O,2,0)," ")</f>
        <v>Girder</v>
      </c>
      <c r="C339" t="str">
        <f>IFERROR(VLOOKUP(A339,'DATA MASTER'!A:O,4,0)," ")</f>
        <v>BG25</v>
      </c>
      <c r="D339" t="s">
        <v>86</v>
      </c>
      <c r="E339" t="s">
        <v>441</v>
      </c>
      <c r="F339" s="1">
        <v>8.8000000000000007</v>
      </c>
      <c r="G339" s="1">
        <v>433</v>
      </c>
      <c r="H339">
        <v>0.30400000000000005</v>
      </c>
      <c r="I339" s="16">
        <f>BNW[[#This Row],[Berat Satuan
(Kg)]]*BNW[[#This Row],[Qty
(Set)]]</f>
        <v>131.63200000000003</v>
      </c>
      <c r="K339" s="1">
        <f>SUMIF(DATA_MASTER[NO. PON],BNW[[#This Row],[No.PON]],DATA_MASTER[Qty
(Unit)])</f>
        <v>1</v>
      </c>
      <c r="L339" s="16">
        <f>BNW[[#This Row],[TOTAL UNIT]]*BNW[[#This Row],[Total Berat Baut
(Kg)]]</f>
        <v>131.63200000000003</v>
      </c>
      <c r="N339"/>
      <c r="O339" s="25"/>
    </row>
    <row r="340" spans="1:15" x14ac:dyDescent="0.3">
      <c r="A340" t="s">
        <v>504</v>
      </c>
      <c r="B340" t="str">
        <f>IFERROR(VLOOKUP(A340,'DATA MASTER'!A:O,2,0)," ")</f>
        <v>Girder</v>
      </c>
      <c r="C340" t="str">
        <f>IFERROR(VLOOKUP(A340,'DATA MASTER'!A:O,4,0)," ")</f>
        <v>BG25</v>
      </c>
      <c r="D340" t="s">
        <v>283</v>
      </c>
      <c r="E340" t="s">
        <v>441</v>
      </c>
      <c r="F340" s="1">
        <v>8.8000000000000007</v>
      </c>
      <c r="G340" s="1">
        <v>454</v>
      </c>
      <c r="H340">
        <v>0.29400000000000004</v>
      </c>
      <c r="I340" s="16">
        <f>BNW[[#This Row],[Berat Satuan
(Kg)]]*BNW[[#This Row],[Qty
(Set)]]</f>
        <v>133.47600000000003</v>
      </c>
      <c r="K340" s="1">
        <f>SUMIF(DATA_MASTER[NO. PON],BNW[[#This Row],[No.PON]],DATA_MASTER[Qty
(Unit)])</f>
        <v>1</v>
      </c>
      <c r="L340" s="16">
        <f>BNW[[#This Row],[TOTAL UNIT]]*BNW[[#This Row],[Total Berat Baut
(Kg)]]</f>
        <v>133.47600000000003</v>
      </c>
      <c r="N340"/>
      <c r="O340" s="25"/>
    </row>
    <row r="341" spans="1:15" x14ac:dyDescent="0.3">
      <c r="A341" t="s">
        <v>504</v>
      </c>
      <c r="B341" t="str">
        <f>IFERROR(VLOOKUP(A341,'DATA MASTER'!A:O,2,0)," ")</f>
        <v>Girder</v>
      </c>
      <c r="C341" t="str">
        <f>IFERROR(VLOOKUP(A341,'DATA MASTER'!A:O,4,0)," ")</f>
        <v>BG25</v>
      </c>
      <c r="D341" t="s">
        <v>202</v>
      </c>
      <c r="E341" t="s">
        <v>106</v>
      </c>
      <c r="F341" s="1">
        <v>8.8000000000000007</v>
      </c>
      <c r="G341" s="1">
        <v>17</v>
      </c>
      <c r="H341">
        <v>0.15400000000000003</v>
      </c>
      <c r="I341" s="16">
        <f>BNW[[#This Row],[Berat Satuan
(Kg)]]*BNW[[#This Row],[Qty
(Set)]]</f>
        <v>2.6180000000000003</v>
      </c>
      <c r="K341" s="1">
        <f>SUMIF(DATA_MASTER[NO. PON],BNW[[#This Row],[No.PON]],DATA_MASTER[Qty
(Unit)])</f>
        <v>1</v>
      </c>
      <c r="L341" s="16">
        <f>BNW[[#This Row],[TOTAL UNIT]]*BNW[[#This Row],[Total Berat Baut
(Kg)]]</f>
        <v>2.6180000000000003</v>
      </c>
      <c r="N341"/>
      <c r="O341" s="25"/>
    </row>
    <row r="342" spans="1:15" x14ac:dyDescent="0.3">
      <c r="A342" t="s">
        <v>504</v>
      </c>
      <c r="B342" t="str">
        <f>IFERROR(VLOOKUP(A342,'DATA MASTER'!A:O,2,0)," ")</f>
        <v>Girder</v>
      </c>
      <c r="C342" t="str">
        <f>IFERROR(VLOOKUP(A342,'DATA MASTER'!A:O,4,0)," ")</f>
        <v>BG25</v>
      </c>
      <c r="D342" t="s">
        <v>87</v>
      </c>
      <c r="E342" t="s">
        <v>106</v>
      </c>
      <c r="F342" s="1">
        <v>8.8000000000000007</v>
      </c>
      <c r="G342" s="1">
        <v>9</v>
      </c>
      <c r="H342">
        <v>0.14900000000000002</v>
      </c>
      <c r="I342" s="16">
        <f>BNW[[#This Row],[Berat Satuan
(Kg)]]*BNW[[#This Row],[Qty
(Set)]]</f>
        <v>1.3410000000000002</v>
      </c>
      <c r="K342" s="1">
        <f>SUMIF(DATA_MASTER[NO. PON],BNW[[#This Row],[No.PON]],DATA_MASTER[Qty
(Unit)])</f>
        <v>1</v>
      </c>
      <c r="L342" s="16">
        <f>BNW[[#This Row],[TOTAL UNIT]]*BNW[[#This Row],[Total Berat Baut
(Kg)]]</f>
        <v>1.3410000000000002</v>
      </c>
      <c r="N342"/>
      <c r="O342" s="25"/>
    </row>
    <row r="343" spans="1:15" x14ac:dyDescent="0.3">
      <c r="A343" t="s">
        <v>504</v>
      </c>
      <c r="B343" t="str">
        <f>IFERROR(VLOOKUP(A343,'DATA MASTER'!A:O,2,0)," ")</f>
        <v>Girder</v>
      </c>
      <c r="C343" t="str">
        <f>IFERROR(VLOOKUP(A343,'DATA MASTER'!A:O,4,0)," ")</f>
        <v>BG25</v>
      </c>
      <c r="D343" t="s">
        <v>88</v>
      </c>
      <c r="E343" t="s">
        <v>106</v>
      </c>
      <c r="F343" s="1">
        <v>8.8000000000000007</v>
      </c>
      <c r="G343" s="1">
        <v>190</v>
      </c>
      <c r="H343">
        <v>0.13600000000000001</v>
      </c>
      <c r="I343" s="16">
        <f>BNW[[#This Row],[Berat Satuan
(Kg)]]*BNW[[#This Row],[Qty
(Set)]]</f>
        <v>25.840000000000003</v>
      </c>
      <c r="K343" s="1">
        <f>SUMIF(DATA_MASTER[NO. PON],BNW[[#This Row],[No.PON]],DATA_MASTER[Qty
(Unit)])</f>
        <v>1</v>
      </c>
      <c r="L343" s="16">
        <f>BNW[[#This Row],[TOTAL UNIT]]*BNW[[#This Row],[Total Berat Baut
(Kg)]]</f>
        <v>25.840000000000003</v>
      </c>
      <c r="N343"/>
      <c r="O343" s="25"/>
    </row>
    <row r="344" spans="1:15" x14ac:dyDescent="0.3">
      <c r="A344" t="s">
        <v>504</v>
      </c>
      <c r="B344" t="str">
        <f>IFERROR(VLOOKUP(A344,'DATA MASTER'!A:O,2,0)," ")</f>
        <v>Girder</v>
      </c>
      <c r="C344" t="str">
        <f>IFERROR(VLOOKUP(A344,'DATA MASTER'!A:O,4,0)," ")</f>
        <v>BG25</v>
      </c>
      <c r="D344" t="s">
        <v>83</v>
      </c>
      <c r="E344" t="s">
        <v>106</v>
      </c>
      <c r="F344" s="1">
        <v>8.8000000000000007</v>
      </c>
      <c r="G344" s="1">
        <v>9</v>
      </c>
      <c r="H344">
        <v>8.1000000000000003E-2</v>
      </c>
      <c r="I344" s="16">
        <f>BNW[[#This Row],[Berat Satuan
(Kg)]]*BNW[[#This Row],[Qty
(Set)]]</f>
        <v>0.72899999999999998</v>
      </c>
      <c r="K344" s="1">
        <f>SUMIF(DATA_MASTER[NO. PON],BNW[[#This Row],[No.PON]],DATA_MASTER[Qty
(Unit)])</f>
        <v>1</v>
      </c>
      <c r="L344" s="16">
        <f>BNW[[#This Row],[TOTAL UNIT]]*BNW[[#This Row],[Total Berat Baut
(Kg)]]</f>
        <v>0.72899999999999998</v>
      </c>
      <c r="N344"/>
      <c r="O344" s="25"/>
    </row>
    <row r="345" spans="1:15" x14ac:dyDescent="0.3">
      <c r="A345" t="s">
        <v>504</v>
      </c>
      <c r="B345" t="str">
        <f>IFERROR(VLOOKUP(A345,'DATA MASTER'!A:O,2,0)," ")</f>
        <v>Girder</v>
      </c>
      <c r="C345" t="str">
        <f>IFERROR(VLOOKUP(A345,'DATA MASTER'!A:O,4,0)," ")</f>
        <v>BG25</v>
      </c>
      <c r="D345" t="s">
        <v>89</v>
      </c>
      <c r="E345" t="s">
        <v>106</v>
      </c>
      <c r="F345" s="1">
        <v>8.8000000000000007</v>
      </c>
      <c r="G345" s="1">
        <v>515</v>
      </c>
      <c r="H345">
        <v>6.8000000000000005E-2</v>
      </c>
      <c r="I345" s="16">
        <f>BNW[[#This Row],[Berat Satuan
(Kg)]]*BNW[[#This Row],[Qty
(Set)]]</f>
        <v>35.020000000000003</v>
      </c>
      <c r="K345" s="1">
        <f>SUMIF(DATA_MASTER[NO. PON],BNW[[#This Row],[No.PON]],DATA_MASTER[Qty
(Unit)])</f>
        <v>1</v>
      </c>
      <c r="L345" s="16">
        <f>BNW[[#This Row],[TOTAL UNIT]]*BNW[[#This Row],[Total Berat Baut
(Kg)]]</f>
        <v>35.020000000000003</v>
      </c>
      <c r="N345"/>
      <c r="O345" s="25"/>
    </row>
    <row r="346" spans="1:15" x14ac:dyDescent="0.3">
      <c r="A346" t="s">
        <v>514</v>
      </c>
      <c r="B346" t="str">
        <f>IFERROR(VLOOKUP(A346,'DATA MASTER'!A:O,2,0)," ")</f>
        <v>Girder</v>
      </c>
      <c r="C346" t="str">
        <f>IFERROR(VLOOKUP(A346,'DATA MASTER'!A:O,4,0)," ")</f>
        <v>BG30</v>
      </c>
      <c r="D346" t="s">
        <v>584</v>
      </c>
      <c r="E346" t="s">
        <v>441</v>
      </c>
      <c r="F346" s="1">
        <v>8.8000000000000007</v>
      </c>
      <c r="G346" s="1">
        <v>1236</v>
      </c>
      <c r="H346">
        <v>0.79199999999999993</v>
      </c>
      <c r="I346" s="16">
        <f>BNW[[#This Row],[Berat Satuan
(Kg)]]*BNW[[#This Row],[Qty
(Set)]]</f>
        <v>978.91199999999992</v>
      </c>
      <c r="K346" s="1">
        <f>SUMIF(DATA_MASTER[NO. PON],BNW[[#This Row],[No.PON]],DATA_MASTER[Qty
(Unit)])</f>
        <v>1</v>
      </c>
      <c r="L346" s="16">
        <f>BNW[[#This Row],[TOTAL UNIT]]*BNW[[#This Row],[Total Berat Baut
(Kg)]]</f>
        <v>978.91199999999992</v>
      </c>
      <c r="N346"/>
      <c r="O346" s="25"/>
    </row>
    <row r="347" spans="1:15" x14ac:dyDescent="0.3">
      <c r="A347" t="s">
        <v>514</v>
      </c>
      <c r="B347" t="str">
        <f>IFERROR(VLOOKUP(A347,'DATA MASTER'!A:O,2,0)," ")</f>
        <v>Girder</v>
      </c>
      <c r="C347" t="str">
        <f>IFERROR(VLOOKUP(A347,'DATA MASTER'!A:O,4,0)," ")</f>
        <v>BG30</v>
      </c>
      <c r="D347" t="s">
        <v>77</v>
      </c>
      <c r="E347" t="s">
        <v>441</v>
      </c>
      <c r="F347" s="1">
        <v>8.8000000000000007</v>
      </c>
      <c r="G347" s="1">
        <v>742</v>
      </c>
      <c r="H347">
        <v>0.72199999999999998</v>
      </c>
      <c r="I347" s="16">
        <f>BNW[[#This Row],[Berat Satuan
(Kg)]]*BNW[[#This Row],[Qty
(Set)]]</f>
        <v>535.72399999999993</v>
      </c>
      <c r="K347" s="1">
        <f>SUMIF(DATA_MASTER[NO. PON],BNW[[#This Row],[No.PON]],DATA_MASTER[Qty
(Unit)])</f>
        <v>1</v>
      </c>
      <c r="L347" s="16">
        <f>BNW[[#This Row],[TOTAL UNIT]]*BNW[[#This Row],[Total Berat Baut
(Kg)]]</f>
        <v>535.72399999999993</v>
      </c>
      <c r="N347"/>
      <c r="O347" s="25"/>
    </row>
    <row r="348" spans="1:15" x14ac:dyDescent="0.3">
      <c r="A348" t="s">
        <v>514</v>
      </c>
      <c r="B348" t="str">
        <f>IFERROR(VLOOKUP(A348,'DATA MASTER'!A:O,2,0)," ")</f>
        <v>Girder</v>
      </c>
      <c r="C348" t="str">
        <f>IFERROR(VLOOKUP(A348,'DATA MASTER'!A:O,4,0)," ")</f>
        <v>BG30</v>
      </c>
      <c r="D348" t="s">
        <v>78</v>
      </c>
      <c r="E348" t="s">
        <v>441</v>
      </c>
      <c r="F348" s="1">
        <v>8.8000000000000007</v>
      </c>
      <c r="G348" s="1">
        <v>1236</v>
      </c>
      <c r="H348">
        <v>0.68199999999999994</v>
      </c>
      <c r="I348" s="16">
        <f>BNW[[#This Row],[Berat Satuan
(Kg)]]*BNW[[#This Row],[Qty
(Set)]]</f>
        <v>842.95199999999988</v>
      </c>
      <c r="K348" s="1">
        <f>SUMIF(DATA_MASTER[NO. PON],BNW[[#This Row],[No.PON]],DATA_MASTER[Qty
(Unit)])</f>
        <v>1</v>
      </c>
      <c r="L348" s="16">
        <f>BNW[[#This Row],[TOTAL UNIT]]*BNW[[#This Row],[Total Berat Baut
(Kg)]]</f>
        <v>842.95199999999988</v>
      </c>
      <c r="N348"/>
      <c r="O348" s="25"/>
    </row>
    <row r="349" spans="1:15" x14ac:dyDescent="0.3">
      <c r="A349" t="s">
        <v>514</v>
      </c>
      <c r="B349" t="str">
        <f>IFERROR(VLOOKUP(A349,'DATA MASTER'!A:O,2,0)," ")</f>
        <v>Girder</v>
      </c>
      <c r="C349" t="str">
        <f>IFERROR(VLOOKUP(A349,'DATA MASTER'!A:O,4,0)," ")</f>
        <v>BG30</v>
      </c>
      <c r="D349" t="s">
        <v>80</v>
      </c>
      <c r="E349" t="s">
        <v>106</v>
      </c>
      <c r="F349" s="1">
        <v>8.8000000000000007</v>
      </c>
      <c r="G349" s="1">
        <v>338</v>
      </c>
      <c r="H349">
        <v>0.27400000000000002</v>
      </c>
      <c r="I349" s="16">
        <f>BNW[[#This Row],[Berat Satuan
(Kg)]]*BNW[[#This Row],[Qty
(Set)]]</f>
        <v>92.612000000000009</v>
      </c>
      <c r="K349" s="1">
        <f>SUMIF(DATA_MASTER[NO. PON],BNW[[#This Row],[No.PON]],DATA_MASTER[Qty
(Unit)])</f>
        <v>1</v>
      </c>
      <c r="L349" s="16">
        <f>BNW[[#This Row],[TOTAL UNIT]]*BNW[[#This Row],[Total Berat Baut
(Kg)]]</f>
        <v>92.612000000000009</v>
      </c>
      <c r="N349"/>
      <c r="O349" s="25"/>
    </row>
    <row r="350" spans="1:15" x14ac:dyDescent="0.3">
      <c r="A350" t="s">
        <v>514</v>
      </c>
      <c r="B350" t="str">
        <f>IFERROR(VLOOKUP(A350,'DATA MASTER'!A:O,2,0)," ")</f>
        <v>Girder</v>
      </c>
      <c r="C350" t="str">
        <f>IFERROR(VLOOKUP(A350,'DATA MASTER'!A:O,4,0)," ")</f>
        <v>BG30</v>
      </c>
      <c r="D350" t="s">
        <v>83</v>
      </c>
      <c r="E350" t="s">
        <v>106</v>
      </c>
      <c r="F350" s="1">
        <v>8.8000000000000007</v>
      </c>
      <c r="G350" s="1">
        <v>9</v>
      </c>
      <c r="H350">
        <v>8.1000000000000003E-2</v>
      </c>
      <c r="I350" s="16">
        <f>BNW[[#This Row],[Berat Satuan
(Kg)]]*BNW[[#This Row],[Qty
(Set)]]</f>
        <v>0.72899999999999998</v>
      </c>
      <c r="K350" s="1">
        <f>SUMIF(DATA_MASTER[NO. PON],BNW[[#This Row],[No.PON]],DATA_MASTER[Qty
(Unit)])</f>
        <v>1</v>
      </c>
      <c r="L350" s="16">
        <f>BNW[[#This Row],[TOTAL UNIT]]*BNW[[#This Row],[Total Berat Baut
(Kg)]]</f>
        <v>0.72899999999999998</v>
      </c>
      <c r="N350"/>
      <c r="O350" s="25"/>
    </row>
    <row r="351" spans="1:15" x14ac:dyDescent="0.3">
      <c r="A351" t="s">
        <v>518</v>
      </c>
      <c r="B351" t="str">
        <f>IFERROR(VLOOKUP(A351,'DATA MASTER'!A:O,2,0)," ")</f>
        <v>Girder</v>
      </c>
      <c r="C351" t="str">
        <f>IFERROR(VLOOKUP(A351,'DATA MASTER'!A:O,4,0)," ")</f>
        <v>CG30</v>
      </c>
      <c r="D351" t="s">
        <v>543</v>
      </c>
      <c r="E351" t="s">
        <v>441</v>
      </c>
      <c r="F351" s="1">
        <v>8.8000000000000007</v>
      </c>
      <c r="G351" s="1">
        <v>528</v>
      </c>
      <c r="H351">
        <v>0.53</v>
      </c>
      <c r="I351" s="16">
        <f>BNW[[#This Row],[Berat Satuan
(Kg)]]*BNW[[#This Row],[Qty
(Set)]]</f>
        <v>279.84000000000003</v>
      </c>
      <c r="K351" s="1">
        <f>SUMIF(DATA_MASTER[NO. PON],BNW[[#This Row],[No.PON]],DATA_MASTER[Qty
(Unit)])</f>
        <v>1</v>
      </c>
      <c r="L351" s="16">
        <f>BNW[[#This Row],[TOTAL UNIT]]*BNW[[#This Row],[Total Berat Baut
(Kg)]]</f>
        <v>279.84000000000003</v>
      </c>
      <c r="N351"/>
      <c r="O351" s="25"/>
    </row>
    <row r="352" spans="1:15" x14ac:dyDescent="0.3">
      <c r="A352" t="s">
        <v>518</v>
      </c>
      <c r="B352" t="str">
        <f>IFERROR(VLOOKUP(A352,'DATA MASTER'!A:O,2,0)," ")</f>
        <v>Girder</v>
      </c>
      <c r="C352" t="str">
        <f>IFERROR(VLOOKUP(A352,'DATA MASTER'!A:O,4,0)," ")</f>
        <v>CG30</v>
      </c>
      <c r="D352" t="s">
        <v>544</v>
      </c>
      <c r="E352" t="s">
        <v>441</v>
      </c>
      <c r="F352" s="1">
        <v>8.8000000000000007</v>
      </c>
      <c r="G352" s="1">
        <v>429</v>
      </c>
      <c r="H352">
        <v>0.46000000000000008</v>
      </c>
      <c r="I352" s="16">
        <f>BNW[[#This Row],[Berat Satuan
(Kg)]]*BNW[[#This Row],[Qty
(Set)]]</f>
        <v>197.34000000000003</v>
      </c>
      <c r="K352" s="1">
        <f>SUMIF(DATA_MASTER[NO. PON],BNW[[#This Row],[No.PON]],DATA_MASTER[Qty
(Unit)])</f>
        <v>1</v>
      </c>
      <c r="L352" s="16">
        <f>BNW[[#This Row],[TOTAL UNIT]]*BNW[[#This Row],[Total Berat Baut
(Kg)]]</f>
        <v>197.34000000000003</v>
      </c>
      <c r="N352"/>
      <c r="O352" s="25"/>
    </row>
    <row r="353" spans="1:15" x14ac:dyDescent="0.3">
      <c r="A353" t="s">
        <v>518</v>
      </c>
      <c r="B353" t="str">
        <f>IFERROR(VLOOKUP(A353,'DATA MASTER'!A:O,2,0)," ")</f>
        <v>Girder</v>
      </c>
      <c r="C353" t="str">
        <f>IFERROR(VLOOKUP(A353,'DATA MASTER'!A:O,4,0)," ")</f>
        <v>CG30</v>
      </c>
      <c r="D353" t="s">
        <v>545</v>
      </c>
      <c r="E353" t="s">
        <v>106</v>
      </c>
      <c r="F353" s="1">
        <v>8.8000000000000007</v>
      </c>
      <c r="G353" s="1">
        <v>17</v>
      </c>
      <c r="H353">
        <v>0.27400000000000002</v>
      </c>
      <c r="I353" s="16">
        <f>BNW[[#This Row],[Berat Satuan
(Kg)]]*BNW[[#This Row],[Qty
(Set)]]</f>
        <v>4.6580000000000004</v>
      </c>
      <c r="K353" s="1">
        <f>SUMIF(DATA_MASTER[NO. PON],BNW[[#This Row],[No.PON]],DATA_MASTER[Qty
(Unit)])</f>
        <v>1</v>
      </c>
      <c r="L353" s="16">
        <f>BNW[[#This Row],[TOTAL UNIT]]*BNW[[#This Row],[Total Berat Baut
(Kg)]]</f>
        <v>4.6580000000000004</v>
      </c>
      <c r="N353"/>
      <c r="O353" s="25"/>
    </row>
    <row r="354" spans="1:15" x14ac:dyDescent="0.3">
      <c r="A354" t="s">
        <v>518</v>
      </c>
      <c r="B354" t="str">
        <f>IFERROR(VLOOKUP(A354,'DATA MASTER'!A:O,2,0)," ")</f>
        <v>Girder</v>
      </c>
      <c r="C354" t="str">
        <f>IFERROR(VLOOKUP(A354,'DATA MASTER'!A:O,4,0)," ")</f>
        <v>CG30</v>
      </c>
      <c r="D354" t="s">
        <v>546</v>
      </c>
      <c r="E354" t="s">
        <v>106</v>
      </c>
      <c r="F354" s="1">
        <v>8.8000000000000007</v>
      </c>
      <c r="G354" s="1">
        <v>17</v>
      </c>
      <c r="H354">
        <v>0.26400000000000001</v>
      </c>
      <c r="I354" s="16">
        <f>BNW[[#This Row],[Berat Satuan
(Kg)]]*BNW[[#This Row],[Qty
(Set)]]</f>
        <v>4.4880000000000004</v>
      </c>
      <c r="K354" s="1">
        <f>SUMIF(DATA_MASTER[NO. PON],BNW[[#This Row],[No.PON]],DATA_MASTER[Qty
(Unit)])</f>
        <v>1</v>
      </c>
      <c r="L354" s="16">
        <f>BNW[[#This Row],[TOTAL UNIT]]*BNW[[#This Row],[Total Berat Baut
(Kg)]]</f>
        <v>4.4880000000000004</v>
      </c>
      <c r="N354"/>
      <c r="O354" s="25"/>
    </row>
    <row r="355" spans="1:15" x14ac:dyDescent="0.3">
      <c r="A355" t="s">
        <v>518</v>
      </c>
      <c r="B355" t="str">
        <f>IFERROR(VLOOKUP(A355,'DATA MASTER'!A:O,2,0)," ")</f>
        <v>Girder</v>
      </c>
      <c r="C355" t="str">
        <f>IFERROR(VLOOKUP(A355,'DATA MASTER'!A:O,4,0)," ")</f>
        <v>CG30</v>
      </c>
      <c r="D355" t="s">
        <v>547</v>
      </c>
      <c r="E355" t="s">
        <v>106</v>
      </c>
      <c r="F355" s="1">
        <v>8.8000000000000007</v>
      </c>
      <c r="G355" s="1">
        <v>157</v>
      </c>
      <c r="H355">
        <v>0.254</v>
      </c>
      <c r="I355" s="16">
        <f>BNW[[#This Row],[Berat Satuan
(Kg)]]*BNW[[#This Row],[Qty
(Set)]]</f>
        <v>39.878</v>
      </c>
      <c r="K355" s="1">
        <f>SUMIF(DATA_MASTER[NO. PON],BNW[[#This Row],[No.PON]],DATA_MASTER[Qty
(Unit)])</f>
        <v>1</v>
      </c>
      <c r="L355" s="16">
        <f>BNW[[#This Row],[TOTAL UNIT]]*BNW[[#This Row],[Total Berat Baut
(Kg)]]</f>
        <v>39.878</v>
      </c>
      <c r="N355"/>
      <c r="O355" s="25"/>
    </row>
    <row r="356" spans="1:15" x14ac:dyDescent="0.3">
      <c r="A356" t="s">
        <v>518</v>
      </c>
      <c r="B356" t="str">
        <f>IFERROR(VLOOKUP(A356,'DATA MASTER'!A:O,2,0)," ")</f>
        <v>Girder</v>
      </c>
      <c r="C356" t="str">
        <f>IFERROR(VLOOKUP(A356,'DATA MASTER'!A:O,4,0)," ")</f>
        <v>CG30</v>
      </c>
      <c r="D356" t="s">
        <v>83</v>
      </c>
      <c r="E356" t="s">
        <v>106</v>
      </c>
      <c r="F356" s="1">
        <v>8.8000000000000007</v>
      </c>
      <c r="G356" s="1">
        <v>9</v>
      </c>
      <c r="H356">
        <v>8.1000000000000003E-2</v>
      </c>
      <c r="I356" s="16">
        <f>BNW[[#This Row],[Berat Satuan
(Kg)]]*BNW[[#This Row],[Qty
(Set)]]</f>
        <v>0.72899999999999998</v>
      </c>
      <c r="K356" s="1">
        <f>SUMIF(DATA_MASTER[NO. PON],BNW[[#This Row],[No.PON]],DATA_MASTER[Qty
(Unit)])</f>
        <v>1</v>
      </c>
      <c r="L356" s="16">
        <f>BNW[[#This Row],[TOTAL UNIT]]*BNW[[#This Row],[Total Berat Baut
(Kg)]]</f>
        <v>0.72899999999999998</v>
      </c>
      <c r="N356"/>
      <c r="O356" s="25"/>
    </row>
    <row r="357" spans="1:15" x14ac:dyDescent="0.3">
      <c r="A357" t="s">
        <v>518</v>
      </c>
      <c r="B357" t="str">
        <f>IFERROR(VLOOKUP(A357,'DATA MASTER'!A:O,2,0)," ")</f>
        <v>Girder</v>
      </c>
      <c r="C357" t="str">
        <f>IFERROR(VLOOKUP(A357,'DATA MASTER'!A:O,4,0)," ")</f>
        <v>CG30</v>
      </c>
      <c r="D357" t="s">
        <v>89</v>
      </c>
      <c r="E357" t="s">
        <v>106</v>
      </c>
      <c r="F357" s="1">
        <v>8.8000000000000007</v>
      </c>
      <c r="G357" s="1">
        <v>478</v>
      </c>
      <c r="H357">
        <v>0.06</v>
      </c>
      <c r="I357" s="16">
        <f>BNW[[#This Row],[Berat Satuan
(Kg)]]*BNW[[#This Row],[Qty
(Set)]]</f>
        <v>28.68</v>
      </c>
      <c r="K357" s="1">
        <f>SUMIF(DATA_MASTER[NO. PON],BNW[[#This Row],[No.PON]],DATA_MASTER[Qty
(Unit)])</f>
        <v>1</v>
      </c>
      <c r="L357" s="16">
        <f>BNW[[#This Row],[TOTAL UNIT]]*BNW[[#This Row],[Total Berat Baut
(Kg)]]</f>
        <v>28.68</v>
      </c>
      <c r="N357"/>
      <c r="O357" s="25"/>
    </row>
    <row r="358" spans="1:15" x14ac:dyDescent="0.3">
      <c r="A358" t="s">
        <v>548</v>
      </c>
      <c r="B358" t="str">
        <f>IFERROR(VLOOKUP(A358,'DATA MASTER'!A:O,2,0)," ")</f>
        <v>Girder</v>
      </c>
      <c r="C358" t="str">
        <f>IFERROR(VLOOKUP(A358,'DATA MASTER'!A:O,4,0)," ")</f>
        <v>BG35</v>
      </c>
      <c r="D358" t="s">
        <v>624</v>
      </c>
      <c r="E358" t="s">
        <v>107</v>
      </c>
      <c r="F358" s="1" t="s">
        <v>116</v>
      </c>
      <c r="G358" s="1">
        <v>1319</v>
      </c>
      <c r="H358">
        <v>0.8670000000000001</v>
      </c>
      <c r="I358" s="16">
        <f>BNW[[#This Row],[Berat Satuan
(Kg)]]*BNW[[#This Row],[Qty
(Set)]]</f>
        <v>1143.5730000000001</v>
      </c>
      <c r="K358" s="1">
        <f>SUMIF(DATA_MASTER[NO. PON],BNW[[#This Row],[No.PON]],DATA_MASTER[Qty
(Unit)])</f>
        <v>1</v>
      </c>
      <c r="L358" s="16">
        <f>BNW[[#This Row],[TOTAL UNIT]]*BNW[[#This Row],[Total Berat Baut
(Kg)]]</f>
        <v>1143.5730000000001</v>
      </c>
      <c r="N358"/>
      <c r="O358" s="25"/>
    </row>
    <row r="359" spans="1:15" x14ac:dyDescent="0.3">
      <c r="A359" t="s">
        <v>548</v>
      </c>
      <c r="B359" t="str">
        <f>IFERROR(VLOOKUP(A359,'DATA MASTER'!A:O,2,0)," ")</f>
        <v>Girder</v>
      </c>
      <c r="C359" t="str">
        <f>IFERROR(VLOOKUP(A359,'DATA MASTER'!A:O,4,0)," ")</f>
        <v>BG35</v>
      </c>
      <c r="D359" t="s">
        <v>625</v>
      </c>
      <c r="E359" t="s">
        <v>107</v>
      </c>
      <c r="F359" s="1" t="s">
        <v>116</v>
      </c>
      <c r="G359" s="1">
        <v>1154</v>
      </c>
      <c r="H359">
        <v>0.81700000000000006</v>
      </c>
      <c r="I359" s="16">
        <f>BNW[[#This Row],[Berat Satuan
(Kg)]]*BNW[[#This Row],[Qty
(Set)]]</f>
        <v>942.8180000000001</v>
      </c>
      <c r="K359" s="1">
        <f>SUMIF(DATA_MASTER[NO. PON],BNW[[#This Row],[No.PON]],DATA_MASTER[Qty
(Unit)])</f>
        <v>1</v>
      </c>
      <c r="L359" s="16">
        <f>BNW[[#This Row],[TOTAL UNIT]]*BNW[[#This Row],[Total Berat Baut
(Kg)]]</f>
        <v>942.8180000000001</v>
      </c>
      <c r="N359"/>
      <c r="O359" s="25"/>
    </row>
    <row r="360" spans="1:15" x14ac:dyDescent="0.3">
      <c r="A360" t="s">
        <v>548</v>
      </c>
      <c r="B360" t="str">
        <f>IFERROR(VLOOKUP(A360,'DATA MASTER'!A:O,2,0)," ")</f>
        <v>Girder</v>
      </c>
      <c r="C360" t="str">
        <f>IFERROR(VLOOKUP(A360,'DATA MASTER'!A:O,4,0)," ")</f>
        <v>BG35</v>
      </c>
      <c r="D360" t="s">
        <v>474</v>
      </c>
      <c r="E360" t="s">
        <v>106</v>
      </c>
      <c r="F360" s="1" t="s">
        <v>116</v>
      </c>
      <c r="G360" s="1">
        <v>17</v>
      </c>
      <c r="H360">
        <v>0.38</v>
      </c>
      <c r="I360" s="16">
        <f>BNW[[#This Row],[Berat Satuan
(Kg)]]*BNW[[#This Row],[Qty
(Set)]]</f>
        <v>6.46</v>
      </c>
      <c r="K360" s="1">
        <f>SUMIF(DATA_MASTER[NO. PON],BNW[[#This Row],[No.PON]],DATA_MASTER[Qty
(Unit)])</f>
        <v>1</v>
      </c>
      <c r="L360" s="16">
        <f>BNW[[#This Row],[TOTAL UNIT]]*BNW[[#This Row],[Total Berat Baut
(Kg)]]</f>
        <v>6.46</v>
      </c>
      <c r="N360"/>
      <c r="O360" s="25"/>
    </row>
    <row r="361" spans="1:15" x14ac:dyDescent="0.3">
      <c r="A361" t="s">
        <v>548</v>
      </c>
      <c r="B361" t="str">
        <f>IFERROR(VLOOKUP(A361,'DATA MASTER'!A:O,2,0)," ")</f>
        <v>Girder</v>
      </c>
      <c r="C361" t="str">
        <f>IFERROR(VLOOKUP(A361,'DATA MASTER'!A:O,4,0)," ")</f>
        <v>BG35</v>
      </c>
      <c r="D361" t="s">
        <v>626</v>
      </c>
      <c r="E361" t="s">
        <v>106</v>
      </c>
      <c r="F361" s="1" t="s">
        <v>116</v>
      </c>
      <c r="G361" s="1">
        <v>264</v>
      </c>
      <c r="H361">
        <v>0.35100000000000003</v>
      </c>
      <c r="I361" s="16">
        <f>BNW[[#This Row],[Berat Satuan
(Kg)]]*BNW[[#This Row],[Qty
(Set)]]</f>
        <v>92.664000000000016</v>
      </c>
      <c r="K361" s="1">
        <f>SUMIF(DATA_MASTER[NO. PON],BNW[[#This Row],[No.PON]],DATA_MASTER[Qty
(Unit)])</f>
        <v>1</v>
      </c>
      <c r="L361" s="16">
        <f>BNW[[#This Row],[TOTAL UNIT]]*BNW[[#This Row],[Total Berat Baut
(Kg)]]</f>
        <v>92.664000000000016</v>
      </c>
      <c r="N361"/>
      <c r="O361" s="25"/>
    </row>
    <row r="362" spans="1:15" x14ac:dyDescent="0.3">
      <c r="A362" t="s">
        <v>548</v>
      </c>
      <c r="B362" t="str">
        <f>IFERROR(VLOOKUP(A362,'DATA MASTER'!A:O,2,0)," ")</f>
        <v>Girder</v>
      </c>
      <c r="C362" t="str">
        <f>IFERROR(VLOOKUP(A362,'DATA MASTER'!A:O,4,0)," ")</f>
        <v>BG35</v>
      </c>
      <c r="D362" t="s">
        <v>83</v>
      </c>
      <c r="E362" t="s">
        <v>106</v>
      </c>
      <c r="F362" s="1">
        <v>8.8000000000000007</v>
      </c>
      <c r="G362" s="1">
        <v>9</v>
      </c>
      <c r="H362">
        <v>8.1000000000000003E-2</v>
      </c>
      <c r="I362" s="16">
        <f>BNW[[#This Row],[Berat Satuan
(Kg)]]*BNW[[#This Row],[Qty
(Set)]]</f>
        <v>0.72899999999999998</v>
      </c>
      <c r="K362" s="1">
        <f>SUMIF(DATA_MASTER[NO. PON],BNW[[#This Row],[No.PON]],DATA_MASTER[Qty
(Unit)])</f>
        <v>1</v>
      </c>
      <c r="L362" s="16">
        <f>BNW[[#This Row],[TOTAL UNIT]]*BNW[[#This Row],[Total Berat Baut
(Kg)]]</f>
        <v>0.72899999999999998</v>
      </c>
      <c r="N362"/>
      <c r="O362" s="25"/>
    </row>
    <row r="363" spans="1:15" x14ac:dyDescent="0.3">
      <c r="A363" t="s">
        <v>548</v>
      </c>
      <c r="B363" t="str">
        <f>IFERROR(VLOOKUP(A363,'DATA MASTER'!A:O,2,0)," ")</f>
        <v>Girder</v>
      </c>
      <c r="C363" t="str">
        <f>IFERROR(VLOOKUP(A363,'DATA MASTER'!A:O,4,0)," ")</f>
        <v>BG35</v>
      </c>
      <c r="D363" t="s">
        <v>478</v>
      </c>
      <c r="E363" t="s">
        <v>106</v>
      </c>
      <c r="F363" s="1">
        <v>8.8000000000000007</v>
      </c>
      <c r="G363" s="1">
        <v>660</v>
      </c>
      <c r="H363">
        <v>7.2000000000000008E-2</v>
      </c>
      <c r="I363" s="16">
        <f>BNW[[#This Row],[Berat Satuan
(Kg)]]*BNW[[#This Row],[Qty
(Set)]]</f>
        <v>47.52</v>
      </c>
      <c r="K363" s="1">
        <f>SUMIF(DATA_MASTER[NO. PON],BNW[[#This Row],[No.PON]],DATA_MASTER[Qty
(Unit)])</f>
        <v>1</v>
      </c>
      <c r="L363" s="16">
        <f>BNW[[#This Row],[TOTAL UNIT]]*BNW[[#This Row],[Total Berat Baut
(Kg)]]</f>
        <v>47.52</v>
      </c>
      <c r="N363"/>
      <c r="O363" s="25"/>
    </row>
    <row r="364" spans="1:15" x14ac:dyDescent="0.3">
      <c r="A364" t="s">
        <v>552</v>
      </c>
      <c r="B364" t="str">
        <f>IFERROR(VLOOKUP(A364,'DATA MASTER'!A:O,2,0)," ")</f>
        <v>Girder</v>
      </c>
      <c r="C364" t="str">
        <f>IFERROR(VLOOKUP(A364,'DATA MASTER'!A:O,4,0)," ")</f>
        <v>BG20</v>
      </c>
      <c r="D364" t="s">
        <v>622</v>
      </c>
      <c r="E364" t="s">
        <v>441</v>
      </c>
      <c r="F364" s="1">
        <v>8.8000000000000007</v>
      </c>
      <c r="G364" s="1">
        <v>371</v>
      </c>
      <c r="H364">
        <v>0.42699999999999999</v>
      </c>
      <c r="I364" s="16">
        <f>BNW[[#This Row],[Berat Satuan
(Kg)]]*BNW[[#This Row],[Qty
(Set)]]</f>
        <v>158.417</v>
      </c>
      <c r="K364" s="1">
        <f>SUMIF(DATA_MASTER[NO. PON],BNW[[#This Row],[No.PON]],DATA_MASTER[Qty
(Unit)])</f>
        <v>1</v>
      </c>
      <c r="L364" s="16">
        <f>BNW[[#This Row],[TOTAL UNIT]]*BNW[[#This Row],[Total Berat Baut
(Kg)]]</f>
        <v>158.417</v>
      </c>
      <c r="N364"/>
      <c r="O364" s="25"/>
    </row>
    <row r="365" spans="1:15" x14ac:dyDescent="0.3">
      <c r="A365" t="s">
        <v>552</v>
      </c>
      <c r="B365" t="str">
        <f>IFERROR(VLOOKUP(A365,'DATA MASTER'!A:O,2,0)," ")</f>
        <v>Girder</v>
      </c>
      <c r="C365" t="str">
        <f>IFERROR(VLOOKUP(A365,'DATA MASTER'!A:O,4,0)," ")</f>
        <v>BG20</v>
      </c>
      <c r="D365" t="s">
        <v>281</v>
      </c>
      <c r="E365" t="s">
        <v>441</v>
      </c>
      <c r="F365" s="1">
        <v>8.8000000000000007</v>
      </c>
      <c r="G365" s="1">
        <v>206</v>
      </c>
      <c r="H365">
        <v>0.40700000000000003</v>
      </c>
      <c r="I365" s="16">
        <f>BNW[[#This Row],[Berat Satuan
(Kg)]]*BNW[[#This Row],[Qty
(Set)]]</f>
        <v>83.842000000000013</v>
      </c>
      <c r="K365" s="1">
        <f>SUMIF(DATA_MASTER[NO. PON],BNW[[#This Row],[No.PON]],DATA_MASTER[Qty
(Unit)])</f>
        <v>1</v>
      </c>
      <c r="L365" s="16">
        <f>BNW[[#This Row],[TOTAL UNIT]]*BNW[[#This Row],[Total Berat Baut
(Kg)]]</f>
        <v>83.842000000000013</v>
      </c>
      <c r="N365"/>
      <c r="O365" s="25"/>
    </row>
    <row r="366" spans="1:15" x14ac:dyDescent="0.3">
      <c r="A366" t="s">
        <v>552</v>
      </c>
      <c r="B366" t="str">
        <f>IFERROR(VLOOKUP(A366,'DATA MASTER'!A:O,2,0)," ")</f>
        <v>Girder</v>
      </c>
      <c r="C366" t="str">
        <f>IFERROR(VLOOKUP(A366,'DATA MASTER'!A:O,4,0)," ")</f>
        <v>BG20</v>
      </c>
      <c r="D366" t="s">
        <v>86</v>
      </c>
      <c r="E366" t="s">
        <v>441</v>
      </c>
      <c r="F366" s="1">
        <v>8.8000000000000007</v>
      </c>
      <c r="G366" s="1">
        <v>412</v>
      </c>
      <c r="H366">
        <v>0.35700000000000004</v>
      </c>
      <c r="I366" s="16">
        <f>BNW[[#This Row],[Berat Satuan
(Kg)]]*BNW[[#This Row],[Qty
(Set)]]</f>
        <v>147.084</v>
      </c>
      <c r="K366" s="1">
        <f>SUMIF(DATA_MASTER[NO. PON],BNW[[#This Row],[No.PON]],DATA_MASTER[Qty
(Unit)])</f>
        <v>1</v>
      </c>
      <c r="L366" s="16">
        <f>BNW[[#This Row],[TOTAL UNIT]]*BNW[[#This Row],[Total Berat Baut
(Kg)]]</f>
        <v>147.084</v>
      </c>
      <c r="N366"/>
      <c r="O366" s="25"/>
    </row>
    <row r="367" spans="1:15" x14ac:dyDescent="0.3">
      <c r="A367" t="s">
        <v>552</v>
      </c>
      <c r="B367" t="str">
        <f>IFERROR(VLOOKUP(A367,'DATA MASTER'!A:O,2,0)," ")</f>
        <v>Girder</v>
      </c>
      <c r="C367" t="str">
        <f>IFERROR(VLOOKUP(A367,'DATA MASTER'!A:O,4,0)," ")</f>
        <v>BG20</v>
      </c>
      <c r="D367" t="s">
        <v>623</v>
      </c>
      <c r="E367" t="s">
        <v>106</v>
      </c>
      <c r="F367" s="1">
        <v>8.8000000000000007</v>
      </c>
      <c r="G367" s="1">
        <v>17</v>
      </c>
      <c r="H367">
        <v>0.159</v>
      </c>
      <c r="I367" s="16">
        <f>BNW[[#This Row],[Berat Satuan
(Kg)]]*BNW[[#This Row],[Qty
(Set)]]</f>
        <v>2.7029999999999998</v>
      </c>
      <c r="K367" s="1">
        <f>SUMIF(DATA_MASTER[NO. PON],BNW[[#This Row],[No.PON]],DATA_MASTER[Qty
(Unit)])</f>
        <v>1</v>
      </c>
      <c r="L367" s="16">
        <f>BNW[[#This Row],[TOTAL UNIT]]*BNW[[#This Row],[Total Berat Baut
(Kg)]]</f>
        <v>2.7029999999999998</v>
      </c>
      <c r="N367"/>
      <c r="O367" s="25"/>
    </row>
    <row r="368" spans="1:15" x14ac:dyDescent="0.3">
      <c r="A368" t="s">
        <v>552</v>
      </c>
      <c r="B368" t="str">
        <f>IFERROR(VLOOKUP(A368,'DATA MASTER'!A:O,2,0)," ")</f>
        <v>Girder</v>
      </c>
      <c r="C368" t="str">
        <f>IFERROR(VLOOKUP(A368,'DATA MASTER'!A:O,4,0)," ")</f>
        <v>BG20</v>
      </c>
      <c r="D368" t="s">
        <v>87</v>
      </c>
      <c r="E368" t="s">
        <v>106</v>
      </c>
      <c r="F368" s="1">
        <v>8.8000000000000007</v>
      </c>
      <c r="G368" s="1">
        <v>297</v>
      </c>
      <c r="H368">
        <v>0.14900000000000002</v>
      </c>
      <c r="I368" s="16">
        <f>BNW[[#This Row],[Berat Satuan
(Kg)]]*BNW[[#This Row],[Qty
(Set)]]</f>
        <v>44.253000000000007</v>
      </c>
      <c r="K368" s="1">
        <f>SUMIF(DATA_MASTER[NO. PON],BNW[[#This Row],[No.PON]],DATA_MASTER[Qty
(Unit)])</f>
        <v>1</v>
      </c>
      <c r="L368" s="16">
        <f>BNW[[#This Row],[TOTAL UNIT]]*BNW[[#This Row],[Total Berat Baut
(Kg)]]</f>
        <v>44.253000000000007</v>
      </c>
      <c r="N368"/>
      <c r="O368" s="25"/>
    </row>
    <row r="369" spans="1:15" x14ac:dyDescent="0.3">
      <c r="A369" t="s">
        <v>552</v>
      </c>
      <c r="B369" t="str">
        <f>IFERROR(VLOOKUP(A369,'DATA MASTER'!A:O,2,0)," ")</f>
        <v>Girder</v>
      </c>
      <c r="C369" t="str">
        <f>IFERROR(VLOOKUP(A369,'DATA MASTER'!A:O,4,0)," ")</f>
        <v>BG20</v>
      </c>
      <c r="D369" t="s">
        <v>83</v>
      </c>
      <c r="E369" t="s">
        <v>106</v>
      </c>
      <c r="F369" s="1">
        <v>8.8000000000000007</v>
      </c>
      <c r="G369" s="1">
        <v>9</v>
      </c>
      <c r="H369">
        <v>8.1000000000000003E-2</v>
      </c>
      <c r="I369" s="16">
        <f>BNW[[#This Row],[Berat Satuan
(Kg)]]*BNW[[#This Row],[Qty
(Set)]]</f>
        <v>0.72899999999999998</v>
      </c>
      <c r="K369" s="1">
        <f>SUMIF(DATA_MASTER[NO. PON],BNW[[#This Row],[No.PON]],DATA_MASTER[Qty
(Unit)])</f>
        <v>1</v>
      </c>
      <c r="L369" s="16">
        <f>BNW[[#This Row],[TOTAL UNIT]]*BNW[[#This Row],[Total Berat Baut
(Kg)]]</f>
        <v>0.72899999999999998</v>
      </c>
      <c r="N369"/>
      <c r="O369" s="25"/>
    </row>
    <row r="370" spans="1:15" x14ac:dyDescent="0.3">
      <c r="A370" t="s">
        <v>552</v>
      </c>
      <c r="B370" t="str">
        <f>IFERROR(VLOOKUP(A370,'DATA MASTER'!A:O,2,0)," ")</f>
        <v>Girder</v>
      </c>
      <c r="C370" t="str">
        <f>IFERROR(VLOOKUP(A370,'DATA MASTER'!A:O,4,0)," ")</f>
        <v>BG20</v>
      </c>
      <c r="D370" t="s">
        <v>478</v>
      </c>
      <c r="E370" t="s">
        <v>106</v>
      </c>
      <c r="F370" s="1">
        <v>8.8000000000000007</v>
      </c>
      <c r="G370" s="1">
        <v>412</v>
      </c>
      <c r="H370">
        <v>7.2000000000000008E-2</v>
      </c>
      <c r="I370" s="16">
        <f>BNW[[#This Row],[Berat Satuan
(Kg)]]*BNW[[#This Row],[Qty
(Set)]]</f>
        <v>29.664000000000005</v>
      </c>
      <c r="K370" s="1">
        <f>SUMIF(DATA_MASTER[NO. PON],BNW[[#This Row],[No.PON]],DATA_MASTER[Qty
(Unit)])</f>
        <v>1</v>
      </c>
      <c r="L370" s="16">
        <f>BNW[[#This Row],[TOTAL UNIT]]*BNW[[#This Row],[Total Berat Baut
(Kg)]]</f>
        <v>29.664000000000005</v>
      </c>
      <c r="N370"/>
      <c r="O370" s="25"/>
    </row>
    <row r="371" spans="1:15" x14ac:dyDescent="0.3">
      <c r="A371" t="s">
        <v>566</v>
      </c>
      <c r="B371" t="str">
        <f>IFERROR(VLOOKUP(A371,'DATA MASTER'!A:O,2,0)," ")</f>
        <v>Truss Modullar</v>
      </c>
      <c r="C371" t="str">
        <f>IFERROR(VLOOKUP(A371,'DATA MASTER'!A:O,4,0)," ")</f>
        <v>RB50</v>
      </c>
      <c r="D371" t="s">
        <v>281</v>
      </c>
      <c r="E371" t="s">
        <v>441</v>
      </c>
      <c r="F371" s="1">
        <v>8.8000000000000007</v>
      </c>
      <c r="G371" s="1">
        <v>252</v>
      </c>
      <c r="H371">
        <v>0.40700000000000003</v>
      </c>
      <c r="I371" s="16">
        <f>BNW[[#This Row],[Berat Satuan
(Kg)]]*BNW[[#This Row],[Qty
(Set)]]</f>
        <v>102.56400000000001</v>
      </c>
      <c r="K371" s="1">
        <f>SUMIF(DATA_MASTER[NO. PON],BNW[[#This Row],[No.PON]],DATA_MASTER[Qty
(Unit)])</f>
        <v>2</v>
      </c>
      <c r="L371" s="16">
        <f>BNW[[#This Row],[TOTAL UNIT]]*BNW[[#This Row],[Total Berat Baut
(Kg)]]</f>
        <v>205.12800000000001</v>
      </c>
      <c r="N371"/>
      <c r="O371" s="25"/>
    </row>
    <row r="372" spans="1:15" x14ac:dyDescent="0.3">
      <c r="A372" t="s">
        <v>566</v>
      </c>
      <c r="B372" t="str">
        <f>IFERROR(VLOOKUP(A372,'DATA MASTER'!A:O,2,0)," ")</f>
        <v>Truss Modullar</v>
      </c>
      <c r="C372" t="str">
        <f>IFERROR(VLOOKUP(A372,'DATA MASTER'!A:O,4,0)," ")</f>
        <v>RB50</v>
      </c>
      <c r="D372" t="s">
        <v>282</v>
      </c>
      <c r="E372" t="s">
        <v>441</v>
      </c>
      <c r="F372" s="1">
        <v>8.8000000000000007</v>
      </c>
      <c r="G372" s="1">
        <v>421</v>
      </c>
      <c r="H372">
        <v>0.38700000000000001</v>
      </c>
      <c r="I372" s="16">
        <f>BNW[[#This Row],[Berat Satuan
(Kg)]]*BNW[[#This Row],[Qty
(Set)]]</f>
        <v>162.92699999999999</v>
      </c>
      <c r="K372" s="1">
        <f>SUMIF(DATA_MASTER[NO. PON],BNW[[#This Row],[No.PON]],DATA_MASTER[Qty
(Unit)])</f>
        <v>2</v>
      </c>
      <c r="L372" s="16">
        <f>BNW[[#This Row],[TOTAL UNIT]]*BNW[[#This Row],[Total Berat Baut
(Kg)]]</f>
        <v>325.85399999999998</v>
      </c>
      <c r="N372"/>
      <c r="O372" s="25"/>
    </row>
    <row r="373" spans="1:15" x14ac:dyDescent="0.3">
      <c r="A373" t="s">
        <v>566</v>
      </c>
      <c r="B373" t="str">
        <f>IFERROR(VLOOKUP(A373,'DATA MASTER'!A:O,2,0)," ")</f>
        <v>Truss Modullar</v>
      </c>
      <c r="C373" t="str">
        <f>IFERROR(VLOOKUP(A373,'DATA MASTER'!A:O,4,0)," ")</f>
        <v>RB50</v>
      </c>
      <c r="D373" t="s">
        <v>85</v>
      </c>
      <c r="E373" t="s">
        <v>441</v>
      </c>
      <c r="F373" s="1">
        <v>8.8000000000000007</v>
      </c>
      <c r="G373" s="1">
        <v>2320</v>
      </c>
      <c r="H373">
        <v>0.36699999999999999</v>
      </c>
      <c r="I373" s="16">
        <f>BNW[[#This Row],[Berat Satuan
(Kg)]]*BNW[[#This Row],[Qty
(Set)]]</f>
        <v>851.43999999999994</v>
      </c>
      <c r="K373" s="1">
        <f>SUMIF(DATA_MASTER[NO. PON],BNW[[#This Row],[No.PON]],DATA_MASTER[Qty
(Unit)])</f>
        <v>2</v>
      </c>
      <c r="L373" s="16">
        <f>BNW[[#This Row],[TOTAL UNIT]]*BNW[[#This Row],[Total Berat Baut
(Kg)]]</f>
        <v>1702.8799999999999</v>
      </c>
      <c r="N373"/>
      <c r="O373" s="25"/>
    </row>
    <row r="374" spans="1:15" x14ac:dyDescent="0.3">
      <c r="A374" t="s">
        <v>566</v>
      </c>
      <c r="B374" t="str">
        <f>IFERROR(VLOOKUP(A374,'DATA MASTER'!A:O,2,0)," ")</f>
        <v>Truss Modullar</v>
      </c>
      <c r="C374" t="str">
        <f>IFERROR(VLOOKUP(A374,'DATA MASTER'!A:O,4,0)," ")</f>
        <v>RB50</v>
      </c>
      <c r="D374" t="s">
        <v>86</v>
      </c>
      <c r="E374" t="s">
        <v>441</v>
      </c>
      <c r="F374" s="1">
        <v>8.8000000000000007</v>
      </c>
      <c r="G374" s="1">
        <v>1459</v>
      </c>
      <c r="H374">
        <v>0.35700000000000004</v>
      </c>
      <c r="I374" s="16">
        <f>BNW[[#This Row],[Berat Satuan
(Kg)]]*BNW[[#This Row],[Qty
(Set)]]</f>
        <v>520.86300000000006</v>
      </c>
      <c r="K374" s="1">
        <f>SUMIF(DATA_MASTER[NO. PON],BNW[[#This Row],[No.PON]],DATA_MASTER[Qty
(Unit)])</f>
        <v>2</v>
      </c>
      <c r="L374" s="16">
        <f>BNW[[#This Row],[TOTAL UNIT]]*BNW[[#This Row],[Total Berat Baut
(Kg)]]</f>
        <v>1041.7260000000001</v>
      </c>
      <c r="N374"/>
      <c r="O374" s="25"/>
    </row>
    <row r="375" spans="1:15" x14ac:dyDescent="0.3">
      <c r="A375" t="s">
        <v>566</v>
      </c>
      <c r="B375" t="str">
        <f>IFERROR(VLOOKUP(A375,'DATA MASTER'!A:O,2,0)," ")</f>
        <v>Truss Modullar</v>
      </c>
      <c r="C375" t="str">
        <f>IFERROR(VLOOKUP(A375,'DATA MASTER'!A:O,4,0)," ")</f>
        <v>RB50</v>
      </c>
      <c r="D375" t="s">
        <v>283</v>
      </c>
      <c r="E375" t="s">
        <v>441</v>
      </c>
      <c r="F375" s="1">
        <v>8.8000000000000007</v>
      </c>
      <c r="G375" s="1">
        <v>882</v>
      </c>
      <c r="H375">
        <v>0.34700000000000003</v>
      </c>
      <c r="I375" s="16">
        <f>BNW[[#This Row],[Berat Satuan
(Kg)]]*BNW[[#This Row],[Qty
(Set)]]</f>
        <v>306.05400000000003</v>
      </c>
      <c r="K375" s="1">
        <f>SUMIF(DATA_MASTER[NO. PON],BNW[[#This Row],[No.PON]],DATA_MASTER[Qty
(Unit)])</f>
        <v>2</v>
      </c>
      <c r="L375" s="16">
        <f>BNW[[#This Row],[TOTAL UNIT]]*BNW[[#This Row],[Total Berat Baut
(Kg)]]</f>
        <v>612.10800000000006</v>
      </c>
      <c r="N375"/>
      <c r="O375" s="25"/>
    </row>
    <row r="376" spans="1:15" x14ac:dyDescent="0.3">
      <c r="A376" t="s">
        <v>566</v>
      </c>
      <c r="B376" t="str">
        <f>IFERROR(VLOOKUP(A376,'DATA MASTER'!A:O,2,0)," ")</f>
        <v>Truss Modullar</v>
      </c>
      <c r="C376" t="str">
        <f>IFERROR(VLOOKUP(A376,'DATA MASTER'!A:O,4,0)," ")</f>
        <v>RB50</v>
      </c>
      <c r="D376" t="s">
        <v>80</v>
      </c>
      <c r="E376" t="s">
        <v>441</v>
      </c>
      <c r="F376" s="1">
        <v>8.8000000000000007</v>
      </c>
      <c r="G376" s="1">
        <v>4059</v>
      </c>
      <c r="H376">
        <v>0.32700000000000001</v>
      </c>
      <c r="I376" s="16">
        <f>BNW[[#This Row],[Berat Satuan
(Kg)]]*BNW[[#This Row],[Qty
(Set)]]</f>
        <v>1327.2930000000001</v>
      </c>
      <c r="K376" s="1">
        <f>SUMIF(DATA_MASTER[NO. PON],BNW[[#This Row],[No.PON]],DATA_MASTER[Qty
(Unit)])</f>
        <v>2</v>
      </c>
      <c r="L376" s="16">
        <f>BNW[[#This Row],[TOTAL UNIT]]*BNW[[#This Row],[Total Berat Baut
(Kg)]]</f>
        <v>2654.5860000000002</v>
      </c>
      <c r="N376"/>
      <c r="O376" s="25"/>
    </row>
    <row r="377" spans="1:15" x14ac:dyDescent="0.3">
      <c r="A377" t="s">
        <v>566</v>
      </c>
      <c r="B377" t="str">
        <f>IFERROR(VLOOKUP(A377,'DATA MASTER'!A:O,2,0)," ")</f>
        <v>Truss Modullar</v>
      </c>
      <c r="C377" t="str">
        <f>IFERROR(VLOOKUP(A377,'DATA MASTER'!A:O,4,0)," ")</f>
        <v>RB50</v>
      </c>
      <c r="D377" t="s">
        <v>81</v>
      </c>
      <c r="E377" t="s">
        <v>441</v>
      </c>
      <c r="F377" s="1">
        <v>8.8000000000000007</v>
      </c>
      <c r="G377" s="1">
        <v>182</v>
      </c>
      <c r="H377">
        <v>0.317</v>
      </c>
      <c r="I377" s="16">
        <f>BNW[[#This Row],[Berat Satuan
(Kg)]]*BNW[[#This Row],[Qty
(Set)]]</f>
        <v>57.694000000000003</v>
      </c>
      <c r="K377" s="1">
        <f>SUMIF(DATA_MASTER[NO. PON],BNW[[#This Row],[No.PON]],DATA_MASTER[Qty
(Unit)])</f>
        <v>2</v>
      </c>
      <c r="L377" s="16">
        <f>BNW[[#This Row],[TOTAL UNIT]]*BNW[[#This Row],[Total Berat Baut
(Kg)]]</f>
        <v>115.38800000000001</v>
      </c>
      <c r="N377"/>
      <c r="O377" s="25"/>
    </row>
    <row r="378" spans="1:15" x14ac:dyDescent="0.3">
      <c r="A378" t="s">
        <v>566</v>
      </c>
      <c r="B378" t="str">
        <f>IFERROR(VLOOKUP(A378,'DATA MASTER'!A:O,2,0)," ")</f>
        <v>Truss Modullar</v>
      </c>
      <c r="C378" t="str">
        <f>IFERROR(VLOOKUP(A378,'DATA MASTER'!A:O,4,0)," ")</f>
        <v>RB50</v>
      </c>
      <c r="D378" t="s">
        <v>284</v>
      </c>
      <c r="E378" t="s">
        <v>106</v>
      </c>
      <c r="F378" s="1">
        <v>8.8000000000000007</v>
      </c>
      <c r="G378" s="1">
        <v>25</v>
      </c>
      <c r="H378">
        <v>0.307</v>
      </c>
      <c r="I378" s="16">
        <f>BNW[[#This Row],[Berat Satuan
(Kg)]]*BNW[[#This Row],[Qty
(Set)]]</f>
        <v>7.6749999999999998</v>
      </c>
      <c r="K378" s="1">
        <f>SUMIF(DATA_MASTER[NO. PON],BNW[[#This Row],[No.PON]],DATA_MASTER[Qty
(Unit)])</f>
        <v>2</v>
      </c>
      <c r="L378" s="16">
        <f>BNW[[#This Row],[TOTAL UNIT]]*BNW[[#This Row],[Total Berat Baut
(Kg)]]</f>
        <v>15.35</v>
      </c>
      <c r="N378"/>
      <c r="O378" s="25"/>
    </row>
    <row r="379" spans="1:15" x14ac:dyDescent="0.3">
      <c r="A379" t="s">
        <v>566</v>
      </c>
      <c r="B379" t="str">
        <f>IFERROR(VLOOKUP(A379,'DATA MASTER'!A:O,2,0)," ")</f>
        <v>Truss Modullar</v>
      </c>
      <c r="C379" t="str">
        <f>IFERROR(VLOOKUP(A379,'DATA MASTER'!A:O,4,0)," ")</f>
        <v>RB50</v>
      </c>
      <c r="D379" t="s">
        <v>478</v>
      </c>
      <c r="E379" t="s">
        <v>106</v>
      </c>
      <c r="F379" s="1">
        <v>8.8000000000000007</v>
      </c>
      <c r="G379" s="1">
        <v>33</v>
      </c>
      <c r="H379">
        <v>8.6000000000000007E-2</v>
      </c>
      <c r="I379" s="16">
        <f>BNW[[#This Row],[Berat Satuan
(Kg)]]*BNW[[#This Row],[Qty
(Set)]]</f>
        <v>2.8380000000000001</v>
      </c>
      <c r="K379" s="1">
        <f>SUMIF(DATA_MASTER[NO. PON],BNW[[#This Row],[No.PON]],DATA_MASTER[Qty
(Unit)])</f>
        <v>2</v>
      </c>
      <c r="L379" s="16">
        <f>BNW[[#This Row],[TOTAL UNIT]]*BNW[[#This Row],[Total Berat Baut
(Kg)]]</f>
        <v>5.6760000000000002</v>
      </c>
      <c r="N379"/>
      <c r="O379" s="25"/>
    </row>
    <row r="380" spans="1:15" x14ac:dyDescent="0.3">
      <c r="A380" t="s">
        <v>566</v>
      </c>
      <c r="B380" t="str">
        <f>IFERROR(VLOOKUP(A380,'DATA MASTER'!A:O,2,0)," ")</f>
        <v>Truss Modullar</v>
      </c>
      <c r="C380" t="str">
        <f>IFERROR(VLOOKUP(A380,'DATA MASTER'!A:O,4,0)," ")</f>
        <v>RB50</v>
      </c>
      <c r="D380" t="s">
        <v>89</v>
      </c>
      <c r="E380" t="s">
        <v>106</v>
      </c>
      <c r="F380" s="1">
        <v>8.8000000000000007</v>
      </c>
      <c r="G380" s="1">
        <v>557</v>
      </c>
      <c r="H380">
        <v>7.2000000000000008E-2</v>
      </c>
      <c r="I380" s="16">
        <f>BNW[[#This Row],[Berat Satuan
(Kg)]]*BNW[[#This Row],[Qty
(Set)]]</f>
        <v>40.104000000000006</v>
      </c>
      <c r="K380" s="1">
        <f>SUMIF(DATA_MASTER[NO. PON],BNW[[#This Row],[No.PON]],DATA_MASTER[Qty
(Unit)])</f>
        <v>2</v>
      </c>
      <c r="L380" s="16">
        <f>BNW[[#This Row],[TOTAL UNIT]]*BNW[[#This Row],[Total Berat Baut
(Kg)]]</f>
        <v>80.208000000000013</v>
      </c>
      <c r="N380"/>
      <c r="O380" s="25"/>
    </row>
    <row r="381" spans="1:15" x14ac:dyDescent="0.3">
      <c r="A381" t="s">
        <v>566</v>
      </c>
      <c r="B381" t="str">
        <f>IFERROR(VLOOKUP(A381,'DATA MASTER'!A:O,2,0)," ")</f>
        <v>Truss Modullar</v>
      </c>
      <c r="C381" t="str">
        <f>IFERROR(VLOOKUP(A381,'DATA MASTER'!A:O,4,0)," ")</f>
        <v>RB50</v>
      </c>
      <c r="D381" t="s">
        <v>205</v>
      </c>
      <c r="E381" t="s">
        <v>106</v>
      </c>
      <c r="F381" s="1">
        <v>8.8000000000000007</v>
      </c>
      <c r="G381" s="1">
        <v>95</v>
      </c>
      <c r="H381">
        <v>6.8000000000000005E-2</v>
      </c>
      <c r="I381" s="16">
        <f>BNW[[#This Row],[Berat Satuan
(Kg)]]*BNW[[#This Row],[Qty
(Set)]]</f>
        <v>6.4600000000000009</v>
      </c>
      <c r="K381" s="1">
        <f>SUMIF(DATA_MASTER[NO. PON],BNW[[#This Row],[No.PON]],DATA_MASTER[Qty
(Unit)])</f>
        <v>2</v>
      </c>
      <c r="L381" s="16">
        <f>BNW[[#This Row],[TOTAL UNIT]]*BNW[[#This Row],[Total Berat Baut
(Kg)]]</f>
        <v>12.920000000000002</v>
      </c>
      <c r="N381"/>
      <c r="O381" s="25"/>
    </row>
    <row r="382" spans="1:15" x14ac:dyDescent="0.3">
      <c r="A382" t="s">
        <v>566</v>
      </c>
      <c r="B382" t="str">
        <f>IFERROR(VLOOKUP(A382,'DATA MASTER'!A:O,2,0)," ")</f>
        <v>Truss Modullar</v>
      </c>
      <c r="C382" t="str">
        <f>IFERROR(VLOOKUP(A382,'DATA MASTER'!A:O,4,0)," ")</f>
        <v>RB50</v>
      </c>
      <c r="D382" t="s">
        <v>206</v>
      </c>
      <c r="E382" t="s">
        <v>106</v>
      </c>
      <c r="F382" s="1">
        <v>8.8000000000000007</v>
      </c>
      <c r="G382" s="1">
        <v>1447</v>
      </c>
      <c r="H382">
        <v>6.3E-2</v>
      </c>
      <c r="I382" s="16">
        <f>BNW[[#This Row],[Berat Satuan
(Kg)]]*BNW[[#This Row],[Qty
(Set)]]</f>
        <v>91.161000000000001</v>
      </c>
      <c r="K382" s="1">
        <f>SUMIF(DATA_MASTER[NO. PON],BNW[[#This Row],[No.PON]],DATA_MASTER[Qty
(Unit)])</f>
        <v>2</v>
      </c>
      <c r="L382" s="16">
        <f>BNW[[#This Row],[TOTAL UNIT]]*BNW[[#This Row],[Total Berat Baut
(Kg)]]</f>
        <v>182.322</v>
      </c>
      <c r="N382"/>
      <c r="O382" s="25"/>
    </row>
    <row r="383" spans="1:15" x14ac:dyDescent="0.3">
      <c r="A383" t="s">
        <v>585</v>
      </c>
      <c r="B383" t="str">
        <f>IFERROR(VLOOKUP(A383,'DATA MASTER'!A:O,2,0)," ")</f>
        <v>Girder</v>
      </c>
      <c r="C383" t="str">
        <f>IFERROR(VLOOKUP(A383,'DATA MASTER'!A:O,4,0)," ")</f>
        <v>CG15_6 Line</v>
      </c>
      <c r="D383" t="s">
        <v>282</v>
      </c>
      <c r="E383" t="s">
        <v>441</v>
      </c>
      <c r="F383" s="1">
        <v>8.8000000000000007</v>
      </c>
      <c r="G383" s="1">
        <v>693</v>
      </c>
      <c r="H383">
        <v>0.38700000000000001</v>
      </c>
      <c r="I383" s="16">
        <f>BNW[[#This Row],[Berat Satuan
(Kg)]]*BNW[[#This Row],[Qty
(Set)]]</f>
        <v>268.19100000000003</v>
      </c>
      <c r="K383" s="1">
        <f>SUMIF(DATA_MASTER[NO. PON],BNW[[#This Row],[No.PON]],DATA_MASTER[Qty
(Unit)])</f>
        <v>1</v>
      </c>
      <c r="L383" s="16">
        <f>BNW[[#This Row],[TOTAL UNIT]]*BNW[[#This Row],[Total Berat Baut
(Kg)]]</f>
        <v>268.19100000000003</v>
      </c>
      <c r="N383"/>
      <c r="O383" s="25"/>
    </row>
    <row r="384" spans="1:15" x14ac:dyDescent="0.3">
      <c r="A384" t="s">
        <v>585</v>
      </c>
      <c r="B384" t="str">
        <f>IFERROR(VLOOKUP(A384,'DATA MASTER'!A:O,2,0)," ")</f>
        <v>Girder</v>
      </c>
      <c r="C384" t="str">
        <f>IFERROR(VLOOKUP(A384,'DATA MASTER'!A:O,4,0)," ")</f>
        <v>CG15_6 Line</v>
      </c>
      <c r="D384" t="s">
        <v>85</v>
      </c>
      <c r="E384" t="s">
        <v>441</v>
      </c>
      <c r="F384" s="1">
        <v>8.8000000000000007</v>
      </c>
      <c r="G384" s="1">
        <v>396</v>
      </c>
      <c r="H384">
        <v>0.36699999999999999</v>
      </c>
      <c r="I384" s="16">
        <f>BNW[[#This Row],[Berat Satuan
(Kg)]]*BNW[[#This Row],[Qty
(Set)]]</f>
        <v>145.33199999999999</v>
      </c>
      <c r="K384" s="1">
        <f>SUMIF(DATA_MASTER[NO. PON],BNW[[#This Row],[No.PON]],DATA_MASTER[Qty
(Unit)])</f>
        <v>1</v>
      </c>
      <c r="L384" s="16">
        <f>BNW[[#This Row],[TOTAL UNIT]]*BNW[[#This Row],[Total Berat Baut
(Kg)]]</f>
        <v>145.33199999999999</v>
      </c>
      <c r="N384"/>
      <c r="O384" s="25"/>
    </row>
    <row r="385" spans="1:15" x14ac:dyDescent="0.3">
      <c r="A385" t="s">
        <v>585</v>
      </c>
      <c r="B385" t="str">
        <f>IFERROR(VLOOKUP(A385,'DATA MASTER'!A:O,2,0)," ")</f>
        <v>Girder</v>
      </c>
      <c r="C385" t="str">
        <f>IFERROR(VLOOKUP(A385,'DATA MASTER'!A:O,4,0)," ")</f>
        <v>CG15_6 Line</v>
      </c>
      <c r="D385" t="s">
        <v>82</v>
      </c>
      <c r="E385" t="s">
        <v>441</v>
      </c>
      <c r="F385" s="1">
        <v>8.8000000000000007</v>
      </c>
      <c r="G385" s="1">
        <v>198</v>
      </c>
      <c r="H385">
        <v>0.307</v>
      </c>
      <c r="I385" s="16">
        <f>BNW[[#This Row],[Berat Satuan
(Kg)]]*BNW[[#This Row],[Qty
(Set)]]</f>
        <v>60.786000000000001</v>
      </c>
      <c r="K385" s="1">
        <f>SUMIF(DATA_MASTER[NO. PON],BNW[[#This Row],[No.PON]],DATA_MASTER[Qty
(Unit)])</f>
        <v>1</v>
      </c>
      <c r="L385" s="16">
        <f>BNW[[#This Row],[TOTAL UNIT]]*BNW[[#This Row],[Total Berat Baut
(Kg)]]</f>
        <v>60.786000000000001</v>
      </c>
      <c r="N385"/>
      <c r="O385" s="25"/>
    </row>
    <row r="386" spans="1:15" x14ac:dyDescent="0.3">
      <c r="A386" t="s">
        <v>589</v>
      </c>
      <c r="B386" t="str">
        <f>IFERROR(VLOOKUP(A386,'DATA MASTER'!A:O,2,0)," ")</f>
        <v>Girder</v>
      </c>
      <c r="C386" t="str">
        <f>IFERROR(VLOOKUP(A386,'DATA MASTER'!A:O,4,0)," ")</f>
        <v>BG30</v>
      </c>
      <c r="D386" t="s">
        <v>78</v>
      </c>
      <c r="E386" t="s">
        <v>441</v>
      </c>
      <c r="F386" s="1">
        <v>8.8000000000000007</v>
      </c>
      <c r="G386" s="1">
        <v>330</v>
      </c>
      <c r="H386">
        <v>0.68199999999999994</v>
      </c>
      <c r="I386" s="16">
        <f>BNW[[#This Row],[Berat Satuan
(Kg)]]*BNW[[#This Row],[Qty
(Set)]]</f>
        <v>225.05999999999997</v>
      </c>
      <c r="K386" s="1">
        <f>SUMIF(DATA_MASTER[NO. PON],BNW[[#This Row],[No.PON]],DATA_MASTER[Qty
(Unit)])</f>
        <v>1</v>
      </c>
      <c r="L386" s="16">
        <f>BNW[[#This Row],[TOTAL UNIT]]*BNW[[#This Row],[Total Berat Baut
(Kg)]]</f>
        <v>225.05999999999997</v>
      </c>
      <c r="N386"/>
      <c r="O386" s="25"/>
    </row>
    <row r="387" spans="1:15" x14ac:dyDescent="0.3">
      <c r="A387" t="s">
        <v>589</v>
      </c>
      <c r="B387" t="str">
        <f>IFERROR(VLOOKUP(A387,'DATA MASTER'!A:O,2,0)," ")</f>
        <v>Girder</v>
      </c>
      <c r="C387" t="str">
        <f>IFERROR(VLOOKUP(A387,'DATA MASTER'!A:O,4,0)," ")</f>
        <v>BG30</v>
      </c>
      <c r="D387" t="s">
        <v>79</v>
      </c>
      <c r="E387" t="s">
        <v>441</v>
      </c>
      <c r="F387" s="1">
        <v>8.8000000000000007</v>
      </c>
      <c r="G387" s="1">
        <v>866</v>
      </c>
      <c r="H387">
        <v>0.63200000000000001</v>
      </c>
      <c r="I387" s="16">
        <f>BNW[[#This Row],[Berat Satuan
(Kg)]]*BNW[[#This Row],[Qty
(Set)]]</f>
        <v>547.31200000000001</v>
      </c>
      <c r="K387" s="1">
        <f>SUMIF(DATA_MASTER[NO. PON],BNW[[#This Row],[No.PON]],DATA_MASTER[Qty
(Unit)])</f>
        <v>1</v>
      </c>
      <c r="L387" s="16">
        <f>BNW[[#This Row],[TOTAL UNIT]]*BNW[[#This Row],[Total Berat Baut
(Kg)]]</f>
        <v>547.31200000000001</v>
      </c>
      <c r="N387"/>
      <c r="O387" s="25"/>
    </row>
    <row r="388" spans="1:15" x14ac:dyDescent="0.3">
      <c r="A388" t="s">
        <v>589</v>
      </c>
      <c r="B388" t="str">
        <f>IFERROR(VLOOKUP(A388,'DATA MASTER'!A:O,2,0)," ")</f>
        <v>Girder</v>
      </c>
      <c r="C388" t="str">
        <f>IFERROR(VLOOKUP(A388,'DATA MASTER'!A:O,4,0)," ")</f>
        <v>BG30</v>
      </c>
      <c r="D388" t="s">
        <v>80</v>
      </c>
      <c r="E388" t="s">
        <v>106</v>
      </c>
      <c r="F388" s="1">
        <v>8.8000000000000007</v>
      </c>
      <c r="G388" s="1">
        <v>17</v>
      </c>
      <c r="H388">
        <v>0.27400000000000002</v>
      </c>
      <c r="I388" s="16">
        <f>BNW[[#This Row],[Berat Satuan
(Kg)]]*BNW[[#This Row],[Qty
(Set)]]</f>
        <v>4.6580000000000004</v>
      </c>
      <c r="K388" s="1">
        <f>SUMIF(DATA_MASTER[NO. PON],BNW[[#This Row],[No.PON]],DATA_MASTER[Qty
(Unit)])</f>
        <v>1</v>
      </c>
      <c r="L388" s="16">
        <f>BNW[[#This Row],[TOTAL UNIT]]*BNW[[#This Row],[Total Berat Baut
(Kg)]]</f>
        <v>4.6580000000000004</v>
      </c>
      <c r="N388"/>
      <c r="O388" s="25"/>
    </row>
    <row r="389" spans="1:15" x14ac:dyDescent="0.3">
      <c r="A389" t="s">
        <v>589</v>
      </c>
      <c r="B389" t="str">
        <f>IFERROR(VLOOKUP(A389,'DATA MASTER'!A:O,2,0)," ")</f>
        <v>Girder</v>
      </c>
      <c r="C389" t="str">
        <f>IFERROR(VLOOKUP(A389,'DATA MASTER'!A:O,4,0)," ")</f>
        <v>BG30</v>
      </c>
      <c r="D389" t="s">
        <v>81</v>
      </c>
      <c r="E389" t="s">
        <v>106</v>
      </c>
      <c r="F389" s="1">
        <v>8.8000000000000007</v>
      </c>
      <c r="G389" s="1">
        <v>33</v>
      </c>
      <c r="H389">
        <v>0.26400000000000001</v>
      </c>
      <c r="I389" s="16">
        <f>BNW[[#This Row],[Berat Satuan
(Kg)]]*BNW[[#This Row],[Qty
(Set)]]</f>
        <v>8.7119999999999997</v>
      </c>
      <c r="K389" s="1">
        <f>SUMIF(DATA_MASTER[NO. PON],BNW[[#This Row],[No.PON]],DATA_MASTER[Qty
(Unit)])</f>
        <v>1</v>
      </c>
      <c r="L389" s="16">
        <f>BNW[[#This Row],[TOTAL UNIT]]*BNW[[#This Row],[Total Berat Baut
(Kg)]]</f>
        <v>8.7119999999999997</v>
      </c>
      <c r="N389"/>
      <c r="O389" s="25"/>
    </row>
    <row r="390" spans="1:15" x14ac:dyDescent="0.3">
      <c r="A390" t="s">
        <v>589</v>
      </c>
      <c r="B390" t="str">
        <f>IFERROR(VLOOKUP(A390,'DATA MASTER'!A:O,2,0)," ")</f>
        <v>Girder</v>
      </c>
      <c r="C390" t="str">
        <f>IFERROR(VLOOKUP(A390,'DATA MASTER'!A:O,4,0)," ")</f>
        <v>BG30</v>
      </c>
      <c r="D390" t="s">
        <v>82</v>
      </c>
      <c r="E390" t="s">
        <v>106</v>
      </c>
      <c r="F390" s="1">
        <v>8.8000000000000007</v>
      </c>
      <c r="G390" s="1">
        <v>165</v>
      </c>
      <c r="H390">
        <v>0.254</v>
      </c>
      <c r="I390" s="16">
        <f>BNW[[#This Row],[Berat Satuan
(Kg)]]*BNW[[#This Row],[Qty
(Set)]]</f>
        <v>41.910000000000004</v>
      </c>
      <c r="K390" s="1">
        <f>SUMIF(DATA_MASTER[NO. PON],BNW[[#This Row],[No.PON]],DATA_MASTER[Qty
(Unit)])</f>
        <v>1</v>
      </c>
      <c r="L390" s="16">
        <f>BNW[[#This Row],[TOTAL UNIT]]*BNW[[#This Row],[Total Berat Baut
(Kg)]]</f>
        <v>41.910000000000004</v>
      </c>
      <c r="N390"/>
      <c r="O390" s="25"/>
    </row>
    <row r="391" spans="1:15" x14ac:dyDescent="0.3">
      <c r="A391" t="s">
        <v>589</v>
      </c>
      <c r="B391" t="str">
        <f>IFERROR(VLOOKUP(A391,'DATA MASTER'!A:O,2,0)," ")</f>
        <v>Girder</v>
      </c>
      <c r="C391" t="str">
        <f>IFERROR(VLOOKUP(A391,'DATA MASTER'!A:O,4,0)," ")</f>
        <v>BG30</v>
      </c>
      <c r="D391" t="s">
        <v>83</v>
      </c>
      <c r="E391" t="s">
        <v>106</v>
      </c>
      <c r="F391" s="1">
        <v>8.8000000000000007</v>
      </c>
      <c r="G391" s="1">
        <v>9</v>
      </c>
      <c r="H391">
        <v>8.1000000000000003E-2</v>
      </c>
      <c r="I391" s="16">
        <f>BNW[[#This Row],[Berat Satuan
(Kg)]]*BNW[[#This Row],[Qty
(Set)]]</f>
        <v>0.72899999999999998</v>
      </c>
      <c r="K391" s="1">
        <f>SUMIF(DATA_MASTER[NO. PON],BNW[[#This Row],[No.PON]],DATA_MASTER[Qty
(Unit)])</f>
        <v>1</v>
      </c>
      <c r="L391" s="16">
        <f>BNW[[#This Row],[TOTAL UNIT]]*BNW[[#This Row],[Total Berat Baut
(Kg)]]</f>
        <v>0.72899999999999998</v>
      </c>
      <c r="N391"/>
      <c r="O391" s="25"/>
    </row>
    <row r="392" spans="1:15" x14ac:dyDescent="0.3">
      <c r="A392" t="s">
        <v>589</v>
      </c>
      <c r="B392" t="str">
        <f>IFERROR(VLOOKUP(A392,'DATA MASTER'!A:O,2,0)," ")</f>
        <v>Girder</v>
      </c>
      <c r="C392" t="str">
        <f>IFERROR(VLOOKUP(A392,'DATA MASTER'!A:O,4,0)," ")</f>
        <v>BG30</v>
      </c>
      <c r="D392" t="s">
        <v>205</v>
      </c>
      <c r="E392" t="s">
        <v>106</v>
      </c>
      <c r="F392" s="1">
        <v>8.8000000000000007</v>
      </c>
      <c r="G392" s="1">
        <v>598</v>
      </c>
      <c r="H392">
        <v>6.3E-2</v>
      </c>
      <c r="I392" s="16">
        <f>BNW[[#This Row],[Berat Satuan
(Kg)]]*BNW[[#This Row],[Qty
(Set)]]</f>
        <v>37.673999999999999</v>
      </c>
      <c r="K392" s="1">
        <f>SUMIF(DATA_MASTER[NO. PON],BNW[[#This Row],[No.PON]],DATA_MASTER[Qty
(Unit)])</f>
        <v>1</v>
      </c>
      <c r="L392" s="16">
        <f>BNW[[#This Row],[TOTAL UNIT]]*BNW[[#This Row],[Total Berat Baut
(Kg)]]</f>
        <v>37.673999999999999</v>
      </c>
      <c r="N392"/>
      <c r="O392" s="25"/>
    </row>
    <row r="393" spans="1:15" x14ac:dyDescent="0.3">
      <c r="A393" t="s">
        <v>669</v>
      </c>
      <c r="B393" t="str">
        <f>IFERROR(VLOOKUP(A393,'DATA MASTER'!A:O,2,0)," ")</f>
        <v>ORNAMEN PIPA</v>
      </c>
      <c r="C393" t="str">
        <f>IFERROR(VLOOKUP(A393,'DATA MASTER'!A:O,4,0)," ")</f>
        <v>GB30-ARCH</v>
      </c>
      <c r="D393" t="s">
        <v>81</v>
      </c>
      <c r="E393" t="s">
        <v>106</v>
      </c>
      <c r="F393" s="1">
        <v>8.8000000000000007</v>
      </c>
      <c r="G393" s="1">
        <v>198</v>
      </c>
      <c r="H393">
        <v>0.26400000000000001</v>
      </c>
      <c r="I393" s="16">
        <f>BNW[[#This Row],[Berat Satuan
(Kg)]]*BNW[[#This Row],[Qty
(Set)]]</f>
        <v>52.272000000000006</v>
      </c>
      <c r="K393" s="1">
        <f>SUMIF(DATA_MASTER[NO. PON],BNW[[#This Row],[No.PON]],DATA_MASTER[Qty
(Unit)])</f>
        <v>1</v>
      </c>
      <c r="L393" s="16">
        <f>BNW[[#This Row],[TOTAL UNIT]]*BNW[[#This Row],[Total Berat Baut
(Kg)]]</f>
        <v>52.272000000000006</v>
      </c>
      <c r="N393"/>
      <c r="O393" s="25"/>
    </row>
    <row r="394" spans="1:15" x14ac:dyDescent="0.3">
      <c r="A394" t="s">
        <v>669</v>
      </c>
      <c r="B394" t="str">
        <f>IFERROR(VLOOKUP(A394,'DATA MASTER'!A:O,2,0)," ")</f>
        <v>ORNAMEN PIPA</v>
      </c>
      <c r="C394" t="str">
        <f>IFERROR(VLOOKUP(A394,'DATA MASTER'!A:O,4,0)," ")</f>
        <v>GB30-ARCH</v>
      </c>
      <c r="D394" t="s">
        <v>200</v>
      </c>
      <c r="E394" t="s">
        <v>106</v>
      </c>
      <c r="F394" s="1">
        <v>8.8000000000000007</v>
      </c>
      <c r="G394" s="1">
        <v>17</v>
      </c>
      <c r="H394">
        <v>0.24400000000000002</v>
      </c>
      <c r="I394" s="16">
        <f>BNW[[#This Row],[Berat Satuan
(Kg)]]*BNW[[#This Row],[Qty
(Set)]]</f>
        <v>4.1480000000000006</v>
      </c>
      <c r="K394" s="1">
        <f>SUMIF(DATA_MASTER[NO. PON],BNW[[#This Row],[No.PON]],DATA_MASTER[Qty
(Unit)])</f>
        <v>1</v>
      </c>
      <c r="L394" s="16">
        <f>BNW[[#This Row],[TOTAL UNIT]]*BNW[[#This Row],[Total Berat Baut
(Kg)]]</f>
        <v>4.1480000000000006</v>
      </c>
      <c r="N394"/>
      <c r="O394" s="25"/>
    </row>
    <row r="395" spans="1:15" x14ac:dyDescent="0.3">
      <c r="A395" t="s">
        <v>669</v>
      </c>
      <c r="B395" t="str">
        <f>IFERROR(VLOOKUP(A395,'DATA MASTER'!A:O,2,0)," ")</f>
        <v>ORNAMEN PIPA</v>
      </c>
      <c r="C395" t="str">
        <f>IFERROR(VLOOKUP(A395,'DATA MASTER'!A:O,4,0)," ")</f>
        <v>GB30-ARCH</v>
      </c>
      <c r="D395" t="s">
        <v>202</v>
      </c>
      <c r="E395" t="s">
        <v>106</v>
      </c>
      <c r="F395" s="1">
        <v>8.8000000000000007</v>
      </c>
      <c r="G395" s="1">
        <v>112</v>
      </c>
      <c r="H395">
        <v>0.15400000000000003</v>
      </c>
      <c r="I395" s="16">
        <f>BNW[[#This Row],[Berat Satuan
(Kg)]]*BNW[[#This Row],[Qty
(Set)]]</f>
        <v>17.248000000000005</v>
      </c>
      <c r="K395" s="1">
        <f>SUMIF(DATA_MASTER[NO. PON],BNW[[#This Row],[No.PON]],DATA_MASTER[Qty
(Unit)])</f>
        <v>1</v>
      </c>
      <c r="L395" s="16">
        <f>BNW[[#This Row],[TOTAL UNIT]]*BNW[[#This Row],[Total Berat Baut
(Kg)]]</f>
        <v>17.248000000000005</v>
      </c>
      <c r="N395"/>
      <c r="O395" s="25"/>
    </row>
    <row r="396" spans="1:15" x14ac:dyDescent="0.3">
      <c r="A396" t="s">
        <v>669</v>
      </c>
      <c r="B396" t="str">
        <f>IFERROR(VLOOKUP(A396,'DATA MASTER'!A:O,2,0)," ")</f>
        <v>ORNAMEN PIPA</v>
      </c>
      <c r="C396" t="str">
        <f>IFERROR(VLOOKUP(A396,'DATA MASTER'!A:O,4,0)," ")</f>
        <v>GB30-ARCH</v>
      </c>
      <c r="D396" t="s">
        <v>205</v>
      </c>
      <c r="E396" t="s">
        <v>106</v>
      </c>
      <c r="F396" s="1">
        <v>8.8000000000000007</v>
      </c>
      <c r="G396" s="1">
        <v>99</v>
      </c>
      <c r="H396">
        <v>6.3E-2</v>
      </c>
      <c r="I396" s="16">
        <f>BNW[[#This Row],[Berat Satuan
(Kg)]]*BNW[[#This Row],[Qty
(Set)]]</f>
        <v>6.2370000000000001</v>
      </c>
      <c r="K396" s="1">
        <f>SUMIF(DATA_MASTER[NO. PON],BNW[[#This Row],[No.PON]],DATA_MASTER[Qty
(Unit)])</f>
        <v>1</v>
      </c>
      <c r="L396" s="16">
        <f>BNW[[#This Row],[TOTAL UNIT]]*BNW[[#This Row],[Total Berat Baut
(Kg)]]</f>
        <v>6.2370000000000001</v>
      </c>
      <c r="N396"/>
      <c r="O396" s="25"/>
    </row>
    <row r="397" spans="1:15" x14ac:dyDescent="0.3">
      <c r="A397" t="s">
        <v>753</v>
      </c>
      <c r="B397" t="str">
        <f>IFERROR(VLOOKUP(A397,'DATA MASTER'!A:O,2,0)," ")</f>
        <v>Jembatan Gantung</v>
      </c>
      <c r="C397" t="str">
        <f>IFERROR(VLOOKUP(A397,'DATA MASTER'!A:O,4,0)," ")</f>
        <v>JG80</v>
      </c>
      <c r="D397" t="s">
        <v>927</v>
      </c>
      <c r="E397" t="s">
        <v>786</v>
      </c>
      <c r="F397" s="1" t="s">
        <v>296</v>
      </c>
      <c r="G397" s="1">
        <v>17</v>
      </c>
      <c r="H397">
        <v>0.65200000000000002</v>
      </c>
      <c r="I397" s="16">
        <f>BNW[[#This Row],[Berat Satuan
(Kg)]]*BNW[[#This Row],[Qty
(Set)]]</f>
        <v>11.084</v>
      </c>
      <c r="K397" s="1">
        <f>SUMIF(DATA_MASTER[NO. PON],BNW[[#This Row],[No.PON]],DATA_MASTER[Qty
(Unit)])</f>
        <v>1</v>
      </c>
      <c r="L397" s="16">
        <f>BNW[[#This Row],[TOTAL UNIT]]*BNW[[#This Row],[Total Berat Baut
(Kg)]]</f>
        <v>11.084</v>
      </c>
      <c r="O397" s="25"/>
    </row>
    <row r="398" spans="1:15" x14ac:dyDescent="0.3">
      <c r="A398" t="s">
        <v>753</v>
      </c>
      <c r="B398" t="str">
        <f>IFERROR(VLOOKUP(A398,'DATA MASTER'!A:O,2,0)," ")</f>
        <v>Jembatan Gantung</v>
      </c>
      <c r="C398" t="str">
        <f>IFERROR(VLOOKUP(A398,'DATA MASTER'!A:O,4,0)," ")</f>
        <v>JG80</v>
      </c>
      <c r="D398" t="s">
        <v>86</v>
      </c>
      <c r="E398" t="s">
        <v>106</v>
      </c>
      <c r="F398" s="1">
        <v>8.8000000000000007</v>
      </c>
      <c r="G398" s="1">
        <v>581</v>
      </c>
      <c r="H398">
        <v>0.30400000000000005</v>
      </c>
      <c r="I398" s="16">
        <f>BNW[[#This Row],[Berat Satuan
(Kg)]]*BNW[[#This Row],[Qty
(Set)]]</f>
        <v>176.62400000000002</v>
      </c>
      <c r="K398" s="1">
        <f>SUMIF(DATA_MASTER[NO. PON],BNW[[#This Row],[No.PON]],DATA_MASTER[Qty
(Unit)])</f>
        <v>1</v>
      </c>
      <c r="L398" s="16">
        <f>BNW[[#This Row],[TOTAL UNIT]]*BNW[[#This Row],[Total Berat Baut
(Kg)]]</f>
        <v>176.62400000000002</v>
      </c>
      <c r="N398"/>
      <c r="O398" s="25"/>
    </row>
    <row r="399" spans="1:15" x14ac:dyDescent="0.3">
      <c r="A399" t="s">
        <v>753</v>
      </c>
      <c r="B399" t="str">
        <f>IFERROR(VLOOKUP(A399,'DATA MASTER'!A:O,2,0)," ")</f>
        <v>Jembatan Gantung</v>
      </c>
      <c r="C399" t="str">
        <f>IFERROR(VLOOKUP(A399,'DATA MASTER'!A:O,4,0)," ")</f>
        <v>JG80</v>
      </c>
      <c r="D399" t="s">
        <v>928</v>
      </c>
      <c r="E399" t="s">
        <v>106</v>
      </c>
      <c r="F399" s="1">
        <v>8.8000000000000007</v>
      </c>
      <c r="G399" s="1">
        <v>242</v>
      </c>
      <c r="H399">
        <v>0.17900000000000002</v>
      </c>
      <c r="I399" s="16">
        <f>BNW[[#This Row],[Berat Satuan
(Kg)]]*BNW[[#This Row],[Qty
(Set)]]</f>
        <v>43.318000000000005</v>
      </c>
      <c r="K399" s="1">
        <f>SUMIF(DATA_MASTER[NO. PON],BNW[[#This Row],[No.PON]],DATA_MASTER[Qty
(Unit)])</f>
        <v>1</v>
      </c>
      <c r="L399" s="16">
        <f>BNW[[#This Row],[TOTAL UNIT]]*BNW[[#This Row],[Total Berat Baut
(Kg)]]</f>
        <v>43.318000000000005</v>
      </c>
      <c r="N399"/>
      <c r="O399" s="25"/>
    </row>
    <row r="400" spans="1:15" x14ac:dyDescent="0.3">
      <c r="A400" t="s">
        <v>753</v>
      </c>
      <c r="B400" t="str">
        <f>IFERROR(VLOOKUP(A400,'DATA MASTER'!A:O,2,0)," ")</f>
        <v>Jembatan Gantung</v>
      </c>
      <c r="C400" t="str">
        <f>IFERROR(VLOOKUP(A400,'DATA MASTER'!A:O,4,0)," ")</f>
        <v>JG80</v>
      </c>
      <c r="D400" t="s">
        <v>785</v>
      </c>
      <c r="E400" t="s">
        <v>106</v>
      </c>
      <c r="F400" s="1">
        <v>8.8000000000000007</v>
      </c>
      <c r="G400" s="1">
        <v>81</v>
      </c>
      <c r="H400">
        <v>0.16900000000000001</v>
      </c>
      <c r="I400" s="16">
        <f>BNW[[#This Row],[Berat Satuan
(Kg)]]*BNW[[#This Row],[Qty
(Set)]]</f>
        <v>13.689</v>
      </c>
      <c r="K400" s="1">
        <f>SUMIF(DATA_MASTER[NO. PON],BNW[[#This Row],[No.PON]],DATA_MASTER[Qty
(Unit)])</f>
        <v>1</v>
      </c>
      <c r="L400" s="16">
        <f>BNW[[#This Row],[TOTAL UNIT]]*BNW[[#This Row],[Total Berat Baut
(Kg)]]</f>
        <v>13.689</v>
      </c>
      <c r="N400"/>
      <c r="O400" s="25"/>
    </row>
    <row r="401" spans="1:15" x14ac:dyDescent="0.3">
      <c r="A401" t="s">
        <v>753</v>
      </c>
      <c r="B401" t="str">
        <f>IFERROR(VLOOKUP(A401,'DATA MASTER'!A:O,2,0)," ")</f>
        <v>Jembatan Gantung</v>
      </c>
      <c r="C401" t="str">
        <f>IFERROR(VLOOKUP(A401,'DATA MASTER'!A:O,4,0)," ")</f>
        <v>JG80</v>
      </c>
      <c r="D401" t="s">
        <v>478</v>
      </c>
      <c r="E401" t="s">
        <v>106</v>
      </c>
      <c r="F401" s="1">
        <v>8.8000000000000007</v>
      </c>
      <c r="G401" s="1">
        <v>890</v>
      </c>
      <c r="H401">
        <v>7.2000000000000008E-2</v>
      </c>
      <c r="I401" s="16">
        <f>BNW[[#This Row],[Berat Satuan
(Kg)]]*BNW[[#This Row],[Qty
(Set)]]</f>
        <v>64.080000000000013</v>
      </c>
      <c r="K401" s="1">
        <f>SUMIF(DATA_MASTER[NO. PON],BNW[[#This Row],[No.PON]],DATA_MASTER[Qty
(Unit)])</f>
        <v>1</v>
      </c>
      <c r="L401" s="16">
        <f>BNW[[#This Row],[TOTAL UNIT]]*BNW[[#This Row],[Total Berat Baut
(Kg)]]</f>
        <v>64.080000000000013</v>
      </c>
      <c r="N401"/>
      <c r="O401" s="25"/>
    </row>
    <row r="402" spans="1:15" x14ac:dyDescent="0.3">
      <c r="A402" t="s">
        <v>753</v>
      </c>
      <c r="B402" t="str">
        <f>IFERROR(VLOOKUP(A402,'DATA MASTER'!A:O,2,0)," ")</f>
        <v>Jembatan Gantung</v>
      </c>
      <c r="C402" t="str">
        <f>IFERROR(VLOOKUP(A402,'DATA MASTER'!A:O,4,0)," ")</f>
        <v>JG80</v>
      </c>
      <c r="D402" t="s">
        <v>89</v>
      </c>
      <c r="E402" t="s">
        <v>106</v>
      </c>
      <c r="F402" s="1">
        <v>8.8000000000000007</v>
      </c>
      <c r="G402" s="1">
        <v>660</v>
      </c>
      <c r="H402">
        <v>6.8000000000000005E-2</v>
      </c>
      <c r="I402" s="16">
        <f>BNW[[#This Row],[Berat Satuan
(Kg)]]*BNW[[#This Row],[Qty
(Set)]]</f>
        <v>44.88</v>
      </c>
      <c r="K402" s="1">
        <f>SUMIF(DATA_MASTER[NO. PON],BNW[[#This Row],[No.PON]],DATA_MASTER[Qty
(Unit)])</f>
        <v>1</v>
      </c>
      <c r="L402" s="16">
        <f>BNW[[#This Row],[TOTAL UNIT]]*BNW[[#This Row],[Total Berat Baut
(Kg)]]</f>
        <v>44.88</v>
      </c>
      <c r="N402"/>
      <c r="O402" s="25"/>
    </row>
    <row r="403" spans="1:15" x14ac:dyDescent="0.3">
      <c r="A403" t="s">
        <v>753</v>
      </c>
      <c r="B403" t="str">
        <f>IFERROR(VLOOKUP(A403,'DATA MASTER'!A:O,2,0)," ")</f>
        <v>Jembatan Gantung</v>
      </c>
      <c r="C403" t="str">
        <f>IFERROR(VLOOKUP(A403,'DATA MASTER'!A:O,4,0)," ")</f>
        <v>JG80</v>
      </c>
      <c r="D403" t="s">
        <v>929</v>
      </c>
      <c r="E403" t="s">
        <v>106</v>
      </c>
      <c r="F403" s="1">
        <v>8.8000000000000007</v>
      </c>
      <c r="G403" s="1">
        <v>17</v>
      </c>
      <c r="H403">
        <v>0.05</v>
      </c>
      <c r="I403" s="16">
        <f>BNW[[#This Row],[Berat Satuan
(Kg)]]*BNW[[#This Row],[Qty
(Set)]]</f>
        <v>0.85000000000000009</v>
      </c>
      <c r="K403" s="1">
        <f>SUMIF(DATA_MASTER[NO. PON],BNW[[#This Row],[No.PON]],DATA_MASTER[Qty
(Unit)])</f>
        <v>1</v>
      </c>
      <c r="L403" s="16">
        <f>BNW[[#This Row],[TOTAL UNIT]]*BNW[[#This Row],[Total Berat Baut
(Kg)]]</f>
        <v>0.85000000000000009</v>
      </c>
      <c r="N403"/>
      <c r="O403" s="25"/>
    </row>
    <row r="404" spans="1:15" x14ac:dyDescent="0.3">
      <c r="A404" t="s">
        <v>753</v>
      </c>
      <c r="B404" t="str">
        <f>IFERROR(VLOOKUP(A404,'DATA MASTER'!A:O,2,0)," ")</f>
        <v>Jembatan Gantung</v>
      </c>
      <c r="C404" t="str">
        <f>IFERROR(VLOOKUP(A404,'DATA MASTER'!A:O,4,0)," ")</f>
        <v>JG80</v>
      </c>
      <c r="D404" t="s">
        <v>208</v>
      </c>
      <c r="E404" t="s">
        <v>106</v>
      </c>
      <c r="F404" s="1">
        <v>8.8000000000000007</v>
      </c>
      <c r="G404" s="1">
        <v>33</v>
      </c>
      <c r="H404">
        <v>0.03</v>
      </c>
      <c r="I404" s="16">
        <f>BNW[[#This Row],[Berat Satuan
(Kg)]]*BNW[[#This Row],[Qty
(Set)]]</f>
        <v>0.99</v>
      </c>
      <c r="K404" s="1">
        <f>SUMIF(DATA_MASTER[NO. PON],BNW[[#This Row],[No.PON]],DATA_MASTER[Qty
(Unit)])</f>
        <v>1</v>
      </c>
      <c r="L404" s="16">
        <f>BNW[[#This Row],[TOTAL UNIT]]*BNW[[#This Row],[Total Berat Baut
(Kg)]]</f>
        <v>0.99</v>
      </c>
      <c r="N404"/>
      <c r="O404" s="25"/>
    </row>
    <row r="405" spans="1:15" x14ac:dyDescent="0.3">
      <c r="A405" t="s">
        <v>672</v>
      </c>
      <c r="B405" t="str">
        <f>IFERROR(VLOOKUP(A405,'DATA MASTER'!A:O,2,0)," ")</f>
        <v>Girder</v>
      </c>
      <c r="C405" t="str">
        <f>IFERROR(VLOOKUP(A405,'DATA MASTER'!A:O,4,0)," ")</f>
        <v>CG30</v>
      </c>
      <c r="D405" t="s">
        <v>543</v>
      </c>
      <c r="E405" t="s">
        <v>441</v>
      </c>
      <c r="F405" s="1">
        <v>8.8000000000000007</v>
      </c>
      <c r="G405" s="1">
        <v>528</v>
      </c>
      <c r="H405">
        <v>0.53</v>
      </c>
      <c r="I405" s="16">
        <f>BNW[[#This Row],[Berat Satuan
(Kg)]]*BNW[[#This Row],[Qty
(Set)]]</f>
        <v>279.84000000000003</v>
      </c>
      <c r="K405" s="1">
        <f>SUMIF(DATA_MASTER[NO. PON],BNW[[#This Row],[No.PON]],DATA_MASTER[Qty
(Unit)])</f>
        <v>1</v>
      </c>
      <c r="L405" s="16">
        <f>BNW[[#This Row],[TOTAL UNIT]]*BNW[[#This Row],[Total Berat Baut
(Kg)]]</f>
        <v>279.84000000000003</v>
      </c>
      <c r="N405"/>
      <c r="O405" s="25"/>
    </row>
    <row r="406" spans="1:15" x14ac:dyDescent="0.3">
      <c r="A406" t="s">
        <v>672</v>
      </c>
      <c r="B406" t="str">
        <f>IFERROR(VLOOKUP(A406,'DATA MASTER'!A:O,2,0)," ")</f>
        <v>Girder</v>
      </c>
      <c r="C406" t="str">
        <f>IFERROR(VLOOKUP(A406,'DATA MASTER'!A:O,4,0)," ")</f>
        <v>CG30</v>
      </c>
      <c r="D406" t="s">
        <v>544</v>
      </c>
      <c r="E406" t="s">
        <v>441</v>
      </c>
      <c r="F406" s="1">
        <v>8.8000000000000007</v>
      </c>
      <c r="G406" s="1">
        <v>429</v>
      </c>
      <c r="H406">
        <v>0.46000000000000008</v>
      </c>
      <c r="I406" s="16">
        <f>BNW[[#This Row],[Berat Satuan
(Kg)]]*BNW[[#This Row],[Qty
(Set)]]</f>
        <v>197.34000000000003</v>
      </c>
      <c r="K406" s="1">
        <f>SUMIF(DATA_MASTER[NO. PON],BNW[[#This Row],[No.PON]],DATA_MASTER[Qty
(Unit)])</f>
        <v>1</v>
      </c>
      <c r="L406" s="16">
        <f>BNW[[#This Row],[TOTAL UNIT]]*BNW[[#This Row],[Total Berat Baut
(Kg)]]</f>
        <v>197.34000000000003</v>
      </c>
      <c r="N406"/>
      <c r="O406" s="25"/>
    </row>
    <row r="407" spans="1:15" x14ac:dyDescent="0.3">
      <c r="A407" t="s">
        <v>672</v>
      </c>
      <c r="B407" t="str">
        <f>IFERROR(VLOOKUP(A407,'DATA MASTER'!A:O,2,0)," ")</f>
        <v>Girder</v>
      </c>
      <c r="C407" t="str">
        <f>IFERROR(VLOOKUP(A407,'DATA MASTER'!A:O,4,0)," ")</f>
        <v>CG30</v>
      </c>
      <c r="D407" t="s">
        <v>545</v>
      </c>
      <c r="E407" t="s">
        <v>106</v>
      </c>
      <c r="F407" s="1">
        <v>8.8000000000000007</v>
      </c>
      <c r="G407" s="1">
        <v>17</v>
      </c>
      <c r="H407">
        <v>0.27400000000000002</v>
      </c>
      <c r="I407" s="16">
        <f>BNW[[#This Row],[Berat Satuan
(Kg)]]*BNW[[#This Row],[Qty
(Set)]]</f>
        <v>4.6580000000000004</v>
      </c>
      <c r="K407" s="1">
        <f>SUMIF(DATA_MASTER[NO. PON],BNW[[#This Row],[No.PON]],DATA_MASTER[Qty
(Unit)])</f>
        <v>1</v>
      </c>
      <c r="L407" s="16">
        <f>BNW[[#This Row],[TOTAL UNIT]]*BNW[[#This Row],[Total Berat Baut
(Kg)]]</f>
        <v>4.6580000000000004</v>
      </c>
      <c r="N407"/>
      <c r="O407" s="25"/>
    </row>
    <row r="408" spans="1:15" x14ac:dyDescent="0.3">
      <c r="A408" t="s">
        <v>672</v>
      </c>
      <c r="B408" t="str">
        <f>IFERROR(VLOOKUP(A408,'DATA MASTER'!A:O,2,0)," ")</f>
        <v>Girder</v>
      </c>
      <c r="C408" t="str">
        <f>IFERROR(VLOOKUP(A408,'DATA MASTER'!A:O,4,0)," ")</f>
        <v>CG30</v>
      </c>
      <c r="D408" t="s">
        <v>546</v>
      </c>
      <c r="E408" t="s">
        <v>106</v>
      </c>
      <c r="F408" s="1">
        <v>8.8000000000000007</v>
      </c>
      <c r="G408" s="1">
        <v>17</v>
      </c>
      <c r="H408">
        <v>0.26400000000000001</v>
      </c>
      <c r="I408" s="16">
        <f>BNW[[#This Row],[Berat Satuan
(Kg)]]*BNW[[#This Row],[Qty
(Set)]]</f>
        <v>4.4880000000000004</v>
      </c>
      <c r="K408" s="1">
        <f>SUMIF(DATA_MASTER[NO. PON],BNW[[#This Row],[No.PON]],DATA_MASTER[Qty
(Unit)])</f>
        <v>1</v>
      </c>
      <c r="L408" s="16">
        <f>BNW[[#This Row],[TOTAL UNIT]]*BNW[[#This Row],[Total Berat Baut
(Kg)]]</f>
        <v>4.4880000000000004</v>
      </c>
      <c r="N408"/>
      <c r="O408" s="25"/>
    </row>
    <row r="409" spans="1:15" x14ac:dyDescent="0.3">
      <c r="A409" t="s">
        <v>672</v>
      </c>
      <c r="B409" t="str">
        <f>IFERROR(VLOOKUP(A409,'DATA MASTER'!A:O,2,0)," ")</f>
        <v>Girder</v>
      </c>
      <c r="C409" t="str">
        <f>IFERROR(VLOOKUP(A409,'DATA MASTER'!A:O,4,0)," ")</f>
        <v>CG30</v>
      </c>
      <c r="D409" t="s">
        <v>547</v>
      </c>
      <c r="E409" t="s">
        <v>106</v>
      </c>
      <c r="F409" s="1">
        <v>8.8000000000000007</v>
      </c>
      <c r="G409" s="1">
        <v>157</v>
      </c>
      <c r="H409">
        <v>0.254</v>
      </c>
      <c r="I409" s="16">
        <f>BNW[[#This Row],[Berat Satuan
(Kg)]]*BNW[[#This Row],[Qty
(Set)]]</f>
        <v>39.878</v>
      </c>
      <c r="K409" s="1">
        <f>SUMIF(DATA_MASTER[NO. PON],BNW[[#This Row],[No.PON]],DATA_MASTER[Qty
(Unit)])</f>
        <v>1</v>
      </c>
      <c r="L409" s="16">
        <f>BNW[[#This Row],[TOTAL UNIT]]*BNW[[#This Row],[Total Berat Baut
(Kg)]]</f>
        <v>39.878</v>
      </c>
      <c r="N409"/>
      <c r="O409" s="25"/>
    </row>
    <row r="410" spans="1:15" x14ac:dyDescent="0.3">
      <c r="A410" t="s">
        <v>672</v>
      </c>
      <c r="B410" t="str">
        <f>IFERROR(VLOOKUP(A410,'DATA MASTER'!A:O,2,0)," ")</f>
        <v>Girder</v>
      </c>
      <c r="C410" t="str">
        <f>IFERROR(VLOOKUP(A410,'DATA MASTER'!A:O,4,0)," ")</f>
        <v>CG30</v>
      </c>
      <c r="D410" t="s">
        <v>83</v>
      </c>
      <c r="E410" t="s">
        <v>106</v>
      </c>
      <c r="F410" s="1">
        <v>8.8000000000000007</v>
      </c>
      <c r="G410" s="1">
        <v>9</v>
      </c>
      <c r="H410">
        <v>8.1000000000000003E-2</v>
      </c>
      <c r="I410" s="16">
        <f>BNW[[#This Row],[Berat Satuan
(Kg)]]*BNW[[#This Row],[Qty
(Set)]]</f>
        <v>0.72899999999999998</v>
      </c>
      <c r="K410" s="1">
        <f>SUMIF(DATA_MASTER[NO. PON],BNW[[#This Row],[No.PON]],DATA_MASTER[Qty
(Unit)])</f>
        <v>1</v>
      </c>
      <c r="L410" s="16">
        <f>BNW[[#This Row],[TOTAL UNIT]]*BNW[[#This Row],[Total Berat Baut
(Kg)]]</f>
        <v>0.72899999999999998</v>
      </c>
      <c r="N410"/>
      <c r="O410" s="25"/>
    </row>
    <row r="411" spans="1:15" x14ac:dyDescent="0.3">
      <c r="A411" t="s">
        <v>672</v>
      </c>
      <c r="B411" t="str">
        <f>IFERROR(VLOOKUP(A411,'DATA MASTER'!A:O,2,0)," ")</f>
        <v>Girder</v>
      </c>
      <c r="C411" t="str">
        <f>IFERROR(VLOOKUP(A411,'DATA MASTER'!A:O,4,0)," ")</f>
        <v>CG30</v>
      </c>
      <c r="D411" t="s">
        <v>89</v>
      </c>
      <c r="E411" t="s">
        <v>106</v>
      </c>
      <c r="F411" s="1">
        <v>8.8000000000000007</v>
      </c>
      <c r="G411" s="1">
        <v>478</v>
      </c>
      <c r="H411">
        <v>0.06</v>
      </c>
      <c r="I411" s="16">
        <f>BNW[[#This Row],[Berat Satuan
(Kg)]]*BNW[[#This Row],[Qty
(Set)]]</f>
        <v>28.68</v>
      </c>
      <c r="K411" s="1">
        <f>SUMIF(DATA_MASTER[NO. PON],BNW[[#This Row],[No.PON]],DATA_MASTER[Qty
(Unit)])</f>
        <v>1</v>
      </c>
      <c r="L411" s="16">
        <f>BNW[[#This Row],[TOTAL UNIT]]*BNW[[#This Row],[Total Berat Baut
(Kg)]]</f>
        <v>28.68</v>
      </c>
      <c r="N411"/>
      <c r="O411" s="25"/>
    </row>
    <row r="412" spans="1:15" x14ac:dyDescent="0.3">
      <c r="A412" t="s">
        <v>627</v>
      </c>
      <c r="B412" t="str">
        <f>IFERROR(VLOOKUP(A412,'DATA MASTER'!A:O,2,0)," ")</f>
        <v>Panel Bailey</v>
      </c>
      <c r="C412" t="str">
        <f>IFERROR(VLOOKUP(A412,'DATA MASTER'!A:O,4,0)," ")</f>
        <v>30 SSR-EW</v>
      </c>
      <c r="D412" t="s">
        <v>133</v>
      </c>
      <c r="E412" t="s">
        <v>106</v>
      </c>
      <c r="F412" s="1">
        <v>8.8000000000000007</v>
      </c>
      <c r="G412" s="1">
        <v>160</v>
      </c>
      <c r="H412">
        <v>0.53</v>
      </c>
      <c r="I412" s="16">
        <f>BNW[[#This Row],[Berat Satuan
(Kg)]]*BNW[[#This Row],[Qty
(Set)]]</f>
        <v>84.800000000000011</v>
      </c>
      <c r="K412" s="1">
        <f>SUMIF(DATA_MASTER[NO. PON],BNW[[#This Row],[No.PON]],DATA_MASTER[Qty
(Unit)])</f>
        <v>3</v>
      </c>
      <c r="L412" s="16">
        <f>BNW[[#This Row],[TOTAL UNIT]]*BNW[[#This Row],[Total Berat Baut
(Kg)]]</f>
        <v>254.40000000000003</v>
      </c>
      <c r="N412"/>
      <c r="O412" s="25"/>
    </row>
    <row r="413" spans="1:15" x14ac:dyDescent="0.3">
      <c r="A413" t="s">
        <v>627</v>
      </c>
      <c r="B413" t="str">
        <f>IFERROR(VLOOKUP(A413,'DATA MASTER'!A:O,2,0)," ")</f>
        <v>Panel Bailey</v>
      </c>
      <c r="C413" t="str">
        <f>IFERROR(VLOOKUP(A413,'DATA MASTER'!A:O,4,0)," ")</f>
        <v>30 SSR-EW</v>
      </c>
      <c r="D413" t="s">
        <v>134</v>
      </c>
      <c r="E413" t="s">
        <v>106</v>
      </c>
      <c r="F413" s="1">
        <v>8.8000000000000007</v>
      </c>
      <c r="G413" s="1">
        <v>10</v>
      </c>
      <c r="H413">
        <v>0.46</v>
      </c>
      <c r="I413" s="16">
        <f>BNW[[#This Row],[Berat Satuan
(Kg)]]*BNW[[#This Row],[Qty
(Set)]]</f>
        <v>4.6000000000000005</v>
      </c>
      <c r="K413" s="1">
        <f>SUMIF(DATA_MASTER[NO. PON],BNW[[#This Row],[No.PON]],DATA_MASTER[Qty
(Unit)])</f>
        <v>3</v>
      </c>
      <c r="L413" s="16">
        <f>BNW[[#This Row],[TOTAL UNIT]]*BNW[[#This Row],[Total Berat Baut
(Kg)]]</f>
        <v>13.8</v>
      </c>
      <c r="N413"/>
      <c r="O413" s="25"/>
    </row>
    <row r="414" spans="1:15" x14ac:dyDescent="0.3">
      <c r="A414" t="s">
        <v>627</v>
      </c>
      <c r="B414" t="str">
        <f>IFERROR(VLOOKUP(A414,'DATA MASTER'!A:O,2,0)," ")</f>
        <v>Panel Bailey</v>
      </c>
      <c r="C414" t="str">
        <f>IFERROR(VLOOKUP(A414,'DATA MASTER'!A:O,4,0)," ")</f>
        <v>30 SSR-EW</v>
      </c>
      <c r="D414" t="s">
        <v>135</v>
      </c>
      <c r="E414" t="s">
        <v>106</v>
      </c>
      <c r="F414" s="1">
        <v>8.8000000000000007</v>
      </c>
      <c r="G414" s="1">
        <v>80</v>
      </c>
      <c r="H414">
        <v>0.43</v>
      </c>
      <c r="I414" s="16">
        <f>BNW[[#This Row],[Berat Satuan
(Kg)]]*BNW[[#This Row],[Qty
(Set)]]</f>
        <v>34.4</v>
      </c>
      <c r="K414" s="1">
        <f>SUMIF(DATA_MASTER[NO. PON],BNW[[#This Row],[No.PON]],DATA_MASTER[Qty
(Unit)])</f>
        <v>3</v>
      </c>
      <c r="L414" s="16">
        <f>BNW[[#This Row],[TOTAL UNIT]]*BNW[[#This Row],[Total Berat Baut
(Kg)]]</f>
        <v>103.19999999999999</v>
      </c>
      <c r="N414"/>
      <c r="O414" s="25"/>
    </row>
    <row r="415" spans="1:15" x14ac:dyDescent="0.3">
      <c r="A415" t="s">
        <v>627</v>
      </c>
      <c r="B415" t="str">
        <f>IFERROR(VLOOKUP(A415,'DATA MASTER'!A:O,2,0)," ")</f>
        <v>Panel Bailey</v>
      </c>
      <c r="C415" t="str">
        <f>IFERROR(VLOOKUP(A415,'DATA MASTER'!A:O,4,0)," ")</f>
        <v>30 SSR-EW</v>
      </c>
      <c r="D415" t="s">
        <v>136</v>
      </c>
      <c r="E415" t="s">
        <v>106</v>
      </c>
      <c r="F415" s="1">
        <v>8.8000000000000007</v>
      </c>
      <c r="G415" s="1">
        <v>48</v>
      </c>
      <c r="H415">
        <v>0.41</v>
      </c>
      <c r="I415" s="16">
        <f>BNW[[#This Row],[Berat Satuan
(Kg)]]*BNW[[#This Row],[Qty
(Set)]]</f>
        <v>19.68</v>
      </c>
      <c r="K415" s="1">
        <f>SUMIF(DATA_MASTER[NO. PON],BNW[[#This Row],[No.PON]],DATA_MASTER[Qty
(Unit)])</f>
        <v>3</v>
      </c>
      <c r="L415" s="16">
        <f>BNW[[#This Row],[TOTAL UNIT]]*BNW[[#This Row],[Total Berat Baut
(Kg)]]</f>
        <v>59.04</v>
      </c>
      <c r="N415"/>
      <c r="O415" s="25"/>
    </row>
    <row r="416" spans="1:15" x14ac:dyDescent="0.3">
      <c r="A416" t="s">
        <v>627</v>
      </c>
      <c r="B416" t="str">
        <f>IFERROR(VLOOKUP(A416,'DATA MASTER'!A:O,2,0)," ")</f>
        <v>Panel Bailey</v>
      </c>
      <c r="C416" t="str">
        <f>IFERROR(VLOOKUP(A416,'DATA MASTER'!A:O,4,0)," ")</f>
        <v>30 SSR-EW</v>
      </c>
      <c r="D416" t="s">
        <v>137</v>
      </c>
      <c r="E416" t="s">
        <v>106</v>
      </c>
      <c r="F416" s="1">
        <v>8.8000000000000007</v>
      </c>
      <c r="G416" s="1">
        <v>176</v>
      </c>
      <c r="H416">
        <v>0.47399999999999998</v>
      </c>
      <c r="I416" s="16">
        <f>BNW[[#This Row],[Berat Satuan
(Kg)]]*BNW[[#This Row],[Qty
(Set)]]</f>
        <v>83.423999999999992</v>
      </c>
      <c r="K416" s="1">
        <f>SUMIF(DATA_MASTER[NO. PON],BNW[[#This Row],[No.PON]],DATA_MASTER[Qty
(Unit)])</f>
        <v>3</v>
      </c>
      <c r="L416" s="16">
        <f>BNW[[#This Row],[TOTAL UNIT]]*BNW[[#This Row],[Total Berat Baut
(Kg)]]</f>
        <v>250.27199999999999</v>
      </c>
      <c r="N416"/>
      <c r="O416" s="25"/>
    </row>
    <row r="417" spans="1:15" x14ac:dyDescent="0.3">
      <c r="A417" t="s">
        <v>627</v>
      </c>
      <c r="B417" t="str">
        <f>IFERROR(VLOOKUP(A417,'DATA MASTER'!A:O,2,0)," ")</f>
        <v>Panel Bailey</v>
      </c>
      <c r="C417" t="str">
        <f>IFERROR(VLOOKUP(A417,'DATA MASTER'!A:O,4,0)," ")</f>
        <v>30 SSR-EW</v>
      </c>
      <c r="D417" t="s">
        <v>294</v>
      </c>
      <c r="E417" t="s">
        <v>106</v>
      </c>
      <c r="F417" s="1">
        <v>8.8000000000000007</v>
      </c>
      <c r="G417" s="1">
        <v>22</v>
      </c>
      <c r="H417">
        <v>0.35400000000000004</v>
      </c>
      <c r="I417" s="16">
        <f>BNW[[#This Row],[Berat Satuan
(Kg)]]*BNW[[#This Row],[Qty
(Set)]]</f>
        <v>7.7880000000000011</v>
      </c>
      <c r="K417" s="1">
        <f>SUMIF(DATA_MASTER[NO. PON],BNW[[#This Row],[No.PON]],DATA_MASTER[Qty
(Unit)])</f>
        <v>3</v>
      </c>
      <c r="L417" s="16">
        <f>BNW[[#This Row],[TOTAL UNIT]]*BNW[[#This Row],[Total Berat Baut
(Kg)]]</f>
        <v>23.364000000000004</v>
      </c>
      <c r="N417"/>
      <c r="O417" s="25"/>
    </row>
    <row r="418" spans="1:15" x14ac:dyDescent="0.3">
      <c r="A418" t="s">
        <v>627</v>
      </c>
      <c r="B418" t="str">
        <f>IFERROR(VLOOKUP(A418,'DATA MASTER'!A:O,2,0)," ")</f>
        <v>Panel Bailey</v>
      </c>
      <c r="C418" t="str">
        <f>IFERROR(VLOOKUP(A418,'DATA MASTER'!A:O,4,0)," ")</f>
        <v>30 SSR-EW</v>
      </c>
      <c r="D418" t="s">
        <v>295</v>
      </c>
      <c r="E418" t="s">
        <v>106</v>
      </c>
      <c r="F418" s="1">
        <v>8.8000000000000007</v>
      </c>
      <c r="G418" s="1">
        <v>22</v>
      </c>
      <c r="H418">
        <v>0.33400000000000002</v>
      </c>
      <c r="I418" s="16">
        <f>BNW[[#This Row],[Berat Satuan
(Kg)]]*BNW[[#This Row],[Qty
(Set)]]</f>
        <v>7.3480000000000008</v>
      </c>
      <c r="K418" s="1">
        <f>SUMIF(DATA_MASTER[NO. PON],BNW[[#This Row],[No.PON]],DATA_MASTER[Qty
(Unit)])</f>
        <v>3</v>
      </c>
      <c r="L418" s="16">
        <f>BNW[[#This Row],[TOTAL UNIT]]*BNW[[#This Row],[Total Berat Baut
(Kg)]]</f>
        <v>22.044000000000004</v>
      </c>
      <c r="N418"/>
      <c r="O418" s="25"/>
    </row>
    <row r="419" spans="1:15" x14ac:dyDescent="0.3">
      <c r="A419" t="s">
        <v>627</v>
      </c>
      <c r="B419" t="str">
        <f>IFERROR(VLOOKUP(A419,'DATA MASTER'!A:O,2,0)," ")</f>
        <v>Panel Bailey</v>
      </c>
      <c r="C419" t="str">
        <f>IFERROR(VLOOKUP(A419,'DATA MASTER'!A:O,4,0)," ")</f>
        <v>30 SSR-EW</v>
      </c>
      <c r="D419" t="s">
        <v>138</v>
      </c>
      <c r="E419" t="s">
        <v>106</v>
      </c>
      <c r="F419" s="1">
        <v>8.8000000000000007</v>
      </c>
      <c r="G419" s="1">
        <v>16</v>
      </c>
      <c r="H419">
        <v>0.29399999999999998</v>
      </c>
      <c r="I419" s="16">
        <f>BNW[[#This Row],[Berat Satuan
(Kg)]]*BNW[[#This Row],[Qty
(Set)]]</f>
        <v>4.7039999999999997</v>
      </c>
      <c r="K419" s="1">
        <f>SUMIF(DATA_MASTER[NO. PON],BNW[[#This Row],[No.PON]],DATA_MASTER[Qty
(Unit)])</f>
        <v>3</v>
      </c>
      <c r="L419" s="16">
        <f>BNW[[#This Row],[TOTAL UNIT]]*BNW[[#This Row],[Total Berat Baut
(Kg)]]</f>
        <v>14.111999999999998</v>
      </c>
      <c r="N419"/>
      <c r="O419" s="25"/>
    </row>
    <row r="420" spans="1:15" x14ac:dyDescent="0.3">
      <c r="A420" t="s">
        <v>627</v>
      </c>
      <c r="B420" t="str">
        <f>IFERROR(VLOOKUP(A420,'DATA MASTER'!A:O,2,0)," ")</f>
        <v>Panel Bailey</v>
      </c>
      <c r="C420" t="str">
        <f>IFERROR(VLOOKUP(A420,'DATA MASTER'!A:O,4,0)," ")</f>
        <v>30 SSR-EW</v>
      </c>
      <c r="D420" t="s">
        <v>139</v>
      </c>
      <c r="E420" t="s">
        <v>106</v>
      </c>
      <c r="F420" s="1">
        <v>8.8000000000000007</v>
      </c>
      <c r="G420" s="1">
        <v>10</v>
      </c>
      <c r="H420">
        <v>0.29399999999999998</v>
      </c>
      <c r="I420" s="16">
        <f>BNW[[#This Row],[Berat Satuan
(Kg)]]*BNW[[#This Row],[Qty
(Set)]]</f>
        <v>2.94</v>
      </c>
      <c r="K420" s="1">
        <f>SUMIF(DATA_MASTER[NO. PON],BNW[[#This Row],[No.PON]],DATA_MASTER[Qty
(Unit)])</f>
        <v>3</v>
      </c>
      <c r="L420" s="16">
        <f>BNW[[#This Row],[TOTAL UNIT]]*BNW[[#This Row],[Total Berat Baut
(Kg)]]</f>
        <v>8.82</v>
      </c>
      <c r="N420"/>
      <c r="O420" s="25"/>
    </row>
    <row r="421" spans="1:15" x14ac:dyDescent="0.3">
      <c r="A421" t="s">
        <v>627</v>
      </c>
      <c r="B421" t="str">
        <f>IFERROR(VLOOKUP(A421,'DATA MASTER'!A:O,2,0)," ")</f>
        <v>Panel Bailey</v>
      </c>
      <c r="C421" t="str">
        <f>IFERROR(VLOOKUP(A421,'DATA MASTER'!A:O,4,0)," ")</f>
        <v>30 SSR-EW</v>
      </c>
      <c r="D421" t="s">
        <v>140</v>
      </c>
      <c r="E421" t="s">
        <v>106</v>
      </c>
      <c r="F421" s="1">
        <v>8.8000000000000007</v>
      </c>
      <c r="G421" s="1">
        <v>80</v>
      </c>
      <c r="H421">
        <v>0.24399999999999999</v>
      </c>
      <c r="I421" s="16">
        <f>BNW[[#This Row],[Berat Satuan
(Kg)]]*BNW[[#This Row],[Qty
(Set)]]</f>
        <v>19.52</v>
      </c>
      <c r="K421" s="1">
        <f>SUMIF(DATA_MASTER[NO. PON],BNW[[#This Row],[No.PON]],DATA_MASTER[Qty
(Unit)])</f>
        <v>3</v>
      </c>
      <c r="L421" s="16">
        <f>BNW[[#This Row],[TOTAL UNIT]]*BNW[[#This Row],[Total Berat Baut
(Kg)]]</f>
        <v>58.56</v>
      </c>
      <c r="N421"/>
      <c r="O421" s="25"/>
    </row>
    <row r="422" spans="1:15" x14ac:dyDescent="0.3">
      <c r="A422" t="s">
        <v>627</v>
      </c>
      <c r="B422" t="str">
        <f>IFERROR(VLOOKUP(A422,'DATA MASTER'!A:O,2,0)," ")</f>
        <v>Panel Bailey</v>
      </c>
      <c r="C422" t="str">
        <f>IFERROR(VLOOKUP(A422,'DATA MASTER'!A:O,4,0)," ")</f>
        <v>30 SSR-EW</v>
      </c>
      <c r="D422" t="s">
        <v>141</v>
      </c>
      <c r="E422" t="s">
        <v>106</v>
      </c>
      <c r="F422" s="1">
        <v>8.8000000000000007</v>
      </c>
      <c r="G422" s="1">
        <v>8</v>
      </c>
      <c r="H422">
        <v>0.13600000000000001</v>
      </c>
      <c r="I422" s="16">
        <f>BNW[[#This Row],[Berat Satuan
(Kg)]]*BNW[[#This Row],[Qty
(Set)]]</f>
        <v>1.0880000000000001</v>
      </c>
      <c r="K422" s="1">
        <f>SUMIF(DATA_MASTER[NO. PON],BNW[[#This Row],[No.PON]],DATA_MASTER[Qty
(Unit)])</f>
        <v>3</v>
      </c>
      <c r="L422" s="16">
        <f>BNW[[#This Row],[TOTAL UNIT]]*BNW[[#This Row],[Total Berat Baut
(Kg)]]</f>
        <v>3.2640000000000002</v>
      </c>
      <c r="N422"/>
      <c r="O422" s="25"/>
    </row>
    <row r="423" spans="1:15" x14ac:dyDescent="0.3">
      <c r="A423" t="s">
        <v>627</v>
      </c>
      <c r="B423" t="str">
        <f>IFERROR(VLOOKUP(A423,'DATA MASTER'!A:O,2,0)," ")</f>
        <v>Panel Bailey</v>
      </c>
      <c r="C423" t="str">
        <f>IFERROR(VLOOKUP(A423,'DATA MASTER'!A:O,4,0)," ")</f>
        <v>30 SSR-EW</v>
      </c>
      <c r="D423" t="s">
        <v>142</v>
      </c>
      <c r="E423" t="s">
        <v>106</v>
      </c>
      <c r="F423" s="1">
        <v>8.8000000000000007</v>
      </c>
      <c r="G423" s="1">
        <v>80</v>
      </c>
      <c r="H423">
        <v>0.13600000000000001</v>
      </c>
      <c r="I423" s="16">
        <f>BNW[[#This Row],[Berat Satuan
(Kg)]]*BNW[[#This Row],[Qty
(Set)]]</f>
        <v>10.88</v>
      </c>
      <c r="K423" s="1">
        <f>SUMIF(DATA_MASTER[NO. PON],BNW[[#This Row],[No.PON]],DATA_MASTER[Qty
(Unit)])</f>
        <v>3</v>
      </c>
      <c r="L423" s="16">
        <f>BNW[[#This Row],[TOTAL UNIT]]*BNW[[#This Row],[Total Berat Baut
(Kg)]]</f>
        <v>32.64</v>
      </c>
      <c r="N423"/>
      <c r="O423" s="25"/>
    </row>
    <row r="424" spans="1:15" x14ac:dyDescent="0.3">
      <c r="A424" t="s">
        <v>697</v>
      </c>
      <c r="B424" t="str">
        <f>IFERROR(VLOOKUP(A424,'DATA MASTER'!A:O,2,0)," ")</f>
        <v>Truss Modullar</v>
      </c>
      <c r="C424" t="str">
        <f>IFERROR(VLOOKUP(A424,'DATA MASTER'!A:O,4,0)," ")</f>
        <v>RB60</v>
      </c>
      <c r="D424" t="s">
        <v>622</v>
      </c>
      <c r="E424" t="s">
        <v>441</v>
      </c>
      <c r="F424" s="1">
        <v>8.8000000000000007</v>
      </c>
      <c r="G424" s="1">
        <v>347</v>
      </c>
      <c r="H424">
        <v>0.42699999999999999</v>
      </c>
      <c r="I424" s="16">
        <f>BNW[[#This Row],[Berat Satuan
(Kg)]]*BNW[[#This Row],[Qty
(Set)]]</f>
        <v>148.16899999999998</v>
      </c>
      <c r="K424" s="1">
        <f>SUMIF(DATA_MASTER[NO. PON],BNW[[#This Row],[No.PON]],DATA_MASTER[Qty
(Unit)])</f>
        <v>1</v>
      </c>
      <c r="L424" s="16">
        <f>BNW[[#This Row],[TOTAL UNIT]]*BNW[[#This Row],[Total Berat Baut
(Kg)]]</f>
        <v>148.16899999999998</v>
      </c>
      <c r="N424"/>
      <c r="O424" s="25"/>
    </row>
    <row r="425" spans="1:15" x14ac:dyDescent="0.3">
      <c r="A425" t="s">
        <v>697</v>
      </c>
      <c r="B425" t="str">
        <f>IFERROR(VLOOKUP(A425,'DATA MASTER'!A:O,2,0)," ")</f>
        <v>Truss Modullar</v>
      </c>
      <c r="C425" t="str">
        <f>IFERROR(VLOOKUP(A425,'DATA MASTER'!A:O,4,0)," ")</f>
        <v>RB60</v>
      </c>
      <c r="D425" t="s">
        <v>281</v>
      </c>
      <c r="E425" t="s">
        <v>441</v>
      </c>
      <c r="F425" s="1">
        <v>8.8000000000000007</v>
      </c>
      <c r="G425" s="1">
        <v>1558</v>
      </c>
      <c r="H425">
        <v>0.40700000000000003</v>
      </c>
      <c r="I425" s="16">
        <f>BNW[[#This Row],[Berat Satuan
(Kg)]]*BNW[[#This Row],[Qty
(Set)]]</f>
        <v>634.10599999999999</v>
      </c>
      <c r="K425" s="1">
        <f>SUMIF(DATA_MASTER[NO. PON],BNW[[#This Row],[No.PON]],DATA_MASTER[Qty
(Unit)])</f>
        <v>1</v>
      </c>
      <c r="L425" s="16">
        <f>BNW[[#This Row],[TOTAL UNIT]]*BNW[[#This Row],[Total Berat Baut
(Kg)]]</f>
        <v>634.10599999999999</v>
      </c>
      <c r="N425"/>
      <c r="O425" s="25"/>
    </row>
    <row r="426" spans="1:15" x14ac:dyDescent="0.3">
      <c r="A426" t="s">
        <v>697</v>
      </c>
      <c r="B426" t="str">
        <f>IFERROR(VLOOKUP(A426,'DATA MASTER'!A:O,2,0)," ")</f>
        <v>Truss Modullar</v>
      </c>
      <c r="C426" t="str">
        <f>IFERROR(VLOOKUP(A426,'DATA MASTER'!A:O,4,0)," ")</f>
        <v>RB60</v>
      </c>
      <c r="D426" t="s">
        <v>282</v>
      </c>
      <c r="E426" t="s">
        <v>441</v>
      </c>
      <c r="F426" s="1">
        <v>8.8000000000000007</v>
      </c>
      <c r="G426" s="1">
        <v>2794</v>
      </c>
      <c r="H426">
        <v>0.38700000000000001</v>
      </c>
      <c r="I426" s="16">
        <f>BNW[[#This Row],[Berat Satuan
(Kg)]]*BNW[[#This Row],[Qty
(Set)]]</f>
        <v>1081.278</v>
      </c>
      <c r="K426" s="1">
        <f>SUMIF(DATA_MASTER[NO. PON],BNW[[#This Row],[No.PON]],DATA_MASTER[Qty
(Unit)])</f>
        <v>1</v>
      </c>
      <c r="L426" s="16">
        <f>BNW[[#This Row],[TOTAL UNIT]]*BNW[[#This Row],[Total Berat Baut
(Kg)]]</f>
        <v>1081.278</v>
      </c>
      <c r="N426"/>
      <c r="O426" s="25"/>
    </row>
    <row r="427" spans="1:15" x14ac:dyDescent="0.3">
      <c r="A427" t="s">
        <v>697</v>
      </c>
      <c r="B427" t="str">
        <f>IFERROR(VLOOKUP(A427,'DATA MASTER'!A:O,2,0)," ")</f>
        <v>Truss Modullar</v>
      </c>
      <c r="C427" t="str">
        <f>IFERROR(VLOOKUP(A427,'DATA MASTER'!A:O,4,0)," ")</f>
        <v>RB60</v>
      </c>
      <c r="D427" t="s">
        <v>85</v>
      </c>
      <c r="E427" t="s">
        <v>441</v>
      </c>
      <c r="F427" s="1">
        <v>8.8000000000000007</v>
      </c>
      <c r="G427" s="1">
        <v>2522</v>
      </c>
      <c r="H427">
        <v>0.36699999999999999</v>
      </c>
      <c r="I427" s="16">
        <f>BNW[[#This Row],[Berat Satuan
(Kg)]]*BNW[[#This Row],[Qty
(Set)]]</f>
        <v>925.57399999999996</v>
      </c>
      <c r="K427" s="1">
        <f>SUMIF(DATA_MASTER[NO. PON],BNW[[#This Row],[No.PON]],DATA_MASTER[Qty
(Unit)])</f>
        <v>1</v>
      </c>
      <c r="L427" s="16">
        <f>BNW[[#This Row],[TOTAL UNIT]]*BNW[[#This Row],[Total Berat Baut
(Kg)]]</f>
        <v>925.57399999999996</v>
      </c>
      <c r="N427"/>
      <c r="O427" s="25"/>
    </row>
    <row r="428" spans="1:15" x14ac:dyDescent="0.3">
      <c r="A428" t="s">
        <v>697</v>
      </c>
      <c r="B428" t="str">
        <f>IFERROR(VLOOKUP(A428,'DATA MASTER'!A:O,2,0)," ")</f>
        <v>Truss Modullar</v>
      </c>
      <c r="C428" t="str">
        <f>IFERROR(VLOOKUP(A428,'DATA MASTER'!A:O,4,0)," ")</f>
        <v>RB60</v>
      </c>
      <c r="D428" t="s">
        <v>86</v>
      </c>
      <c r="E428" t="s">
        <v>441</v>
      </c>
      <c r="F428" s="1">
        <v>8.8000000000000007</v>
      </c>
      <c r="G428" s="1">
        <v>1138</v>
      </c>
      <c r="H428">
        <v>0.35700000000000004</v>
      </c>
      <c r="I428" s="16">
        <f>BNW[[#This Row],[Berat Satuan
(Kg)]]*BNW[[#This Row],[Qty
(Set)]]</f>
        <v>406.26600000000002</v>
      </c>
      <c r="K428" s="1">
        <f>SUMIF(DATA_MASTER[NO. PON],BNW[[#This Row],[No.PON]],DATA_MASTER[Qty
(Unit)])</f>
        <v>1</v>
      </c>
      <c r="L428" s="16">
        <f>BNW[[#This Row],[TOTAL UNIT]]*BNW[[#This Row],[Total Berat Baut
(Kg)]]</f>
        <v>406.26600000000002</v>
      </c>
      <c r="N428"/>
      <c r="O428" s="25"/>
    </row>
    <row r="429" spans="1:15" x14ac:dyDescent="0.3">
      <c r="A429" t="s">
        <v>697</v>
      </c>
      <c r="B429" t="str">
        <f>IFERROR(VLOOKUP(A429,'DATA MASTER'!A:O,2,0)," ")</f>
        <v>Truss Modullar</v>
      </c>
      <c r="C429" t="str">
        <f>IFERROR(VLOOKUP(A429,'DATA MASTER'!A:O,4,0)," ")</f>
        <v>RB60</v>
      </c>
      <c r="D429" t="s">
        <v>283</v>
      </c>
      <c r="E429" t="s">
        <v>441</v>
      </c>
      <c r="F429" s="1">
        <v>8.8000000000000007</v>
      </c>
      <c r="G429" s="1">
        <v>956</v>
      </c>
      <c r="H429">
        <v>0.34700000000000003</v>
      </c>
      <c r="I429" s="16">
        <f>BNW[[#This Row],[Berat Satuan
(Kg)]]*BNW[[#This Row],[Qty
(Set)]]</f>
        <v>331.73200000000003</v>
      </c>
      <c r="K429" s="1">
        <f>SUMIF(DATA_MASTER[NO. PON],BNW[[#This Row],[No.PON]],DATA_MASTER[Qty
(Unit)])</f>
        <v>1</v>
      </c>
      <c r="L429" s="16">
        <f>BNW[[#This Row],[TOTAL UNIT]]*BNW[[#This Row],[Total Berat Baut
(Kg)]]</f>
        <v>331.73200000000003</v>
      </c>
      <c r="N429"/>
      <c r="O429" s="25"/>
    </row>
    <row r="430" spans="1:15" x14ac:dyDescent="0.3">
      <c r="A430" t="s">
        <v>697</v>
      </c>
      <c r="B430" t="str">
        <f>IFERROR(VLOOKUP(A430,'DATA MASTER'!A:O,2,0)," ")</f>
        <v>Truss Modullar</v>
      </c>
      <c r="C430" t="str">
        <f>IFERROR(VLOOKUP(A430,'DATA MASTER'!A:O,4,0)," ")</f>
        <v>RB60</v>
      </c>
      <c r="D430" t="s">
        <v>80</v>
      </c>
      <c r="E430" t="s">
        <v>441</v>
      </c>
      <c r="F430" s="1">
        <v>8.8000000000000007</v>
      </c>
      <c r="G430" s="1">
        <v>4963</v>
      </c>
      <c r="H430">
        <v>0.32700000000000001</v>
      </c>
      <c r="I430" s="16">
        <f>BNW[[#This Row],[Berat Satuan
(Kg)]]*BNW[[#This Row],[Qty
(Set)]]</f>
        <v>1622.9010000000001</v>
      </c>
      <c r="K430" s="1">
        <f>SUMIF(DATA_MASTER[NO. PON],BNW[[#This Row],[No.PON]],DATA_MASTER[Qty
(Unit)])</f>
        <v>1</v>
      </c>
      <c r="L430" s="16">
        <f>BNW[[#This Row],[TOTAL UNIT]]*BNW[[#This Row],[Total Berat Baut
(Kg)]]</f>
        <v>1622.9010000000001</v>
      </c>
      <c r="N430"/>
      <c r="O430" s="25"/>
    </row>
    <row r="431" spans="1:15" x14ac:dyDescent="0.3">
      <c r="A431" t="s">
        <v>697</v>
      </c>
      <c r="B431" t="str">
        <f>IFERROR(VLOOKUP(A431,'DATA MASTER'!A:O,2,0)," ")</f>
        <v>Truss Modullar</v>
      </c>
      <c r="C431" t="str">
        <f>IFERROR(VLOOKUP(A431,'DATA MASTER'!A:O,4,0)," ")</f>
        <v>RB60</v>
      </c>
      <c r="D431" t="s">
        <v>81</v>
      </c>
      <c r="E431" t="s">
        <v>441</v>
      </c>
      <c r="F431" s="1">
        <v>8.8000000000000007</v>
      </c>
      <c r="G431" s="1">
        <v>132</v>
      </c>
      <c r="H431">
        <v>0.317</v>
      </c>
      <c r="I431" s="16">
        <f>BNW[[#This Row],[Berat Satuan
(Kg)]]*BNW[[#This Row],[Qty
(Set)]]</f>
        <v>41.844000000000001</v>
      </c>
      <c r="K431" s="1">
        <f>SUMIF(DATA_MASTER[NO. PON],BNW[[#This Row],[No.PON]],DATA_MASTER[Qty
(Unit)])</f>
        <v>1</v>
      </c>
      <c r="L431" s="16">
        <f>BNW[[#This Row],[TOTAL UNIT]]*BNW[[#This Row],[Total Berat Baut
(Kg)]]</f>
        <v>41.844000000000001</v>
      </c>
      <c r="N431"/>
      <c r="O431" s="25"/>
    </row>
    <row r="432" spans="1:15" x14ac:dyDescent="0.3">
      <c r="A432" t="s">
        <v>697</v>
      </c>
      <c r="B432" t="str">
        <f>IFERROR(VLOOKUP(A432,'DATA MASTER'!A:O,2,0)," ")</f>
        <v>Truss Modullar</v>
      </c>
      <c r="C432" t="str">
        <f>IFERROR(VLOOKUP(A432,'DATA MASTER'!A:O,4,0)," ")</f>
        <v>RB60</v>
      </c>
      <c r="D432" t="s">
        <v>82</v>
      </c>
      <c r="E432" t="s">
        <v>441</v>
      </c>
      <c r="F432" s="1">
        <v>8.8000000000000007</v>
      </c>
      <c r="G432" s="1">
        <v>112</v>
      </c>
      <c r="H432">
        <v>0.307</v>
      </c>
      <c r="I432" s="16">
        <f>BNW[[#This Row],[Berat Satuan
(Kg)]]*BNW[[#This Row],[Qty
(Set)]]</f>
        <v>34.384</v>
      </c>
      <c r="K432" s="1">
        <f>SUMIF(DATA_MASTER[NO. PON],BNW[[#This Row],[No.PON]],DATA_MASTER[Qty
(Unit)])</f>
        <v>1</v>
      </c>
      <c r="L432" s="16">
        <f>BNW[[#This Row],[TOTAL UNIT]]*BNW[[#This Row],[Total Berat Baut
(Kg)]]</f>
        <v>34.384</v>
      </c>
      <c r="N432"/>
      <c r="O432" s="25"/>
    </row>
    <row r="433" spans="1:15" x14ac:dyDescent="0.3">
      <c r="A433" t="s">
        <v>697</v>
      </c>
      <c r="B433" t="str">
        <f>IFERROR(VLOOKUP(A433,'DATA MASTER'!A:O,2,0)," ")</f>
        <v>Truss Modullar</v>
      </c>
      <c r="C433" t="str">
        <f>IFERROR(VLOOKUP(A433,'DATA MASTER'!A:O,4,0)," ")</f>
        <v>RB60</v>
      </c>
      <c r="D433" t="s">
        <v>284</v>
      </c>
      <c r="E433" t="s">
        <v>106</v>
      </c>
      <c r="F433" s="1">
        <v>8.8000000000000007</v>
      </c>
      <c r="G433" s="1">
        <v>25</v>
      </c>
      <c r="H433">
        <v>8.6000000000000007E-2</v>
      </c>
      <c r="I433" s="16">
        <f>BNW[[#This Row],[Berat Satuan
(Kg)]]*BNW[[#This Row],[Qty
(Set)]]</f>
        <v>2.1500000000000004</v>
      </c>
      <c r="K433" s="1">
        <f>SUMIF(DATA_MASTER[NO. PON],BNW[[#This Row],[No.PON]],DATA_MASTER[Qty
(Unit)])</f>
        <v>1</v>
      </c>
      <c r="L433" s="16">
        <f>BNW[[#This Row],[TOTAL UNIT]]*BNW[[#This Row],[Total Berat Baut
(Kg)]]</f>
        <v>2.1500000000000004</v>
      </c>
      <c r="N433"/>
      <c r="O433" s="25"/>
    </row>
    <row r="434" spans="1:15" x14ac:dyDescent="0.3">
      <c r="A434" t="s">
        <v>697</v>
      </c>
      <c r="B434" t="str">
        <f>IFERROR(VLOOKUP(A434,'DATA MASTER'!A:O,2,0)," ")</f>
        <v>Truss Modullar</v>
      </c>
      <c r="C434" t="str">
        <f>IFERROR(VLOOKUP(A434,'DATA MASTER'!A:O,4,0)," ")</f>
        <v>RB60</v>
      </c>
      <c r="D434" t="s">
        <v>478</v>
      </c>
      <c r="E434" t="s">
        <v>106</v>
      </c>
      <c r="F434" s="1">
        <v>8.8000000000000007</v>
      </c>
      <c r="G434" s="1">
        <v>544</v>
      </c>
      <c r="H434">
        <v>7.2000000000000008E-2</v>
      </c>
      <c r="I434" s="16">
        <f>BNW[[#This Row],[Berat Satuan
(Kg)]]*BNW[[#This Row],[Qty
(Set)]]</f>
        <v>39.168000000000006</v>
      </c>
      <c r="K434" s="1">
        <f>SUMIF(DATA_MASTER[NO. PON],BNW[[#This Row],[No.PON]],DATA_MASTER[Qty
(Unit)])</f>
        <v>1</v>
      </c>
      <c r="L434" s="16">
        <f>BNW[[#This Row],[TOTAL UNIT]]*BNW[[#This Row],[Total Berat Baut
(Kg)]]</f>
        <v>39.168000000000006</v>
      </c>
      <c r="N434"/>
      <c r="O434" s="25"/>
    </row>
    <row r="435" spans="1:15" x14ac:dyDescent="0.3">
      <c r="A435" t="s">
        <v>697</v>
      </c>
      <c r="B435" t="str">
        <f>IFERROR(VLOOKUP(A435,'DATA MASTER'!A:O,2,0)," ")</f>
        <v>Truss Modullar</v>
      </c>
      <c r="C435" t="str">
        <f>IFERROR(VLOOKUP(A435,'DATA MASTER'!A:O,4,0)," ")</f>
        <v>RB60</v>
      </c>
      <c r="D435" t="s">
        <v>89</v>
      </c>
      <c r="E435" t="s">
        <v>106</v>
      </c>
      <c r="F435" s="1">
        <v>8.8000000000000007</v>
      </c>
      <c r="G435" s="1">
        <v>540</v>
      </c>
      <c r="H435">
        <v>6.8000000000000005E-2</v>
      </c>
      <c r="I435" s="16">
        <f>BNW[[#This Row],[Berat Satuan
(Kg)]]*BNW[[#This Row],[Qty
(Set)]]</f>
        <v>36.720000000000006</v>
      </c>
      <c r="K435" s="1">
        <f>SUMIF(DATA_MASTER[NO. PON],BNW[[#This Row],[No.PON]],DATA_MASTER[Qty
(Unit)])</f>
        <v>1</v>
      </c>
      <c r="L435" s="16">
        <f>BNW[[#This Row],[TOTAL UNIT]]*BNW[[#This Row],[Total Berat Baut
(Kg)]]</f>
        <v>36.720000000000006</v>
      </c>
      <c r="N435"/>
      <c r="O435" s="25"/>
    </row>
    <row r="436" spans="1:15" x14ac:dyDescent="0.3">
      <c r="A436" t="s">
        <v>697</v>
      </c>
      <c r="B436" t="str">
        <f>IFERROR(VLOOKUP(A436,'DATA MASTER'!A:O,2,0)," ")</f>
        <v>Truss Modullar</v>
      </c>
      <c r="C436" t="str">
        <f>IFERROR(VLOOKUP(A436,'DATA MASTER'!A:O,4,0)," ")</f>
        <v>RB60</v>
      </c>
      <c r="D436" t="s">
        <v>205</v>
      </c>
      <c r="E436" t="s">
        <v>106</v>
      </c>
      <c r="F436" s="1">
        <v>8.8000000000000007</v>
      </c>
      <c r="G436" s="1">
        <v>1805</v>
      </c>
      <c r="H436">
        <v>6.3E-2</v>
      </c>
      <c r="I436" s="16">
        <f>BNW[[#This Row],[Berat Satuan
(Kg)]]*BNW[[#This Row],[Qty
(Set)]]</f>
        <v>113.715</v>
      </c>
      <c r="K436" s="1">
        <f>SUMIF(DATA_MASTER[NO. PON],BNW[[#This Row],[No.PON]],DATA_MASTER[Qty
(Unit)])</f>
        <v>1</v>
      </c>
      <c r="L436" s="16">
        <f>BNW[[#This Row],[TOTAL UNIT]]*BNW[[#This Row],[Total Berat Baut
(Kg)]]</f>
        <v>113.715</v>
      </c>
      <c r="N436"/>
      <c r="O436" s="25"/>
    </row>
    <row r="437" spans="1:15" x14ac:dyDescent="0.3">
      <c r="A437" t="s">
        <v>658</v>
      </c>
      <c r="B437" t="str">
        <f>IFERROR(VLOOKUP(A437,'DATA MASTER'!A:O,2,0)," ")</f>
        <v>SUPPORT BEAM</v>
      </c>
      <c r="C437" t="str">
        <f>IFERROR(VLOOKUP(A437,'DATA MASTER'!A:O,4,0)," ")</f>
        <v>SB35</v>
      </c>
      <c r="D437" t="s">
        <v>665</v>
      </c>
      <c r="E437" t="s">
        <v>107</v>
      </c>
      <c r="F437" s="1" t="s">
        <v>116</v>
      </c>
      <c r="G437" s="1">
        <v>50</v>
      </c>
      <c r="H437">
        <v>1.0169999999999999</v>
      </c>
      <c r="I437" s="16">
        <f>BNW[[#This Row],[Berat Satuan
(Kg)]]*BNW[[#This Row],[Qty
(Set)]]</f>
        <v>50.849999999999994</v>
      </c>
      <c r="K437" s="1">
        <f>SUMIF(DATA_MASTER[NO. PON],BNW[[#This Row],[No.PON]],DATA_MASTER[Qty
(Unit)])</f>
        <v>1</v>
      </c>
      <c r="L437" s="16">
        <f>BNW[[#This Row],[TOTAL UNIT]]*BNW[[#This Row],[Total Berat Baut
(Kg)]]</f>
        <v>50.849999999999994</v>
      </c>
      <c r="N437"/>
      <c r="O437" s="25"/>
    </row>
    <row r="438" spans="1:15" x14ac:dyDescent="0.3">
      <c r="A438" t="s">
        <v>658</v>
      </c>
      <c r="B438" t="str">
        <f>IFERROR(VLOOKUP(A438,'DATA MASTER'!A:O,2,0)," ")</f>
        <v>SUPPORT BEAM</v>
      </c>
      <c r="C438" t="str">
        <f>IFERROR(VLOOKUP(A438,'DATA MASTER'!A:O,4,0)," ")</f>
        <v>SB35</v>
      </c>
      <c r="D438" t="s">
        <v>666</v>
      </c>
      <c r="E438" t="s">
        <v>107</v>
      </c>
      <c r="F438" s="1" t="s">
        <v>116</v>
      </c>
      <c r="G438" s="1">
        <v>248</v>
      </c>
      <c r="H438">
        <v>0.91699999999999993</v>
      </c>
      <c r="I438" s="16">
        <f>BNW[[#This Row],[Berat Satuan
(Kg)]]*BNW[[#This Row],[Qty
(Set)]]</f>
        <v>227.41599999999997</v>
      </c>
      <c r="K438" s="1">
        <f>SUMIF(DATA_MASTER[NO. PON],BNW[[#This Row],[No.PON]],DATA_MASTER[Qty
(Unit)])</f>
        <v>1</v>
      </c>
      <c r="L438" s="16">
        <f>BNW[[#This Row],[TOTAL UNIT]]*BNW[[#This Row],[Total Berat Baut
(Kg)]]</f>
        <v>227.41599999999997</v>
      </c>
      <c r="N438"/>
      <c r="O438" s="25"/>
    </row>
    <row r="439" spans="1:15" x14ac:dyDescent="0.3">
      <c r="A439" t="s">
        <v>658</v>
      </c>
      <c r="B439" t="str">
        <f>IFERROR(VLOOKUP(A439,'DATA MASTER'!A:O,2,0)," ")</f>
        <v>SUPPORT BEAM</v>
      </c>
      <c r="C439" t="str">
        <f>IFERROR(VLOOKUP(A439,'DATA MASTER'!A:O,4,0)," ")</f>
        <v>SB35</v>
      </c>
      <c r="D439" t="s">
        <v>667</v>
      </c>
      <c r="E439" t="s">
        <v>107</v>
      </c>
      <c r="F439" s="1" t="s">
        <v>116</v>
      </c>
      <c r="G439" s="1">
        <v>557</v>
      </c>
      <c r="H439">
        <v>0.84399999999999997</v>
      </c>
      <c r="I439" s="16">
        <f>BNW[[#This Row],[Berat Satuan
(Kg)]]*BNW[[#This Row],[Qty
(Set)]]</f>
        <v>470.108</v>
      </c>
      <c r="K439" s="1">
        <f>SUMIF(DATA_MASTER[NO. PON],BNW[[#This Row],[No.PON]],DATA_MASTER[Qty
(Unit)])</f>
        <v>1</v>
      </c>
      <c r="L439" s="16">
        <f>BNW[[#This Row],[TOTAL UNIT]]*BNW[[#This Row],[Total Berat Baut
(Kg)]]</f>
        <v>470.108</v>
      </c>
      <c r="N439"/>
      <c r="O439" s="25"/>
    </row>
    <row r="440" spans="1:15" x14ac:dyDescent="0.3">
      <c r="A440" t="s">
        <v>658</v>
      </c>
      <c r="B440" t="str">
        <f>IFERROR(VLOOKUP(A440,'DATA MASTER'!A:O,2,0)," ")</f>
        <v>SUPPORT BEAM</v>
      </c>
      <c r="C440" t="str">
        <f>IFERROR(VLOOKUP(A440,'DATA MASTER'!A:O,4,0)," ")</f>
        <v>SB35</v>
      </c>
      <c r="D440" t="s">
        <v>668</v>
      </c>
      <c r="E440" t="s">
        <v>106</v>
      </c>
      <c r="F440" s="1" t="s">
        <v>116</v>
      </c>
      <c r="G440" s="1">
        <v>25</v>
      </c>
      <c r="H440">
        <v>0.55200000000000005</v>
      </c>
      <c r="I440" s="16">
        <f>BNW[[#This Row],[Berat Satuan
(Kg)]]*BNW[[#This Row],[Qty
(Set)]]</f>
        <v>13.8</v>
      </c>
      <c r="K440" s="1">
        <f>SUMIF(DATA_MASTER[NO. PON],BNW[[#This Row],[No.PON]],DATA_MASTER[Qty
(Unit)])</f>
        <v>1</v>
      </c>
      <c r="L440" s="16">
        <f>BNW[[#This Row],[TOTAL UNIT]]*BNW[[#This Row],[Total Berat Baut
(Kg)]]</f>
        <v>13.8</v>
      </c>
      <c r="N440"/>
      <c r="O440" s="25"/>
    </row>
    <row r="441" spans="1:15" x14ac:dyDescent="0.3">
      <c r="A441" t="s">
        <v>685</v>
      </c>
      <c r="B441" t="str">
        <f>IFERROR(VLOOKUP(A441,'DATA MASTER'!A:O,2,0)," ")</f>
        <v>Girder</v>
      </c>
      <c r="C441" t="str">
        <f>IFERROR(VLOOKUP(A441,'DATA MASTER'!A:O,4,0)," ")</f>
        <v>CG12</v>
      </c>
      <c r="D441" t="s">
        <v>85</v>
      </c>
      <c r="E441" t="s">
        <v>441</v>
      </c>
      <c r="F441" s="1">
        <v>8.8000000000000007</v>
      </c>
      <c r="G441" s="1">
        <v>396</v>
      </c>
      <c r="H441">
        <v>0.36699999999999999</v>
      </c>
      <c r="I441" s="16">
        <f>BNW[[#This Row],[Berat Satuan
(Kg)]]*BNW[[#This Row],[Qty
(Set)]]</f>
        <v>145.33199999999999</v>
      </c>
      <c r="K441" s="1">
        <f>SUMIF(DATA_MASTER[NO. PON],BNW[[#This Row],[No.PON]],DATA_MASTER[Qty
(Unit)])</f>
        <v>1</v>
      </c>
      <c r="L441" s="16">
        <f>BNW[[#This Row],[TOTAL UNIT]]*BNW[[#This Row],[Total Berat Baut
(Kg)]]</f>
        <v>145.33199999999999</v>
      </c>
      <c r="N441"/>
      <c r="O441" s="25"/>
    </row>
    <row r="442" spans="1:15" x14ac:dyDescent="0.3">
      <c r="A442" t="s">
        <v>685</v>
      </c>
      <c r="B442" t="str">
        <f>IFERROR(VLOOKUP(A442,'DATA MASTER'!A:O,2,0)," ")</f>
        <v>Girder</v>
      </c>
      <c r="C442" t="str">
        <f>IFERROR(VLOOKUP(A442,'DATA MASTER'!A:O,4,0)," ")</f>
        <v>CG12</v>
      </c>
      <c r="D442" t="s">
        <v>86</v>
      </c>
      <c r="E442" t="s">
        <v>441</v>
      </c>
      <c r="F442" s="1">
        <v>8.8000000000000007</v>
      </c>
      <c r="G442" s="1">
        <v>198</v>
      </c>
      <c r="H442">
        <v>0.35700000000000004</v>
      </c>
      <c r="I442" s="16">
        <f>BNW[[#This Row],[Berat Satuan
(Kg)]]*BNW[[#This Row],[Qty
(Set)]]</f>
        <v>70.686000000000007</v>
      </c>
      <c r="K442" s="1">
        <f>SUMIF(DATA_MASTER[NO. PON],BNW[[#This Row],[No.PON]],DATA_MASTER[Qty
(Unit)])</f>
        <v>1</v>
      </c>
      <c r="L442" s="16">
        <f>BNW[[#This Row],[TOTAL UNIT]]*BNW[[#This Row],[Total Berat Baut
(Kg)]]</f>
        <v>70.686000000000007</v>
      </c>
      <c r="N442"/>
      <c r="O442" s="25"/>
    </row>
    <row r="443" spans="1:15" x14ac:dyDescent="0.3">
      <c r="A443" t="s">
        <v>685</v>
      </c>
      <c r="B443" t="str">
        <f>IFERROR(VLOOKUP(A443,'DATA MASTER'!A:O,2,0)," ")</f>
        <v>Girder</v>
      </c>
      <c r="C443" t="str">
        <f>IFERROR(VLOOKUP(A443,'DATA MASTER'!A:O,4,0)," ")</f>
        <v>CG12</v>
      </c>
      <c r="D443" t="s">
        <v>87</v>
      </c>
      <c r="E443" t="s">
        <v>106</v>
      </c>
      <c r="F443" s="1">
        <v>8.8000000000000007</v>
      </c>
      <c r="G443" s="1">
        <v>17</v>
      </c>
      <c r="H443">
        <v>0.14900000000000002</v>
      </c>
      <c r="I443" s="16">
        <f>BNW[[#This Row],[Berat Satuan
(Kg)]]*BNW[[#This Row],[Qty
(Set)]]</f>
        <v>2.5330000000000004</v>
      </c>
      <c r="K443" s="1">
        <f>SUMIF(DATA_MASTER[NO. PON],BNW[[#This Row],[No.PON]],DATA_MASTER[Qty
(Unit)])</f>
        <v>1</v>
      </c>
      <c r="L443" s="16">
        <f>BNW[[#This Row],[TOTAL UNIT]]*BNW[[#This Row],[Total Berat Baut
(Kg)]]</f>
        <v>2.5330000000000004</v>
      </c>
      <c r="N443"/>
      <c r="O443" s="25"/>
    </row>
    <row r="444" spans="1:15" x14ac:dyDescent="0.3">
      <c r="A444" t="s">
        <v>685</v>
      </c>
      <c r="B444" t="str">
        <f>IFERROR(VLOOKUP(A444,'DATA MASTER'!A:O,2,0)," ")</f>
        <v>Girder</v>
      </c>
      <c r="C444" t="str">
        <f>IFERROR(VLOOKUP(A444,'DATA MASTER'!A:O,4,0)," ")</f>
        <v>CG12</v>
      </c>
      <c r="D444" t="s">
        <v>88</v>
      </c>
      <c r="E444" t="s">
        <v>106</v>
      </c>
      <c r="F444" s="1">
        <v>8.8000000000000007</v>
      </c>
      <c r="G444" s="1">
        <v>124</v>
      </c>
      <c r="H444">
        <v>0.13600000000000001</v>
      </c>
      <c r="I444" s="16">
        <f>BNW[[#This Row],[Berat Satuan
(Kg)]]*BNW[[#This Row],[Qty
(Set)]]</f>
        <v>16.864000000000001</v>
      </c>
      <c r="K444" s="1">
        <f>SUMIF(DATA_MASTER[NO. PON],BNW[[#This Row],[No.PON]],DATA_MASTER[Qty
(Unit)])</f>
        <v>1</v>
      </c>
      <c r="L444" s="16">
        <f>BNW[[#This Row],[TOTAL UNIT]]*BNW[[#This Row],[Total Berat Baut
(Kg)]]</f>
        <v>16.864000000000001</v>
      </c>
      <c r="N444"/>
      <c r="O444" s="25"/>
    </row>
    <row r="445" spans="1:15" x14ac:dyDescent="0.3">
      <c r="A445" t="s">
        <v>685</v>
      </c>
      <c r="B445" t="str">
        <f>IFERROR(VLOOKUP(A445,'DATA MASTER'!A:O,2,0)," ")</f>
        <v>Girder</v>
      </c>
      <c r="C445" t="str">
        <f>IFERROR(VLOOKUP(A445,'DATA MASTER'!A:O,4,0)," ")</f>
        <v>CG12</v>
      </c>
      <c r="D445" t="s">
        <v>83</v>
      </c>
      <c r="E445" t="s">
        <v>106</v>
      </c>
      <c r="F445" s="1">
        <v>8.8000000000000007</v>
      </c>
      <c r="G445" s="1">
        <v>9</v>
      </c>
      <c r="H445">
        <v>8.1000000000000003E-2</v>
      </c>
      <c r="I445" s="16">
        <f>BNW[[#This Row],[Berat Satuan
(Kg)]]*BNW[[#This Row],[Qty
(Set)]]</f>
        <v>0.72899999999999998</v>
      </c>
      <c r="K445" s="1">
        <f>SUMIF(DATA_MASTER[NO. PON],BNW[[#This Row],[No.PON]],DATA_MASTER[Qty
(Unit)])</f>
        <v>1</v>
      </c>
      <c r="L445" s="16">
        <f>BNW[[#This Row],[TOTAL UNIT]]*BNW[[#This Row],[Total Berat Baut
(Kg)]]</f>
        <v>0.72899999999999998</v>
      </c>
      <c r="N445"/>
      <c r="O445" s="25"/>
    </row>
    <row r="446" spans="1:15" x14ac:dyDescent="0.3">
      <c r="A446" t="s">
        <v>685</v>
      </c>
      <c r="B446" t="str">
        <f>IFERROR(VLOOKUP(A446,'DATA MASTER'!A:O,2,0)," ")</f>
        <v>Girder</v>
      </c>
      <c r="C446" t="str">
        <f>IFERROR(VLOOKUP(A446,'DATA MASTER'!A:O,4,0)," ")</f>
        <v>CG12</v>
      </c>
      <c r="D446" t="s">
        <v>478</v>
      </c>
      <c r="E446" t="s">
        <v>106</v>
      </c>
      <c r="F446" s="1">
        <v>8.8000000000000007</v>
      </c>
      <c r="G446" s="1">
        <v>182</v>
      </c>
      <c r="H446">
        <v>6.3E-2</v>
      </c>
      <c r="I446" s="16">
        <f>BNW[[#This Row],[Berat Satuan
(Kg)]]*BNW[[#This Row],[Qty
(Set)]]</f>
        <v>11.465999999999999</v>
      </c>
      <c r="K446" s="1">
        <f>SUMIF(DATA_MASTER[NO. PON],BNW[[#This Row],[No.PON]],DATA_MASTER[Qty
(Unit)])</f>
        <v>1</v>
      </c>
      <c r="L446" s="16">
        <f>BNW[[#This Row],[TOTAL UNIT]]*BNW[[#This Row],[Total Berat Baut
(Kg)]]</f>
        <v>11.465999999999999</v>
      </c>
      <c r="N446"/>
      <c r="O446" s="25"/>
    </row>
    <row r="447" spans="1:15" x14ac:dyDescent="0.3">
      <c r="A447" t="s">
        <v>1185</v>
      </c>
      <c r="B447" t="str">
        <f>IFERROR(VLOOKUP(A447,'DATA MASTER'!A:O,2,0)," ")</f>
        <v>Jembatan Gantung</v>
      </c>
      <c r="C447" t="str">
        <f>IFERROR(VLOOKUP(A447,'DATA MASTER'!A:O,4,0)," ")</f>
        <v>JG360_TAHAP I</v>
      </c>
      <c r="D447" t="s">
        <v>737</v>
      </c>
      <c r="E447" t="s">
        <v>441</v>
      </c>
      <c r="F447" s="1">
        <v>8.8000000000000007</v>
      </c>
      <c r="G447" s="1">
        <v>116</v>
      </c>
      <c r="H447">
        <v>1.38</v>
      </c>
      <c r="I447" s="16">
        <f>BNW[[#This Row],[Berat Satuan
(Kg)]]*BNW[[#This Row],[Qty
(Set)]]</f>
        <v>160.07999999999998</v>
      </c>
      <c r="K447" s="1">
        <f>SUMIF(DATA_MASTER[NO. PON],BNW[[#This Row],[No.PON]],DATA_MASTER[Qty
(Unit)])</f>
        <v>1</v>
      </c>
      <c r="L447" s="16">
        <f>BNW[[#This Row],[TOTAL UNIT]]*BNW[[#This Row],[Total Berat Baut
(Kg)]]</f>
        <v>160.07999999999998</v>
      </c>
      <c r="N447"/>
      <c r="O447" s="25"/>
    </row>
    <row r="448" spans="1:15" x14ac:dyDescent="0.3">
      <c r="A448" t="s">
        <v>1185</v>
      </c>
      <c r="B448" t="str">
        <f>IFERROR(VLOOKUP(A448,'DATA MASTER'!A:O,2,0)," ")</f>
        <v>Jembatan Gantung</v>
      </c>
      <c r="C448" t="str">
        <f>IFERROR(VLOOKUP(A448,'DATA MASTER'!A:O,4,0)," ")</f>
        <v>JG360_TAHAP I</v>
      </c>
      <c r="D448" t="s">
        <v>738</v>
      </c>
      <c r="E448" t="s">
        <v>441</v>
      </c>
      <c r="F448" s="1">
        <v>8.8000000000000007</v>
      </c>
      <c r="G448" s="1">
        <v>3560</v>
      </c>
      <c r="H448">
        <v>0.7619999999999999</v>
      </c>
      <c r="I448" s="16">
        <f>BNW[[#This Row],[Berat Satuan
(Kg)]]*BNW[[#This Row],[Qty
(Set)]]</f>
        <v>2712.72</v>
      </c>
      <c r="K448" s="1">
        <f>SUMIF(DATA_MASTER[NO. PON],BNW[[#This Row],[No.PON]],DATA_MASTER[Qty
(Unit)])</f>
        <v>1</v>
      </c>
      <c r="L448" s="16">
        <f>BNW[[#This Row],[TOTAL UNIT]]*BNW[[#This Row],[Total Berat Baut
(Kg)]]</f>
        <v>2712.72</v>
      </c>
      <c r="N448"/>
      <c r="O448" s="25"/>
    </row>
    <row r="449" spans="1:15" x14ac:dyDescent="0.3">
      <c r="A449" t="s">
        <v>1185</v>
      </c>
      <c r="B449" t="str">
        <f>IFERROR(VLOOKUP(A449,'DATA MASTER'!A:O,2,0)," ")</f>
        <v>Jembatan Gantung</v>
      </c>
      <c r="C449" t="str">
        <f>IFERROR(VLOOKUP(A449,'DATA MASTER'!A:O,4,0)," ")</f>
        <v>JG360_TAHAP I</v>
      </c>
      <c r="D449" t="s">
        <v>77</v>
      </c>
      <c r="E449" t="s">
        <v>441</v>
      </c>
      <c r="F449" s="1">
        <v>8.8000000000000007</v>
      </c>
      <c r="G449" s="1">
        <v>1978</v>
      </c>
      <c r="H449">
        <v>0.72199999999999998</v>
      </c>
      <c r="I449" s="16">
        <f>BNW[[#This Row],[Berat Satuan
(Kg)]]*BNW[[#This Row],[Qty
(Set)]]</f>
        <v>1428.116</v>
      </c>
      <c r="K449" s="1">
        <f>SUMIF(DATA_MASTER[NO. PON],BNW[[#This Row],[No.PON]],DATA_MASTER[Qty
(Unit)])</f>
        <v>1</v>
      </c>
      <c r="L449" s="16">
        <f>BNW[[#This Row],[TOTAL UNIT]]*BNW[[#This Row],[Total Berat Baut
(Kg)]]</f>
        <v>1428.116</v>
      </c>
      <c r="N449"/>
      <c r="O449" s="25"/>
    </row>
    <row r="450" spans="1:15" x14ac:dyDescent="0.3">
      <c r="A450" t="s">
        <v>1185</v>
      </c>
      <c r="B450" t="str">
        <f>IFERROR(VLOOKUP(A450,'DATA MASTER'!A:O,2,0)," ")</f>
        <v>Jembatan Gantung</v>
      </c>
      <c r="C450" t="str">
        <f>IFERROR(VLOOKUP(A450,'DATA MASTER'!A:O,4,0)," ")</f>
        <v>JG360_TAHAP I</v>
      </c>
      <c r="D450" t="s">
        <v>81</v>
      </c>
      <c r="E450" t="s">
        <v>106</v>
      </c>
      <c r="F450" s="1">
        <v>8.8000000000000007</v>
      </c>
      <c r="G450" s="1">
        <v>1978</v>
      </c>
      <c r="H450">
        <v>0.26400000000000001</v>
      </c>
      <c r="I450" s="16">
        <f>BNW[[#This Row],[Berat Satuan
(Kg)]]*BNW[[#This Row],[Qty
(Set)]]</f>
        <v>522.19200000000001</v>
      </c>
      <c r="K450" s="1">
        <f>SUMIF(DATA_MASTER[NO. PON],BNW[[#This Row],[No.PON]],DATA_MASTER[Qty
(Unit)])</f>
        <v>1</v>
      </c>
      <c r="L450" s="16">
        <f>BNW[[#This Row],[TOTAL UNIT]]*BNW[[#This Row],[Total Berat Baut
(Kg)]]</f>
        <v>522.19200000000001</v>
      </c>
      <c r="N450"/>
      <c r="O450" s="25"/>
    </row>
    <row r="451" spans="1:15" x14ac:dyDescent="0.3">
      <c r="A451" t="s">
        <v>1185</v>
      </c>
      <c r="B451" t="str">
        <f>IFERROR(VLOOKUP(A451,'DATA MASTER'!A:O,2,0)," ")</f>
        <v>Jembatan Gantung</v>
      </c>
      <c r="C451" t="str">
        <f>IFERROR(VLOOKUP(A451,'DATA MASTER'!A:O,4,0)," ")</f>
        <v>JG360_TAHAP I</v>
      </c>
      <c r="D451" t="s">
        <v>82</v>
      </c>
      <c r="E451" t="s">
        <v>106</v>
      </c>
      <c r="F451" s="1">
        <v>8.8000000000000007</v>
      </c>
      <c r="G451" s="1">
        <v>6592</v>
      </c>
      <c r="H451">
        <v>0.254</v>
      </c>
      <c r="I451" s="16">
        <f>BNW[[#This Row],[Berat Satuan
(Kg)]]*BNW[[#This Row],[Qty
(Set)]]</f>
        <v>1674.3679999999999</v>
      </c>
      <c r="K451" s="1">
        <f>SUMIF(DATA_MASTER[NO. PON],BNW[[#This Row],[No.PON]],DATA_MASTER[Qty
(Unit)])</f>
        <v>1</v>
      </c>
      <c r="L451" s="16">
        <f>BNW[[#This Row],[TOTAL UNIT]]*BNW[[#This Row],[Total Berat Baut
(Kg)]]</f>
        <v>1674.3679999999999</v>
      </c>
      <c r="N451"/>
      <c r="O451" s="25"/>
    </row>
    <row r="452" spans="1:15" x14ac:dyDescent="0.3">
      <c r="A452" t="s">
        <v>935</v>
      </c>
      <c r="B452" t="str">
        <f>IFERROR(VLOOKUP(A452,'DATA MASTER'!A:O,2,0)," ")</f>
        <v>Girder</v>
      </c>
      <c r="C452" t="str">
        <f>IFERROR(VLOOKUP(A452,'DATA MASTER'!A:O,4,0)," ")</f>
        <v>GB30</v>
      </c>
      <c r="D452" t="s">
        <v>78</v>
      </c>
      <c r="E452" t="s">
        <v>786</v>
      </c>
      <c r="F452" s="1">
        <v>8.8000000000000007</v>
      </c>
      <c r="G452" s="1">
        <v>330</v>
      </c>
      <c r="H452">
        <v>0.53</v>
      </c>
      <c r="I452" s="16">
        <f>BNW[[#This Row],[Berat Satuan
(Kg)]]*BNW[[#This Row],[Qty
(Set)]]</f>
        <v>174.9</v>
      </c>
      <c r="K452" s="1">
        <f>SUMIF(DATA_MASTER[NO. PON],BNW[[#This Row],[No.PON]],DATA_MASTER[Qty
(Unit)])</f>
        <v>1</v>
      </c>
      <c r="L452" s="16">
        <f>BNW[[#This Row],[TOTAL UNIT]]*BNW[[#This Row],[Total Berat Baut
(Kg)]]</f>
        <v>174.9</v>
      </c>
      <c r="O452" s="25"/>
    </row>
    <row r="453" spans="1:15" x14ac:dyDescent="0.3">
      <c r="A453" t="s">
        <v>935</v>
      </c>
      <c r="B453" t="str">
        <f>IFERROR(VLOOKUP(A453,'DATA MASTER'!A:O,2,0)," ")</f>
        <v>Girder</v>
      </c>
      <c r="C453" t="str">
        <f>IFERROR(VLOOKUP(A453,'DATA MASTER'!A:O,4,0)," ")</f>
        <v>GB30</v>
      </c>
      <c r="D453" t="s">
        <v>943</v>
      </c>
      <c r="E453" t="s">
        <v>786</v>
      </c>
      <c r="F453" s="1">
        <v>8.8000000000000007</v>
      </c>
      <c r="G453" s="1">
        <v>330</v>
      </c>
      <c r="H453">
        <v>0.5</v>
      </c>
      <c r="I453" s="16">
        <f>BNW[[#This Row],[Berat Satuan
(Kg)]]*BNW[[#This Row],[Qty
(Set)]]</f>
        <v>165</v>
      </c>
      <c r="K453" s="1">
        <f>SUMIF(DATA_MASTER[NO. PON],BNW[[#This Row],[No.PON]],DATA_MASTER[Qty
(Unit)])</f>
        <v>1</v>
      </c>
      <c r="L453" s="181">
        <f>BNW[[#This Row],[TOTAL UNIT]]*BNW[[#This Row],[Total Berat Baut
(Kg)]]</f>
        <v>165</v>
      </c>
      <c r="N453"/>
      <c r="O453" s="25"/>
    </row>
    <row r="454" spans="1:15" x14ac:dyDescent="0.3">
      <c r="A454" t="s">
        <v>935</v>
      </c>
      <c r="B454" t="str">
        <f>IFERROR(VLOOKUP(A454,'DATA MASTER'!A:O,2,0)," ")</f>
        <v>Girder</v>
      </c>
      <c r="C454" t="str">
        <f>IFERROR(VLOOKUP(A454,'DATA MASTER'!A:O,4,0)," ")</f>
        <v>GB30</v>
      </c>
      <c r="D454" t="s">
        <v>873</v>
      </c>
      <c r="E454" t="s">
        <v>786</v>
      </c>
      <c r="F454" s="1">
        <v>8.8000000000000007</v>
      </c>
      <c r="G454" s="1">
        <v>577</v>
      </c>
      <c r="H454">
        <v>0.46000000000000008</v>
      </c>
      <c r="I454" s="16">
        <f>BNW[[#This Row],[Berat Satuan
(Kg)]]*BNW[[#This Row],[Qty
(Set)]]</f>
        <v>265.42</v>
      </c>
      <c r="K454" s="1">
        <f>SUMIF(DATA_MASTER[NO. PON],BNW[[#This Row],[No.PON]],DATA_MASTER[Qty
(Unit)])</f>
        <v>1</v>
      </c>
      <c r="L454" s="181">
        <f>BNW[[#This Row],[TOTAL UNIT]]*BNW[[#This Row],[Total Berat Baut
(Kg)]]</f>
        <v>265.42</v>
      </c>
      <c r="N454"/>
      <c r="O454" s="25"/>
    </row>
    <row r="455" spans="1:15" x14ac:dyDescent="0.3">
      <c r="A455" t="s">
        <v>935</v>
      </c>
      <c r="B455" t="str">
        <f>IFERROR(VLOOKUP(A455,'DATA MASTER'!A:O,2,0)," ")</f>
        <v>Girder</v>
      </c>
      <c r="C455" t="str">
        <f>IFERROR(VLOOKUP(A455,'DATA MASTER'!A:O,4,0)," ")</f>
        <v>GB30</v>
      </c>
      <c r="D455" t="s">
        <v>80</v>
      </c>
      <c r="E455" t="s">
        <v>106</v>
      </c>
      <c r="F455" s="1">
        <v>8.8000000000000007</v>
      </c>
      <c r="G455" s="1">
        <v>66</v>
      </c>
      <c r="H455">
        <v>0.27400000000000002</v>
      </c>
      <c r="I455" s="16">
        <f>BNW[[#This Row],[Berat Satuan
(Kg)]]*BNW[[#This Row],[Qty
(Set)]]</f>
        <v>18.084000000000003</v>
      </c>
      <c r="K455" s="1">
        <f>SUMIF(DATA_MASTER[NO. PON],BNW[[#This Row],[No.PON]],DATA_MASTER[Qty
(Unit)])</f>
        <v>1</v>
      </c>
      <c r="L455" s="181">
        <f>BNW[[#This Row],[TOTAL UNIT]]*BNW[[#This Row],[Total Berat Baut
(Kg)]]</f>
        <v>18.084000000000003</v>
      </c>
      <c r="N455"/>
      <c r="O455" s="25"/>
    </row>
    <row r="456" spans="1:15" x14ac:dyDescent="0.3">
      <c r="A456" t="s">
        <v>935</v>
      </c>
      <c r="B456" t="str">
        <f>IFERROR(VLOOKUP(A456,'DATA MASTER'!A:O,2,0)," ")</f>
        <v>Girder</v>
      </c>
      <c r="C456" t="str">
        <f>IFERROR(VLOOKUP(A456,'DATA MASTER'!A:O,4,0)," ")</f>
        <v>GB30</v>
      </c>
      <c r="D456" t="s">
        <v>81</v>
      </c>
      <c r="E456" t="s">
        <v>106</v>
      </c>
      <c r="F456" s="1">
        <v>8.8000000000000007</v>
      </c>
      <c r="G456" s="1">
        <v>17</v>
      </c>
      <c r="H456">
        <v>0.26400000000000001</v>
      </c>
      <c r="I456" s="16">
        <f>BNW[[#This Row],[Berat Satuan
(Kg)]]*BNW[[#This Row],[Qty
(Set)]]</f>
        <v>4.4880000000000004</v>
      </c>
      <c r="K456" s="1">
        <f>SUMIF(DATA_MASTER[NO. PON],BNW[[#This Row],[No.PON]],DATA_MASTER[Qty
(Unit)])</f>
        <v>1</v>
      </c>
      <c r="L456" s="181">
        <f>BNW[[#This Row],[TOTAL UNIT]]*BNW[[#This Row],[Total Berat Baut
(Kg)]]</f>
        <v>4.4880000000000004</v>
      </c>
      <c r="N456"/>
      <c r="O456" s="25"/>
    </row>
    <row r="457" spans="1:15" x14ac:dyDescent="0.3">
      <c r="A457" t="s">
        <v>935</v>
      </c>
      <c r="B457" t="str">
        <f>IFERROR(VLOOKUP(A457,'DATA MASTER'!A:O,2,0)," ")</f>
        <v>Girder</v>
      </c>
      <c r="C457" t="str">
        <f>IFERROR(VLOOKUP(A457,'DATA MASTER'!A:O,4,0)," ")</f>
        <v>GB30</v>
      </c>
      <c r="D457" t="s">
        <v>82</v>
      </c>
      <c r="E457" t="s">
        <v>106</v>
      </c>
      <c r="F457" s="1">
        <v>8.8000000000000007</v>
      </c>
      <c r="G457" s="1">
        <v>165</v>
      </c>
      <c r="H457">
        <v>0.254</v>
      </c>
      <c r="I457" s="16">
        <f>BNW[[#This Row],[Berat Satuan
(Kg)]]*BNW[[#This Row],[Qty
(Set)]]</f>
        <v>41.910000000000004</v>
      </c>
      <c r="K457" s="1">
        <f>SUMIF(DATA_MASTER[NO. PON],BNW[[#This Row],[No.PON]],DATA_MASTER[Qty
(Unit)])</f>
        <v>1</v>
      </c>
      <c r="L457" s="181">
        <f>BNW[[#This Row],[TOTAL UNIT]]*BNW[[#This Row],[Total Berat Baut
(Kg)]]</f>
        <v>41.910000000000004</v>
      </c>
      <c r="N457"/>
      <c r="O457" s="25"/>
    </row>
    <row r="458" spans="1:15" x14ac:dyDescent="0.3">
      <c r="A458" t="s">
        <v>935</v>
      </c>
      <c r="B458" t="str">
        <f>IFERROR(VLOOKUP(A458,'DATA MASTER'!A:O,2,0)," ")</f>
        <v>Girder</v>
      </c>
      <c r="C458" t="str">
        <f>IFERROR(VLOOKUP(A458,'DATA MASTER'!A:O,4,0)," ")</f>
        <v>GB30</v>
      </c>
      <c r="D458" t="s">
        <v>83</v>
      </c>
      <c r="E458" t="s">
        <v>106</v>
      </c>
      <c r="F458" s="1">
        <v>8.8000000000000007</v>
      </c>
      <c r="G458" s="1">
        <v>9</v>
      </c>
      <c r="H458">
        <v>8.1000000000000003E-2</v>
      </c>
      <c r="I458" s="16">
        <f>BNW[[#This Row],[Berat Satuan
(Kg)]]*BNW[[#This Row],[Qty
(Set)]]</f>
        <v>0.72899999999999998</v>
      </c>
      <c r="K458" s="1">
        <f>SUMIF(DATA_MASTER[NO. PON],BNW[[#This Row],[No.PON]],DATA_MASTER[Qty
(Unit)])</f>
        <v>1</v>
      </c>
      <c r="L458" s="181">
        <f>BNW[[#This Row],[TOTAL UNIT]]*BNW[[#This Row],[Total Berat Baut
(Kg)]]</f>
        <v>0.72899999999999998</v>
      </c>
      <c r="N458"/>
      <c r="O458" s="25"/>
    </row>
    <row r="459" spans="1:15" x14ac:dyDescent="0.3">
      <c r="A459" t="s">
        <v>935</v>
      </c>
      <c r="B459" t="str">
        <f>IFERROR(VLOOKUP(A459,'DATA MASTER'!A:O,2,0)," ")</f>
        <v>Girder</v>
      </c>
      <c r="C459" t="str">
        <f>IFERROR(VLOOKUP(A459,'DATA MASTER'!A:O,4,0)," ")</f>
        <v>GB30</v>
      </c>
      <c r="D459" t="s">
        <v>205</v>
      </c>
      <c r="E459" t="s">
        <v>106</v>
      </c>
      <c r="F459" s="1">
        <v>8.8000000000000007</v>
      </c>
      <c r="G459" s="1">
        <v>598</v>
      </c>
      <c r="H459">
        <v>6.8000000000000005E-2</v>
      </c>
      <c r="I459" s="16">
        <f>BNW[[#This Row],[Berat Satuan
(Kg)]]*BNW[[#This Row],[Qty
(Set)]]</f>
        <v>40.664000000000001</v>
      </c>
      <c r="K459" s="1">
        <f>SUMIF(DATA_MASTER[NO. PON],BNW[[#This Row],[No.PON]],DATA_MASTER[Qty
(Unit)])</f>
        <v>1</v>
      </c>
      <c r="L459" s="181">
        <f>BNW[[#This Row],[TOTAL UNIT]]*BNW[[#This Row],[Total Berat Baut
(Kg)]]</f>
        <v>40.664000000000001</v>
      </c>
      <c r="N459"/>
      <c r="O459" s="25"/>
    </row>
    <row r="460" spans="1:15" x14ac:dyDescent="0.3">
      <c r="A460" t="s">
        <v>944</v>
      </c>
      <c r="B460" t="str">
        <f>IFERROR(VLOOKUP(A460,'DATA MASTER'!A:O,2,0)," ")</f>
        <v>Panel Bailey</v>
      </c>
      <c r="C460" t="str">
        <f>IFERROR(VLOOKUP(A460,'DATA MASTER'!A:O,4,0)," ")</f>
        <v>9 SSR-EW</v>
      </c>
      <c r="D460" t="s">
        <v>133</v>
      </c>
      <c r="E460" t="s">
        <v>106</v>
      </c>
      <c r="F460" s="1">
        <v>8.8000000000000007</v>
      </c>
      <c r="G460" s="1">
        <v>48</v>
      </c>
      <c r="H460">
        <v>0.53</v>
      </c>
      <c r="I460" s="16">
        <f>BNW[[#This Row],[Berat Satuan
(Kg)]]*BNW[[#This Row],[Qty
(Set)]]</f>
        <v>25.44</v>
      </c>
      <c r="K460" s="1">
        <f>SUMIF(DATA_MASTER[NO. PON],BNW[[#This Row],[No.PON]],DATA_MASTER[Qty
(Unit)])</f>
        <v>2</v>
      </c>
      <c r="L460" s="16">
        <f>BNW[[#This Row],[TOTAL UNIT]]*BNW[[#This Row],[Total Berat Baut
(Kg)]]</f>
        <v>50.88</v>
      </c>
      <c r="O460" s="25"/>
    </row>
    <row r="461" spans="1:15" x14ac:dyDescent="0.3">
      <c r="A461" t="s">
        <v>944</v>
      </c>
      <c r="B461" t="str">
        <f>IFERROR(VLOOKUP(A461,'DATA MASTER'!A:O,2,0)," ")</f>
        <v>Panel Bailey</v>
      </c>
      <c r="C461" t="str">
        <f>IFERROR(VLOOKUP(A461,'DATA MASTER'!A:O,4,0)," ")</f>
        <v>9 SSR-EW</v>
      </c>
      <c r="D461" t="s">
        <v>134</v>
      </c>
      <c r="E461" t="s">
        <v>106</v>
      </c>
      <c r="F461" s="1">
        <v>8.8000000000000007</v>
      </c>
      <c r="G461" s="1">
        <v>3</v>
      </c>
      <c r="H461">
        <v>0.46</v>
      </c>
      <c r="I461" s="16">
        <f>BNW[[#This Row],[Berat Satuan
(Kg)]]*BNW[[#This Row],[Qty
(Set)]]</f>
        <v>1.3800000000000001</v>
      </c>
      <c r="K461" s="1">
        <f>SUMIF(DATA_MASTER[NO. PON],BNW[[#This Row],[No.PON]],DATA_MASTER[Qty
(Unit)])</f>
        <v>2</v>
      </c>
      <c r="L461" s="16">
        <f>BNW[[#This Row],[TOTAL UNIT]]*BNW[[#This Row],[Total Berat Baut
(Kg)]]</f>
        <v>2.7600000000000002</v>
      </c>
      <c r="N461"/>
      <c r="O461" s="25"/>
    </row>
    <row r="462" spans="1:15" x14ac:dyDescent="0.3">
      <c r="A462" t="s">
        <v>944</v>
      </c>
      <c r="B462" t="str">
        <f>IFERROR(VLOOKUP(A462,'DATA MASTER'!A:O,2,0)," ")</f>
        <v>Panel Bailey</v>
      </c>
      <c r="C462" t="str">
        <f>IFERROR(VLOOKUP(A462,'DATA MASTER'!A:O,4,0)," ")</f>
        <v>9 SSR-EW</v>
      </c>
      <c r="D462" t="s">
        <v>135</v>
      </c>
      <c r="E462" t="s">
        <v>106</v>
      </c>
      <c r="F462" s="1">
        <v>8.8000000000000007</v>
      </c>
      <c r="G462" s="1">
        <v>24</v>
      </c>
      <c r="H462">
        <v>0.43</v>
      </c>
      <c r="I462" s="16">
        <f>BNW[[#This Row],[Berat Satuan
(Kg)]]*BNW[[#This Row],[Qty
(Set)]]</f>
        <v>10.32</v>
      </c>
      <c r="K462" s="1">
        <f>SUMIF(DATA_MASTER[NO. PON],BNW[[#This Row],[No.PON]],DATA_MASTER[Qty
(Unit)])</f>
        <v>2</v>
      </c>
      <c r="L462" s="16">
        <f>BNW[[#This Row],[TOTAL UNIT]]*BNW[[#This Row],[Total Berat Baut
(Kg)]]</f>
        <v>20.64</v>
      </c>
      <c r="N462"/>
      <c r="O462" s="25"/>
    </row>
    <row r="463" spans="1:15" x14ac:dyDescent="0.3">
      <c r="A463" t="s">
        <v>944</v>
      </c>
      <c r="B463" t="str">
        <f>IFERROR(VLOOKUP(A463,'DATA MASTER'!A:O,2,0)," ")</f>
        <v>Panel Bailey</v>
      </c>
      <c r="C463" t="str">
        <f>IFERROR(VLOOKUP(A463,'DATA MASTER'!A:O,4,0)," ")</f>
        <v>9 SSR-EW</v>
      </c>
      <c r="D463" t="s">
        <v>136</v>
      </c>
      <c r="E463" t="s">
        <v>106</v>
      </c>
      <c r="F463" s="1">
        <v>8.8000000000000007</v>
      </c>
      <c r="G463" s="1">
        <v>20</v>
      </c>
      <c r="H463">
        <v>0.41</v>
      </c>
      <c r="I463" s="16">
        <f>BNW[[#This Row],[Berat Satuan
(Kg)]]*BNW[[#This Row],[Qty
(Set)]]</f>
        <v>8.1999999999999993</v>
      </c>
      <c r="K463" s="1">
        <f>SUMIF(DATA_MASTER[NO. PON],BNW[[#This Row],[No.PON]],DATA_MASTER[Qty
(Unit)])</f>
        <v>2</v>
      </c>
      <c r="L463" s="16">
        <f>BNW[[#This Row],[TOTAL UNIT]]*BNW[[#This Row],[Total Berat Baut
(Kg)]]</f>
        <v>16.399999999999999</v>
      </c>
      <c r="N463"/>
      <c r="O463" s="25"/>
    </row>
    <row r="464" spans="1:15" x14ac:dyDescent="0.3">
      <c r="A464" t="s">
        <v>944</v>
      </c>
      <c r="B464" t="str">
        <f>IFERROR(VLOOKUP(A464,'DATA MASTER'!A:O,2,0)," ")</f>
        <v>Panel Bailey</v>
      </c>
      <c r="C464" t="str">
        <f>IFERROR(VLOOKUP(A464,'DATA MASTER'!A:O,4,0)," ")</f>
        <v>9 SSR-EW</v>
      </c>
      <c r="D464" t="s">
        <v>137</v>
      </c>
      <c r="E464" t="s">
        <v>106</v>
      </c>
      <c r="F464" s="1">
        <v>8.8000000000000007</v>
      </c>
      <c r="G464" s="1">
        <v>64</v>
      </c>
      <c r="H464">
        <v>0.47399999999999998</v>
      </c>
      <c r="I464" s="16">
        <f>BNW[[#This Row],[Berat Satuan
(Kg)]]*BNW[[#This Row],[Qty
(Set)]]</f>
        <v>30.335999999999999</v>
      </c>
      <c r="K464" s="1">
        <f>SUMIF(DATA_MASTER[NO. PON],BNW[[#This Row],[No.PON]],DATA_MASTER[Qty
(Unit)])</f>
        <v>2</v>
      </c>
      <c r="L464" s="16">
        <f>BNW[[#This Row],[TOTAL UNIT]]*BNW[[#This Row],[Total Berat Baut
(Kg)]]</f>
        <v>60.671999999999997</v>
      </c>
      <c r="N464"/>
      <c r="O464" s="25"/>
    </row>
    <row r="465" spans="1:15" x14ac:dyDescent="0.3">
      <c r="A465" t="s">
        <v>944</v>
      </c>
      <c r="B465" t="str">
        <f>IFERROR(VLOOKUP(A465,'DATA MASTER'!A:O,2,0)," ")</f>
        <v>Panel Bailey</v>
      </c>
      <c r="C465" t="str">
        <f>IFERROR(VLOOKUP(A465,'DATA MASTER'!A:O,4,0)," ")</f>
        <v>9 SSR-EW</v>
      </c>
      <c r="D465" t="s">
        <v>294</v>
      </c>
      <c r="E465" t="s">
        <v>106</v>
      </c>
      <c r="F465" s="1">
        <v>8.8000000000000007</v>
      </c>
      <c r="G465" s="1">
        <v>8</v>
      </c>
      <c r="H465">
        <v>0.35400000000000004</v>
      </c>
      <c r="I465" s="16">
        <f>BNW[[#This Row],[Berat Satuan
(Kg)]]*BNW[[#This Row],[Qty
(Set)]]</f>
        <v>2.8320000000000003</v>
      </c>
      <c r="K465" s="1">
        <f>SUMIF(DATA_MASTER[NO. PON],BNW[[#This Row],[No.PON]],DATA_MASTER[Qty
(Unit)])</f>
        <v>2</v>
      </c>
      <c r="L465" s="16">
        <f>BNW[[#This Row],[TOTAL UNIT]]*BNW[[#This Row],[Total Berat Baut
(Kg)]]</f>
        <v>5.6640000000000006</v>
      </c>
      <c r="N465"/>
      <c r="O465" s="25"/>
    </row>
    <row r="466" spans="1:15" x14ac:dyDescent="0.3">
      <c r="A466" t="s">
        <v>944</v>
      </c>
      <c r="B466" t="str">
        <f>IFERROR(VLOOKUP(A466,'DATA MASTER'!A:O,2,0)," ")</f>
        <v>Panel Bailey</v>
      </c>
      <c r="C466" t="str">
        <f>IFERROR(VLOOKUP(A466,'DATA MASTER'!A:O,4,0)," ")</f>
        <v>9 SSR-EW</v>
      </c>
      <c r="D466" t="s">
        <v>295</v>
      </c>
      <c r="E466" t="s">
        <v>106</v>
      </c>
      <c r="F466" s="1">
        <v>8.8000000000000007</v>
      </c>
      <c r="G466" s="1">
        <v>8</v>
      </c>
      <c r="H466">
        <v>0.33400000000000002</v>
      </c>
      <c r="I466" s="16">
        <f>BNW[[#This Row],[Berat Satuan
(Kg)]]*BNW[[#This Row],[Qty
(Set)]]</f>
        <v>2.6720000000000002</v>
      </c>
      <c r="K466" s="1">
        <f>SUMIF(DATA_MASTER[NO. PON],BNW[[#This Row],[No.PON]],DATA_MASTER[Qty
(Unit)])</f>
        <v>2</v>
      </c>
      <c r="L466" s="16">
        <f>BNW[[#This Row],[TOTAL UNIT]]*BNW[[#This Row],[Total Berat Baut
(Kg)]]</f>
        <v>5.3440000000000003</v>
      </c>
      <c r="N466"/>
      <c r="O466" s="25"/>
    </row>
    <row r="467" spans="1:15" x14ac:dyDescent="0.3">
      <c r="A467" t="s">
        <v>944</v>
      </c>
      <c r="B467" t="str">
        <f>IFERROR(VLOOKUP(A467,'DATA MASTER'!A:O,2,0)," ")</f>
        <v>Panel Bailey</v>
      </c>
      <c r="C467" t="str">
        <f>IFERROR(VLOOKUP(A467,'DATA MASTER'!A:O,4,0)," ")</f>
        <v>9 SSR-EW</v>
      </c>
      <c r="D467" t="s">
        <v>138</v>
      </c>
      <c r="E467" t="s">
        <v>106</v>
      </c>
      <c r="F467" s="1">
        <v>8.8000000000000007</v>
      </c>
      <c r="G467" s="1">
        <v>16</v>
      </c>
      <c r="H467">
        <v>0.29399999999999998</v>
      </c>
      <c r="I467" s="16">
        <f>BNW[[#This Row],[Berat Satuan
(Kg)]]*BNW[[#This Row],[Qty
(Set)]]</f>
        <v>4.7039999999999997</v>
      </c>
      <c r="K467" s="1">
        <f>SUMIF(DATA_MASTER[NO. PON],BNW[[#This Row],[No.PON]],DATA_MASTER[Qty
(Unit)])</f>
        <v>2</v>
      </c>
      <c r="L467" s="16">
        <f>BNW[[#This Row],[TOTAL UNIT]]*BNW[[#This Row],[Total Berat Baut
(Kg)]]</f>
        <v>9.4079999999999995</v>
      </c>
      <c r="N467"/>
      <c r="O467" s="25"/>
    </row>
    <row r="468" spans="1:15" x14ac:dyDescent="0.3">
      <c r="A468" t="s">
        <v>944</v>
      </c>
      <c r="B468" t="str">
        <f>IFERROR(VLOOKUP(A468,'DATA MASTER'!A:O,2,0)," ")</f>
        <v>Panel Bailey</v>
      </c>
      <c r="C468" t="str">
        <f>IFERROR(VLOOKUP(A468,'DATA MASTER'!A:O,4,0)," ")</f>
        <v>9 SSR-EW</v>
      </c>
      <c r="D468" t="s">
        <v>139</v>
      </c>
      <c r="E468" t="s">
        <v>106</v>
      </c>
      <c r="F468" s="1">
        <v>8.8000000000000007</v>
      </c>
      <c r="G468" s="1">
        <v>3</v>
      </c>
      <c r="H468">
        <v>0.29399999999999998</v>
      </c>
      <c r="I468" s="16">
        <f>BNW[[#This Row],[Berat Satuan
(Kg)]]*BNW[[#This Row],[Qty
(Set)]]</f>
        <v>0.8819999999999999</v>
      </c>
      <c r="K468" s="1">
        <f>SUMIF(DATA_MASTER[NO. PON],BNW[[#This Row],[No.PON]],DATA_MASTER[Qty
(Unit)])</f>
        <v>2</v>
      </c>
      <c r="L468" s="16">
        <f>BNW[[#This Row],[TOTAL UNIT]]*BNW[[#This Row],[Total Berat Baut
(Kg)]]</f>
        <v>1.7639999999999998</v>
      </c>
      <c r="N468"/>
      <c r="O468" s="25"/>
    </row>
    <row r="469" spans="1:15" x14ac:dyDescent="0.3">
      <c r="A469" t="s">
        <v>944</v>
      </c>
      <c r="B469" t="str">
        <f>IFERROR(VLOOKUP(A469,'DATA MASTER'!A:O,2,0)," ")</f>
        <v>Panel Bailey</v>
      </c>
      <c r="C469" t="str">
        <f>IFERROR(VLOOKUP(A469,'DATA MASTER'!A:O,4,0)," ")</f>
        <v>9 SSR-EW</v>
      </c>
      <c r="D469" t="s">
        <v>140</v>
      </c>
      <c r="E469" t="s">
        <v>106</v>
      </c>
      <c r="F469" s="1">
        <v>8.8000000000000007</v>
      </c>
      <c r="G469" s="1">
        <v>24</v>
      </c>
      <c r="H469">
        <v>0.24399999999999999</v>
      </c>
      <c r="I469" s="16">
        <f>BNW[[#This Row],[Berat Satuan
(Kg)]]*BNW[[#This Row],[Qty
(Set)]]</f>
        <v>5.8559999999999999</v>
      </c>
      <c r="K469" s="1">
        <f>SUMIF(DATA_MASTER[NO. PON],BNW[[#This Row],[No.PON]],DATA_MASTER[Qty
(Unit)])</f>
        <v>2</v>
      </c>
      <c r="L469" s="16">
        <f>BNW[[#This Row],[TOTAL UNIT]]*BNW[[#This Row],[Total Berat Baut
(Kg)]]</f>
        <v>11.712</v>
      </c>
      <c r="N469"/>
      <c r="O469" s="25"/>
    </row>
    <row r="470" spans="1:15" x14ac:dyDescent="0.3">
      <c r="A470" t="s">
        <v>944</v>
      </c>
      <c r="B470" t="str">
        <f>IFERROR(VLOOKUP(A470,'DATA MASTER'!A:O,2,0)," ")</f>
        <v>Panel Bailey</v>
      </c>
      <c r="C470" t="str">
        <f>IFERROR(VLOOKUP(A470,'DATA MASTER'!A:O,4,0)," ")</f>
        <v>9 SSR-EW</v>
      </c>
      <c r="D470" t="s">
        <v>141</v>
      </c>
      <c r="E470" t="s">
        <v>106</v>
      </c>
      <c r="F470" s="1">
        <v>8.8000000000000007</v>
      </c>
      <c r="G470" s="1">
        <v>8</v>
      </c>
      <c r="H470">
        <v>0.13600000000000001</v>
      </c>
      <c r="I470" s="16">
        <f>BNW[[#This Row],[Berat Satuan
(Kg)]]*BNW[[#This Row],[Qty
(Set)]]</f>
        <v>1.0880000000000001</v>
      </c>
      <c r="K470" s="1">
        <f>SUMIF(DATA_MASTER[NO. PON],BNW[[#This Row],[No.PON]],DATA_MASTER[Qty
(Unit)])</f>
        <v>2</v>
      </c>
      <c r="L470" s="16">
        <f>BNW[[#This Row],[TOTAL UNIT]]*BNW[[#This Row],[Total Berat Baut
(Kg)]]</f>
        <v>2.1760000000000002</v>
      </c>
      <c r="N470"/>
      <c r="O470" s="25"/>
    </row>
    <row r="471" spans="1:15" x14ac:dyDescent="0.3">
      <c r="A471" t="s">
        <v>944</v>
      </c>
      <c r="B471" t="str">
        <f>IFERROR(VLOOKUP(A471,'DATA MASTER'!A:O,2,0)," ")</f>
        <v>Panel Bailey</v>
      </c>
      <c r="C471" t="str">
        <f>IFERROR(VLOOKUP(A471,'DATA MASTER'!A:O,4,0)," ")</f>
        <v>9 SSR-EW</v>
      </c>
      <c r="D471" t="s">
        <v>142</v>
      </c>
      <c r="E471" t="s">
        <v>106</v>
      </c>
      <c r="F471" s="1">
        <v>8.8000000000000007</v>
      </c>
      <c r="G471" s="1">
        <v>24</v>
      </c>
      <c r="H471">
        <v>0.13600000000000001</v>
      </c>
      <c r="I471" s="16">
        <f>BNW[[#This Row],[Berat Satuan
(Kg)]]*BNW[[#This Row],[Qty
(Set)]]</f>
        <v>3.2640000000000002</v>
      </c>
      <c r="K471" s="1">
        <f>SUMIF(DATA_MASTER[NO. PON],BNW[[#This Row],[No.PON]],DATA_MASTER[Qty
(Unit)])</f>
        <v>2</v>
      </c>
      <c r="L471" s="16">
        <f>BNW[[#This Row],[TOTAL UNIT]]*BNW[[#This Row],[Total Berat Baut
(Kg)]]</f>
        <v>6.5280000000000005</v>
      </c>
      <c r="N471"/>
      <c r="O471" s="25"/>
    </row>
    <row r="472" spans="1:15" x14ac:dyDescent="0.3">
      <c r="A472" t="s">
        <v>758</v>
      </c>
      <c r="B472" t="str">
        <f>IFERROR(VLOOKUP(A472,'DATA MASTER'!A:O,2,0)," ")</f>
        <v>Jembatan Gantung</v>
      </c>
      <c r="C472" t="str">
        <f>IFERROR(VLOOKUP(A472,'DATA MASTER'!A:O,4,0)," ")</f>
        <v>JG150</v>
      </c>
      <c r="D472" t="s">
        <v>78</v>
      </c>
      <c r="E472" t="s">
        <v>786</v>
      </c>
      <c r="F472" s="1">
        <v>8.8000000000000007</v>
      </c>
      <c r="G472" s="1">
        <v>488</v>
      </c>
      <c r="H472">
        <v>0.53</v>
      </c>
      <c r="I472" s="16">
        <f>BNW[[#This Row],[Berat Satuan
(Kg)]]*BNW[[#This Row],[Qty
(Set)]]</f>
        <v>258.64</v>
      </c>
      <c r="K472" s="1">
        <f>SUMIF(DATA_MASTER[NO. PON],BNW[[#This Row],[No.PON]],DATA_MASTER[Qty
(Unit)])</f>
        <v>1</v>
      </c>
      <c r="L472" s="16">
        <f>BNW[[#This Row],[TOTAL UNIT]]*BNW[[#This Row],[Total Berat Baut
(Kg)]]</f>
        <v>258.64</v>
      </c>
      <c r="N472"/>
      <c r="O472" s="25"/>
    </row>
    <row r="473" spans="1:15" x14ac:dyDescent="0.3">
      <c r="A473" t="s">
        <v>758</v>
      </c>
      <c r="B473" t="str">
        <f>IFERROR(VLOOKUP(A473,'DATA MASTER'!A:O,2,0)," ")</f>
        <v>Jembatan Gantung</v>
      </c>
      <c r="C473" t="str">
        <f>IFERROR(VLOOKUP(A473,'DATA MASTER'!A:O,4,0)," ")</f>
        <v>JG150</v>
      </c>
      <c r="D473" t="s">
        <v>86</v>
      </c>
      <c r="E473" t="s">
        <v>786</v>
      </c>
      <c r="F473" s="1">
        <v>8.8000000000000007</v>
      </c>
      <c r="G473" s="1">
        <v>1044</v>
      </c>
      <c r="H473">
        <v>0.30400000000000005</v>
      </c>
      <c r="I473" s="16">
        <f>BNW[[#This Row],[Berat Satuan
(Kg)]]*BNW[[#This Row],[Qty
(Set)]]</f>
        <v>317.37600000000003</v>
      </c>
      <c r="K473" s="1">
        <f>SUMIF(DATA_MASTER[NO. PON],BNW[[#This Row],[No.PON]],DATA_MASTER[Qty
(Unit)])</f>
        <v>1</v>
      </c>
      <c r="L473" s="16">
        <f>BNW[[#This Row],[TOTAL UNIT]]*BNW[[#This Row],[Total Berat Baut
(Kg)]]</f>
        <v>317.37600000000003</v>
      </c>
      <c r="N473"/>
      <c r="O473" s="25"/>
    </row>
    <row r="474" spans="1:15" x14ac:dyDescent="0.3">
      <c r="A474" t="s">
        <v>758</v>
      </c>
      <c r="B474" t="str">
        <f>IFERROR(VLOOKUP(A474,'DATA MASTER'!A:O,2,0)," ")</f>
        <v>Jembatan Gantung</v>
      </c>
      <c r="C474" t="str">
        <f>IFERROR(VLOOKUP(A474,'DATA MASTER'!A:O,4,0)," ")</f>
        <v>JG150</v>
      </c>
      <c r="D474" t="s">
        <v>283</v>
      </c>
      <c r="E474" t="s">
        <v>786</v>
      </c>
      <c r="F474" s="1">
        <v>8.8000000000000007</v>
      </c>
      <c r="G474" s="1">
        <v>2964</v>
      </c>
      <c r="H474">
        <v>0.27400000000000002</v>
      </c>
      <c r="I474" s="16">
        <f>BNW[[#This Row],[Berat Satuan
(Kg)]]*BNW[[#This Row],[Qty
(Set)]]</f>
        <v>812.13600000000008</v>
      </c>
      <c r="K474" s="1">
        <f>SUMIF(DATA_MASTER[NO. PON],BNW[[#This Row],[No.PON]],DATA_MASTER[Qty
(Unit)])</f>
        <v>1</v>
      </c>
      <c r="L474" s="16">
        <f>BNW[[#This Row],[TOTAL UNIT]]*BNW[[#This Row],[Total Berat Baut
(Kg)]]</f>
        <v>812.13600000000008</v>
      </c>
      <c r="N474"/>
      <c r="O474" s="25"/>
    </row>
    <row r="475" spans="1:15" x14ac:dyDescent="0.3">
      <c r="A475" t="s">
        <v>758</v>
      </c>
      <c r="B475" t="str">
        <f>IFERROR(VLOOKUP(A475,'DATA MASTER'!A:O,2,0)," ")</f>
        <v>Jembatan Gantung</v>
      </c>
      <c r="C475" t="str">
        <f>IFERROR(VLOOKUP(A475,'DATA MASTER'!A:O,4,0)," ")</f>
        <v>JG150</v>
      </c>
      <c r="D475" t="s">
        <v>80</v>
      </c>
      <c r="E475" t="s">
        <v>786</v>
      </c>
      <c r="F475" s="1">
        <v>8.8000000000000007</v>
      </c>
      <c r="G475" s="1">
        <v>16</v>
      </c>
      <c r="H475">
        <v>0.27400000000000002</v>
      </c>
      <c r="I475" s="16">
        <f>BNW[[#This Row],[Berat Satuan
(Kg)]]*BNW[[#This Row],[Qty
(Set)]]</f>
        <v>4.3840000000000003</v>
      </c>
      <c r="K475" s="1">
        <f>SUMIF(DATA_MASTER[NO. PON],BNW[[#This Row],[No.PON]],DATA_MASTER[Qty
(Unit)])</f>
        <v>1</v>
      </c>
      <c r="L475" s="16">
        <f>BNW[[#This Row],[TOTAL UNIT]]*BNW[[#This Row],[Total Berat Baut
(Kg)]]</f>
        <v>4.3840000000000003</v>
      </c>
      <c r="N475"/>
      <c r="O475" s="25"/>
    </row>
    <row r="476" spans="1:15" x14ac:dyDescent="0.3">
      <c r="A476" t="s">
        <v>758</v>
      </c>
      <c r="B476" t="str">
        <f>IFERROR(VLOOKUP(A476,'DATA MASTER'!A:O,2,0)," ")</f>
        <v>Jembatan Gantung</v>
      </c>
      <c r="C476" t="str">
        <f>IFERROR(VLOOKUP(A476,'DATA MASTER'!A:O,4,0)," ")</f>
        <v>JG150</v>
      </c>
      <c r="D476" t="s">
        <v>81</v>
      </c>
      <c r="E476" t="s">
        <v>786</v>
      </c>
      <c r="F476" s="1">
        <v>8.8000000000000007</v>
      </c>
      <c r="G476" s="1">
        <v>640</v>
      </c>
      <c r="H476">
        <v>0.27400000000000002</v>
      </c>
      <c r="I476" s="16">
        <f>BNW[[#This Row],[Berat Satuan
(Kg)]]*BNW[[#This Row],[Qty
(Set)]]</f>
        <v>175.36</v>
      </c>
      <c r="K476" s="1">
        <f>SUMIF(DATA_MASTER[NO. PON],BNW[[#This Row],[No.PON]],DATA_MASTER[Qty
(Unit)])</f>
        <v>1</v>
      </c>
      <c r="L476" s="16">
        <f>BNW[[#This Row],[TOTAL UNIT]]*BNW[[#This Row],[Total Berat Baut
(Kg)]]</f>
        <v>175.36</v>
      </c>
      <c r="N476"/>
      <c r="O476" s="25"/>
    </row>
    <row r="477" spans="1:15" x14ac:dyDescent="0.3">
      <c r="A477" t="s">
        <v>758</v>
      </c>
      <c r="B477" t="str">
        <f>IFERROR(VLOOKUP(A477,'DATA MASTER'!A:O,2,0)," ")</f>
        <v>Jembatan Gantung</v>
      </c>
      <c r="C477" t="str">
        <f>IFERROR(VLOOKUP(A477,'DATA MASTER'!A:O,4,0)," ")</f>
        <v>JG150</v>
      </c>
      <c r="D477" t="s">
        <v>785</v>
      </c>
      <c r="E477" t="s">
        <v>106</v>
      </c>
      <c r="F477" s="1">
        <v>8.8000000000000007</v>
      </c>
      <c r="G477" s="1">
        <v>16</v>
      </c>
      <c r="H477">
        <v>0.16900000000000001</v>
      </c>
      <c r="I477" s="16">
        <f>BNW[[#This Row],[Berat Satuan
(Kg)]]*BNW[[#This Row],[Qty
(Set)]]</f>
        <v>2.7040000000000002</v>
      </c>
      <c r="K477" s="1">
        <f>SUMIF(DATA_MASTER[NO. PON],BNW[[#This Row],[No.PON]],DATA_MASTER[Qty
(Unit)])</f>
        <v>1</v>
      </c>
      <c r="L477" s="16">
        <f>BNW[[#This Row],[TOTAL UNIT]]*BNW[[#This Row],[Total Berat Baut
(Kg)]]</f>
        <v>2.7040000000000002</v>
      </c>
      <c r="N477"/>
      <c r="O477" s="25"/>
    </row>
    <row r="478" spans="1:15" x14ac:dyDescent="0.3">
      <c r="A478" t="s">
        <v>758</v>
      </c>
      <c r="B478" t="str">
        <f>IFERROR(VLOOKUP(A478,'DATA MASTER'!A:O,2,0)," ")</f>
        <v>Jembatan Gantung</v>
      </c>
      <c r="C478" t="str">
        <f>IFERROR(VLOOKUP(A478,'DATA MASTER'!A:O,4,0)," ")</f>
        <v>JG150</v>
      </c>
      <c r="D478" t="s">
        <v>87</v>
      </c>
      <c r="E478" t="s">
        <v>106</v>
      </c>
      <c r="F478" s="1">
        <v>8.8000000000000007</v>
      </c>
      <c r="G478" s="1">
        <v>2100</v>
      </c>
      <c r="H478">
        <v>0.14900000000000002</v>
      </c>
      <c r="I478" s="16">
        <f>BNW[[#This Row],[Berat Satuan
(Kg)]]*BNW[[#This Row],[Qty
(Set)]]</f>
        <v>312.90000000000003</v>
      </c>
      <c r="K478" s="1">
        <f>SUMIF(DATA_MASTER[NO. PON],BNW[[#This Row],[No.PON]],DATA_MASTER[Qty
(Unit)])</f>
        <v>1</v>
      </c>
      <c r="L478" s="16">
        <f>BNW[[#This Row],[TOTAL UNIT]]*BNW[[#This Row],[Total Berat Baut
(Kg)]]</f>
        <v>312.90000000000003</v>
      </c>
      <c r="N478"/>
      <c r="O478" s="25"/>
    </row>
    <row r="479" spans="1:15" x14ac:dyDescent="0.3">
      <c r="A479" t="s">
        <v>758</v>
      </c>
      <c r="B479" t="str">
        <f>IFERROR(VLOOKUP(A479,'DATA MASTER'!A:O,2,0)," ")</f>
        <v>Jembatan Gantung</v>
      </c>
      <c r="C479" t="str">
        <f>IFERROR(VLOOKUP(A479,'DATA MASTER'!A:O,4,0)," ")</f>
        <v>JG150</v>
      </c>
      <c r="D479" t="s">
        <v>88</v>
      </c>
      <c r="E479" t="s">
        <v>106</v>
      </c>
      <c r="F479" s="1">
        <v>8.8000000000000007</v>
      </c>
      <c r="G479" s="1">
        <v>600</v>
      </c>
      <c r="H479">
        <v>0.13600000000000001</v>
      </c>
      <c r="I479" s="16">
        <f>BNW[[#This Row],[Berat Satuan
(Kg)]]*BNW[[#This Row],[Qty
(Set)]]</f>
        <v>81.600000000000009</v>
      </c>
      <c r="K479" s="1">
        <f>SUMIF(DATA_MASTER[NO. PON],BNW[[#This Row],[No.PON]],DATA_MASTER[Qty
(Unit)])</f>
        <v>1</v>
      </c>
      <c r="L479" s="16">
        <f>BNW[[#This Row],[TOTAL UNIT]]*BNW[[#This Row],[Total Berat Baut
(Kg)]]</f>
        <v>81.600000000000009</v>
      </c>
      <c r="N479"/>
      <c r="O479" s="25"/>
    </row>
    <row r="480" spans="1:15" x14ac:dyDescent="0.3">
      <c r="A480" t="s">
        <v>758</v>
      </c>
      <c r="B480" t="str">
        <f>IFERROR(VLOOKUP(A480,'DATA MASTER'!A:O,2,0)," ")</f>
        <v>Jembatan Gantung</v>
      </c>
      <c r="C480" t="str">
        <f>IFERROR(VLOOKUP(A480,'DATA MASTER'!A:O,4,0)," ")</f>
        <v>JG150</v>
      </c>
      <c r="D480" t="s">
        <v>203</v>
      </c>
      <c r="E480" t="s">
        <v>106</v>
      </c>
      <c r="F480" s="1">
        <v>8.8000000000000007</v>
      </c>
      <c r="G480" s="1">
        <v>8</v>
      </c>
      <c r="H480">
        <v>0.129</v>
      </c>
      <c r="I480" s="16">
        <f>BNW[[#This Row],[Berat Satuan
(Kg)]]*BNW[[#This Row],[Qty
(Set)]]</f>
        <v>1.032</v>
      </c>
      <c r="K480" s="1">
        <f>SUMIF(DATA_MASTER[NO. PON],BNW[[#This Row],[No.PON]],DATA_MASTER[Qty
(Unit)])</f>
        <v>1</v>
      </c>
      <c r="L480" s="16">
        <f>BNW[[#This Row],[TOTAL UNIT]]*BNW[[#This Row],[Total Berat Baut
(Kg)]]</f>
        <v>1.032</v>
      </c>
      <c r="N480"/>
      <c r="O480" s="25"/>
    </row>
    <row r="481" spans="1:15" x14ac:dyDescent="0.3">
      <c r="A481" t="s">
        <v>758</v>
      </c>
      <c r="B481" t="str">
        <f>IFERROR(VLOOKUP(A481,'DATA MASTER'!A:O,2,0)," ")</f>
        <v>Jembatan Gantung</v>
      </c>
      <c r="C481" t="str">
        <f>IFERROR(VLOOKUP(A481,'DATA MASTER'!A:O,4,0)," ")</f>
        <v>JG150</v>
      </c>
      <c r="D481" t="s">
        <v>478</v>
      </c>
      <c r="E481" t="s">
        <v>106</v>
      </c>
      <c r="F481" s="1">
        <v>8.8000000000000007</v>
      </c>
      <c r="G481" s="1">
        <v>2368</v>
      </c>
      <c r="H481">
        <v>7.2000000000000008E-2</v>
      </c>
      <c r="I481" s="16">
        <f>BNW[[#This Row],[Berat Satuan
(Kg)]]*BNW[[#This Row],[Qty
(Set)]]</f>
        <v>170.49600000000001</v>
      </c>
      <c r="K481" s="1">
        <f>SUMIF(DATA_MASTER[NO. PON],BNW[[#This Row],[No.PON]],DATA_MASTER[Qty
(Unit)])</f>
        <v>1</v>
      </c>
      <c r="L481" s="16">
        <f>BNW[[#This Row],[TOTAL UNIT]]*BNW[[#This Row],[Total Berat Baut
(Kg)]]</f>
        <v>170.49600000000001</v>
      </c>
      <c r="N481"/>
      <c r="O481" s="25"/>
    </row>
    <row r="482" spans="1:15" x14ac:dyDescent="0.3">
      <c r="A482" t="s">
        <v>758</v>
      </c>
      <c r="B482" t="str">
        <f>IFERROR(VLOOKUP(A482,'DATA MASTER'!A:O,2,0)," ")</f>
        <v>Jembatan Gantung</v>
      </c>
      <c r="C482" t="str">
        <f>IFERROR(VLOOKUP(A482,'DATA MASTER'!A:O,4,0)," ")</f>
        <v>JG150</v>
      </c>
      <c r="D482" t="s">
        <v>89</v>
      </c>
      <c r="E482" t="s">
        <v>106</v>
      </c>
      <c r="F482" s="1">
        <v>8.8000000000000007</v>
      </c>
      <c r="G482" s="1">
        <v>976</v>
      </c>
      <c r="H482">
        <v>6.8000000000000005E-2</v>
      </c>
      <c r="I482" s="16">
        <f>BNW[[#This Row],[Berat Satuan
(Kg)]]*BNW[[#This Row],[Qty
(Set)]]</f>
        <v>66.368000000000009</v>
      </c>
      <c r="K482" s="1">
        <f>SUMIF(DATA_MASTER[NO. PON],BNW[[#This Row],[No.PON]],DATA_MASTER[Qty
(Unit)])</f>
        <v>1</v>
      </c>
      <c r="L482" s="16">
        <f>BNW[[#This Row],[TOTAL UNIT]]*BNW[[#This Row],[Total Berat Baut
(Kg)]]</f>
        <v>66.368000000000009</v>
      </c>
      <c r="N482"/>
      <c r="O482" s="25"/>
    </row>
    <row r="483" spans="1:15" x14ac:dyDescent="0.3">
      <c r="A483" t="s">
        <v>894</v>
      </c>
      <c r="B483" t="str">
        <f>IFERROR(VLOOKUP(A483,'DATA MASTER'!A:O,2,0)," ")</f>
        <v>Panel Bailey</v>
      </c>
      <c r="C483" t="str">
        <f>IFERROR(VLOOKUP(A483,'DATA MASTER'!A:O,4,0)," ")</f>
        <v>39 DSR2H**-EW</v>
      </c>
      <c r="D483" t="s">
        <v>132</v>
      </c>
      <c r="E483" t="s">
        <v>106</v>
      </c>
      <c r="F483" s="1">
        <v>8.8000000000000007</v>
      </c>
      <c r="G483" s="1">
        <v>33</v>
      </c>
      <c r="H483">
        <v>0.67</v>
      </c>
      <c r="I483" s="16">
        <f>BNW[[#This Row],[Berat Satuan
(Kg)]]*BNW[[#This Row],[Qty
(Set)]]</f>
        <v>22.110000000000003</v>
      </c>
      <c r="K483" s="1">
        <f>SUMIF(DATA_MASTER[NO. PON],BNW[[#This Row],[No.PON]],DATA_MASTER[Qty
(Unit)])</f>
        <v>1</v>
      </c>
      <c r="L483" s="16">
        <f>BNW[[#This Row],[TOTAL UNIT]]*BNW[[#This Row],[Total Berat Baut
(Kg)]]</f>
        <v>22.110000000000003</v>
      </c>
      <c r="O483" s="25"/>
    </row>
    <row r="484" spans="1:15" x14ac:dyDescent="0.3">
      <c r="A484" t="s">
        <v>894</v>
      </c>
      <c r="B484" t="str">
        <f>IFERROR(VLOOKUP(A484,'DATA MASTER'!A:O,2,0)," ")</f>
        <v>Panel Bailey</v>
      </c>
      <c r="C484" t="str">
        <f>IFERROR(VLOOKUP(A484,'DATA MASTER'!A:O,4,0)," ")</f>
        <v>39 DSR2H**-EW</v>
      </c>
      <c r="D484" t="s">
        <v>133</v>
      </c>
      <c r="E484" t="s">
        <v>106</v>
      </c>
      <c r="F484" s="1" t="s">
        <v>296</v>
      </c>
      <c r="G484" s="1">
        <v>429</v>
      </c>
      <c r="H484">
        <v>0.79</v>
      </c>
      <c r="I484" s="16">
        <f>BNW[[#This Row],[Berat Satuan
(Kg)]]*BNW[[#This Row],[Qty
(Set)]]</f>
        <v>338.91</v>
      </c>
      <c r="K484" s="1">
        <f>SUMIF(DATA_MASTER[NO. PON],BNW[[#This Row],[No.PON]],DATA_MASTER[Qty
(Unit)])</f>
        <v>1</v>
      </c>
      <c r="L484" s="16">
        <f>BNW[[#This Row],[TOTAL UNIT]]*BNW[[#This Row],[Total Berat Baut
(Kg)]]</f>
        <v>338.91</v>
      </c>
      <c r="N484"/>
      <c r="O484" s="25"/>
    </row>
    <row r="485" spans="1:15" x14ac:dyDescent="0.3">
      <c r="A485" t="s">
        <v>894</v>
      </c>
      <c r="B485" t="str">
        <f>IFERROR(VLOOKUP(A485,'DATA MASTER'!A:O,2,0)," ")</f>
        <v>Panel Bailey</v>
      </c>
      <c r="C485" t="str">
        <f>IFERROR(VLOOKUP(A485,'DATA MASTER'!A:O,4,0)," ")</f>
        <v>39 DSR2H**-EW</v>
      </c>
      <c r="D485" t="s">
        <v>134</v>
      </c>
      <c r="E485" t="s">
        <v>106</v>
      </c>
      <c r="F485" s="1">
        <v>8.8000000000000007</v>
      </c>
      <c r="G485" s="1">
        <v>228</v>
      </c>
      <c r="H485">
        <v>0.46</v>
      </c>
      <c r="I485" s="16">
        <f>BNW[[#This Row],[Berat Satuan
(Kg)]]*BNW[[#This Row],[Qty
(Set)]]</f>
        <v>104.88000000000001</v>
      </c>
      <c r="K485" s="1">
        <f>SUMIF(DATA_MASTER[NO. PON],BNW[[#This Row],[No.PON]],DATA_MASTER[Qty
(Unit)])</f>
        <v>1</v>
      </c>
      <c r="L485" s="16">
        <f>BNW[[#This Row],[TOTAL UNIT]]*BNW[[#This Row],[Total Berat Baut
(Kg)]]</f>
        <v>104.88000000000001</v>
      </c>
      <c r="N485"/>
      <c r="O485" s="25"/>
    </row>
    <row r="486" spans="1:15" x14ac:dyDescent="0.3">
      <c r="A486" t="s">
        <v>894</v>
      </c>
      <c r="B486" t="str">
        <f>IFERROR(VLOOKUP(A486,'DATA MASTER'!A:O,2,0)," ")</f>
        <v>Panel Bailey</v>
      </c>
      <c r="C486" t="str">
        <f>IFERROR(VLOOKUP(A486,'DATA MASTER'!A:O,4,0)," ")</f>
        <v>39 DSR2H**-EW</v>
      </c>
      <c r="D486" t="s">
        <v>135</v>
      </c>
      <c r="E486" t="s">
        <v>106</v>
      </c>
      <c r="F486" s="1">
        <v>8.8000000000000007</v>
      </c>
      <c r="G486" s="1">
        <v>54</v>
      </c>
      <c r="H486">
        <v>0.43</v>
      </c>
      <c r="I486" s="16">
        <f>BNW[[#This Row],[Berat Satuan
(Kg)]]*BNW[[#This Row],[Qty
(Set)]]</f>
        <v>23.22</v>
      </c>
      <c r="K486" s="1">
        <f>SUMIF(DATA_MASTER[NO. PON],BNW[[#This Row],[No.PON]],DATA_MASTER[Qty
(Unit)])</f>
        <v>1</v>
      </c>
      <c r="L486" s="16">
        <f>BNW[[#This Row],[TOTAL UNIT]]*BNW[[#This Row],[Total Berat Baut
(Kg)]]</f>
        <v>23.22</v>
      </c>
      <c r="N486"/>
      <c r="O486" s="25"/>
    </row>
    <row r="487" spans="1:15" x14ac:dyDescent="0.3">
      <c r="A487" t="s">
        <v>894</v>
      </c>
      <c r="B487" t="str">
        <f>IFERROR(VLOOKUP(A487,'DATA MASTER'!A:O,2,0)," ")</f>
        <v>Panel Bailey</v>
      </c>
      <c r="C487" t="str">
        <f>IFERROR(VLOOKUP(A487,'DATA MASTER'!A:O,4,0)," ")</f>
        <v>39 DSR2H**-EW</v>
      </c>
      <c r="D487" t="s">
        <v>136</v>
      </c>
      <c r="E487" t="s">
        <v>106</v>
      </c>
      <c r="F487" s="1">
        <v>8.8000000000000007</v>
      </c>
      <c r="G487" s="1">
        <v>83</v>
      </c>
      <c r="H487">
        <v>0.41</v>
      </c>
      <c r="I487" s="16">
        <f>BNW[[#This Row],[Berat Satuan
(Kg)]]*BNW[[#This Row],[Qty
(Set)]]</f>
        <v>34.03</v>
      </c>
      <c r="K487" s="1">
        <f>SUMIF(DATA_MASTER[NO. PON],BNW[[#This Row],[No.PON]],DATA_MASTER[Qty
(Unit)])</f>
        <v>1</v>
      </c>
      <c r="L487" s="16">
        <f>BNW[[#This Row],[TOTAL UNIT]]*BNW[[#This Row],[Total Berat Baut
(Kg)]]</f>
        <v>34.03</v>
      </c>
      <c r="N487"/>
      <c r="O487" s="25"/>
    </row>
    <row r="488" spans="1:15" x14ac:dyDescent="0.3">
      <c r="A488" t="s">
        <v>894</v>
      </c>
      <c r="B488" t="str">
        <f>IFERROR(VLOOKUP(A488,'DATA MASTER'!A:O,2,0)," ")</f>
        <v>Panel Bailey</v>
      </c>
      <c r="C488" t="str">
        <f>IFERROR(VLOOKUP(A488,'DATA MASTER'!A:O,4,0)," ")</f>
        <v>39 DSR2H**-EW</v>
      </c>
      <c r="D488" t="s">
        <v>137</v>
      </c>
      <c r="E488" t="s">
        <v>106</v>
      </c>
      <c r="F488" s="1">
        <v>8.8000000000000007</v>
      </c>
      <c r="G488" s="1">
        <v>264</v>
      </c>
      <c r="H488">
        <v>0.47399999999999998</v>
      </c>
      <c r="I488" s="16">
        <f>BNW[[#This Row],[Berat Satuan
(Kg)]]*BNW[[#This Row],[Qty
(Set)]]</f>
        <v>125.136</v>
      </c>
      <c r="K488" s="1">
        <f>SUMIF(DATA_MASTER[NO. PON],BNW[[#This Row],[No.PON]],DATA_MASTER[Qty
(Unit)])</f>
        <v>1</v>
      </c>
      <c r="L488" s="16">
        <f>BNW[[#This Row],[TOTAL UNIT]]*BNW[[#This Row],[Total Berat Baut
(Kg)]]</f>
        <v>125.136</v>
      </c>
      <c r="N488"/>
      <c r="O488" s="25"/>
    </row>
    <row r="489" spans="1:15" x14ac:dyDescent="0.3">
      <c r="A489" t="s">
        <v>894</v>
      </c>
      <c r="B489" t="str">
        <f>IFERROR(VLOOKUP(A489,'DATA MASTER'!A:O,2,0)," ")</f>
        <v>Panel Bailey</v>
      </c>
      <c r="C489" t="str">
        <f>IFERROR(VLOOKUP(A489,'DATA MASTER'!A:O,4,0)," ")</f>
        <v>39 DSR2H**-EW</v>
      </c>
      <c r="D489" t="s">
        <v>138</v>
      </c>
      <c r="E489" t="s">
        <v>106</v>
      </c>
      <c r="F489" s="1">
        <v>8.8000000000000007</v>
      </c>
      <c r="G489" s="1">
        <v>25</v>
      </c>
      <c r="H489">
        <v>0.29399999999999998</v>
      </c>
      <c r="I489" s="16">
        <f>BNW[[#This Row],[Berat Satuan
(Kg)]]*BNW[[#This Row],[Qty
(Set)]]</f>
        <v>7.35</v>
      </c>
      <c r="K489" s="1">
        <f>SUMIF(DATA_MASTER[NO. PON],BNW[[#This Row],[No.PON]],DATA_MASTER[Qty
(Unit)])</f>
        <v>1</v>
      </c>
      <c r="L489" s="16">
        <f>BNW[[#This Row],[TOTAL UNIT]]*BNW[[#This Row],[Total Berat Baut
(Kg)]]</f>
        <v>7.35</v>
      </c>
      <c r="N489"/>
      <c r="O489" s="25"/>
    </row>
    <row r="490" spans="1:15" x14ac:dyDescent="0.3">
      <c r="A490" t="s">
        <v>894</v>
      </c>
      <c r="B490" t="str">
        <f>IFERROR(VLOOKUP(A490,'DATA MASTER'!A:O,2,0)," ")</f>
        <v>Panel Bailey</v>
      </c>
      <c r="C490" t="str">
        <f>IFERROR(VLOOKUP(A490,'DATA MASTER'!A:O,4,0)," ")</f>
        <v>39 DSR2H**-EW</v>
      </c>
      <c r="D490" t="s">
        <v>139</v>
      </c>
      <c r="E490" t="s">
        <v>106</v>
      </c>
      <c r="F490" s="1">
        <v>8.8000000000000007</v>
      </c>
      <c r="G490" s="1">
        <v>88</v>
      </c>
      <c r="H490">
        <v>0.254</v>
      </c>
      <c r="I490" s="16">
        <f>BNW[[#This Row],[Berat Satuan
(Kg)]]*BNW[[#This Row],[Qty
(Set)]]</f>
        <v>22.352</v>
      </c>
      <c r="K490" s="1">
        <f>SUMIF(DATA_MASTER[NO. PON],BNW[[#This Row],[No.PON]],DATA_MASTER[Qty
(Unit)])</f>
        <v>1</v>
      </c>
      <c r="L490" s="16">
        <f>BNW[[#This Row],[TOTAL UNIT]]*BNW[[#This Row],[Total Berat Baut
(Kg)]]</f>
        <v>22.352</v>
      </c>
      <c r="N490"/>
      <c r="O490" s="25"/>
    </row>
    <row r="491" spans="1:15" x14ac:dyDescent="0.3">
      <c r="A491" t="s">
        <v>894</v>
      </c>
      <c r="B491" t="str">
        <f>IFERROR(VLOOKUP(A491,'DATA MASTER'!A:O,2,0)," ")</f>
        <v>Panel Bailey</v>
      </c>
      <c r="C491" t="str">
        <f>IFERROR(VLOOKUP(A491,'DATA MASTER'!A:O,4,0)," ")</f>
        <v>39 DSR2H**-EW</v>
      </c>
      <c r="D491" t="s">
        <v>140</v>
      </c>
      <c r="E491" t="s">
        <v>106</v>
      </c>
      <c r="F491" s="1">
        <v>8.8000000000000007</v>
      </c>
      <c r="G491" s="1">
        <v>54</v>
      </c>
      <c r="H491">
        <v>0.24399999999999999</v>
      </c>
      <c r="I491" s="16">
        <f>BNW[[#This Row],[Berat Satuan
(Kg)]]*BNW[[#This Row],[Qty
(Set)]]</f>
        <v>13.176</v>
      </c>
      <c r="K491" s="1">
        <f>SUMIF(DATA_MASTER[NO. PON],BNW[[#This Row],[No.PON]],DATA_MASTER[Qty
(Unit)])</f>
        <v>1</v>
      </c>
      <c r="L491" s="16">
        <f>BNW[[#This Row],[TOTAL UNIT]]*BNW[[#This Row],[Total Berat Baut
(Kg)]]</f>
        <v>13.176</v>
      </c>
      <c r="N491"/>
      <c r="O491" s="25"/>
    </row>
    <row r="492" spans="1:15" x14ac:dyDescent="0.3">
      <c r="A492" t="s">
        <v>894</v>
      </c>
      <c r="B492" t="str">
        <f>IFERROR(VLOOKUP(A492,'DATA MASTER'!A:O,2,0)," ")</f>
        <v>Panel Bailey</v>
      </c>
      <c r="C492" t="str">
        <f>IFERROR(VLOOKUP(A492,'DATA MASTER'!A:O,4,0)," ")</f>
        <v>39 DSR2H**-EW</v>
      </c>
      <c r="D492" t="s">
        <v>141</v>
      </c>
      <c r="E492" t="s">
        <v>106</v>
      </c>
      <c r="F492" s="1">
        <v>8.8000000000000007</v>
      </c>
      <c r="G492" s="1">
        <v>17</v>
      </c>
      <c r="H492">
        <v>0.13600000000000001</v>
      </c>
      <c r="I492" s="16">
        <f>BNW[[#This Row],[Berat Satuan
(Kg)]]*BNW[[#This Row],[Qty
(Set)]]</f>
        <v>2.3120000000000003</v>
      </c>
      <c r="K492" s="1">
        <f>SUMIF(DATA_MASTER[NO. PON],BNW[[#This Row],[No.PON]],DATA_MASTER[Qty
(Unit)])</f>
        <v>1</v>
      </c>
      <c r="L492" s="16">
        <f>BNW[[#This Row],[TOTAL UNIT]]*BNW[[#This Row],[Total Berat Baut
(Kg)]]</f>
        <v>2.3120000000000003</v>
      </c>
      <c r="N492"/>
      <c r="O492" s="25"/>
    </row>
    <row r="493" spans="1:15" x14ac:dyDescent="0.3">
      <c r="A493" t="s">
        <v>894</v>
      </c>
      <c r="B493" t="str">
        <f>IFERROR(VLOOKUP(A493,'DATA MASTER'!A:O,2,0)," ")</f>
        <v>Panel Bailey</v>
      </c>
      <c r="C493" t="str">
        <f>IFERROR(VLOOKUP(A493,'DATA MASTER'!A:O,4,0)," ")</f>
        <v>39 DSR2H**-EW</v>
      </c>
      <c r="D493" t="s">
        <v>142</v>
      </c>
      <c r="E493" t="s">
        <v>106</v>
      </c>
      <c r="F493" s="1">
        <v>8.8000000000000007</v>
      </c>
      <c r="G493" s="1">
        <v>108</v>
      </c>
      <c r="H493">
        <v>0.13600000000000001</v>
      </c>
      <c r="I493" s="16">
        <f>BNW[[#This Row],[Berat Satuan
(Kg)]]*BNW[[#This Row],[Qty
(Set)]]</f>
        <v>14.688000000000001</v>
      </c>
      <c r="K493" s="1">
        <f>SUMIF(DATA_MASTER[NO. PON],BNW[[#This Row],[No.PON]],DATA_MASTER[Qty
(Unit)])</f>
        <v>1</v>
      </c>
      <c r="L493" s="16">
        <f>BNW[[#This Row],[TOTAL UNIT]]*BNW[[#This Row],[Total Berat Baut
(Kg)]]</f>
        <v>14.688000000000001</v>
      </c>
      <c r="N493"/>
      <c r="O493" s="25"/>
    </row>
    <row r="494" spans="1:15" x14ac:dyDescent="0.3">
      <c r="A494" t="s">
        <v>739</v>
      </c>
      <c r="B494" t="str">
        <f>IFERROR(VLOOKUP(A494,'DATA MASTER'!A:O,2,0)," ")</f>
        <v>Truss Modullar</v>
      </c>
      <c r="C494" t="str">
        <f>IFERROR(VLOOKUP(A494,'DATA MASTER'!A:O,4,0)," ")</f>
        <v>RB40</v>
      </c>
      <c r="D494" t="s">
        <v>281</v>
      </c>
      <c r="E494" t="s">
        <v>106</v>
      </c>
      <c r="F494" s="1">
        <v>8.8000000000000007</v>
      </c>
      <c r="G494" s="1">
        <v>124</v>
      </c>
      <c r="H494">
        <v>0.40700000000000003</v>
      </c>
      <c r="I494" s="16">
        <f>BNW[[#This Row],[Berat Satuan
(Kg)]]*BNW[[#This Row],[Qty
(Set)]]</f>
        <v>50.468000000000004</v>
      </c>
      <c r="K494" s="1">
        <f>SUMIF(DATA_MASTER[NO. PON],BNW[[#This Row],[No.PON]],DATA_MASTER[Qty
(Unit)])</f>
        <v>1</v>
      </c>
      <c r="L494" s="16">
        <f>BNW[[#This Row],[TOTAL UNIT]]*BNW[[#This Row],[Total Berat Baut
(Kg)]]</f>
        <v>50.468000000000004</v>
      </c>
      <c r="N494"/>
      <c r="O494" s="25"/>
    </row>
    <row r="495" spans="1:15" x14ac:dyDescent="0.3">
      <c r="A495" t="s">
        <v>739</v>
      </c>
      <c r="B495" t="str">
        <f>IFERROR(VLOOKUP(A495,'DATA MASTER'!A:O,2,0)," ")</f>
        <v>Truss Modullar</v>
      </c>
      <c r="C495" t="str">
        <f>IFERROR(VLOOKUP(A495,'DATA MASTER'!A:O,4,0)," ")</f>
        <v>RB40</v>
      </c>
      <c r="D495" t="s">
        <v>282</v>
      </c>
      <c r="E495" t="s">
        <v>106</v>
      </c>
      <c r="F495" s="1">
        <v>8.8000000000000007</v>
      </c>
      <c r="G495" s="1">
        <v>141</v>
      </c>
      <c r="H495">
        <v>0.38700000000000001</v>
      </c>
      <c r="I495" s="16">
        <f>BNW[[#This Row],[Berat Satuan
(Kg)]]*BNW[[#This Row],[Qty
(Set)]]</f>
        <v>54.567</v>
      </c>
      <c r="K495" s="1">
        <f>SUMIF(DATA_MASTER[NO. PON],BNW[[#This Row],[No.PON]],DATA_MASTER[Qty
(Unit)])</f>
        <v>1</v>
      </c>
      <c r="L495" s="16">
        <f>BNW[[#This Row],[TOTAL UNIT]]*BNW[[#This Row],[Total Berat Baut
(Kg)]]</f>
        <v>54.567</v>
      </c>
      <c r="N495"/>
      <c r="O495" s="25"/>
    </row>
    <row r="496" spans="1:15" x14ac:dyDescent="0.3">
      <c r="A496" t="s">
        <v>739</v>
      </c>
      <c r="B496" t="str">
        <f>IFERROR(VLOOKUP(A496,'DATA MASTER'!A:O,2,0)," ")</f>
        <v>Truss Modullar</v>
      </c>
      <c r="C496" t="str">
        <f>IFERROR(VLOOKUP(A496,'DATA MASTER'!A:O,4,0)," ")</f>
        <v>RB40</v>
      </c>
      <c r="D496" t="s">
        <v>85</v>
      </c>
      <c r="E496" t="s">
        <v>106</v>
      </c>
      <c r="F496" s="1">
        <v>8.8000000000000007</v>
      </c>
      <c r="G496" s="1">
        <v>231</v>
      </c>
      <c r="H496">
        <v>0.36699999999999999</v>
      </c>
      <c r="I496" s="16">
        <f>BNW[[#This Row],[Berat Satuan
(Kg)]]*BNW[[#This Row],[Qty
(Set)]]</f>
        <v>84.777000000000001</v>
      </c>
      <c r="K496" s="1">
        <f>SUMIF(DATA_MASTER[NO. PON],BNW[[#This Row],[No.PON]],DATA_MASTER[Qty
(Unit)])</f>
        <v>1</v>
      </c>
      <c r="L496" s="16">
        <f>BNW[[#This Row],[TOTAL UNIT]]*BNW[[#This Row],[Total Berat Baut
(Kg)]]</f>
        <v>84.777000000000001</v>
      </c>
      <c r="N496"/>
      <c r="O496" s="25"/>
    </row>
    <row r="497" spans="1:15" x14ac:dyDescent="0.3">
      <c r="A497" t="s">
        <v>739</v>
      </c>
      <c r="B497" t="str">
        <f>IFERROR(VLOOKUP(A497,'DATA MASTER'!A:O,2,0)," ")</f>
        <v>Truss Modullar</v>
      </c>
      <c r="C497" t="str">
        <f>IFERROR(VLOOKUP(A497,'DATA MASTER'!A:O,4,0)," ")</f>
        <v>RB40</v>
      </c>
      <c r="D497" t="s">
        <v>86</v>
      </c>
      <c r="E497" t="s">
        <v>106</v>
      </c>
      <c r="F497" s="1">
        <v>8.8000000000000007</v>
      </c>
      <c r="G497" s="1">
        <v>1838</v>
      </c>
      <c r="H497">
        <v>0.35700000000000004</v>
      </c>
      <c r="I497" s="16">
        <f>BNW[[#This Row],[Berat Satuan
(Kg)]]*BNW[[#This Row],[Qty
(Set)]]</f>
        <v>656.16600000000005</v>
      </c>
      <c r="K497" s="1">
        <f>SUMIF(DATA_MASTER[NO. PON],BNW[[#This Row],[No.PON]],DATA_MASTER[Qty
(Unit)])</f>
        <v>1</v>
      </c>
      <c r="L497" s="16">
        <f>BNW[[#This Row],[TOTAL UNIT]]*BNW[[#This Row],[Total Berat Baut
(Kg)]]</f>
        <v>656.16600000000005</v>
      </c>
      <c r="N497"/>
      <c r="O497" s="25"/>
    </row>
    <row r="498" spans="1:15" x14ac:dyDescent="0.3">
      <c r="A498" t="s">
        <v>739</v>
      </c>
      <c r="B498" t="str">
        <f>IFERROR(VLOOKUP(A498,'DATA MASTER'!A:O,2,0)," ")</f>
        <v>Truss Modullar</v>
      </c>
      <c r="C498" t="str">
        <f>IFERROR(VLOOKUP(A498,'DATA MASTER'!A:O,4,0)," ")</f>
        <v>RB40</v>
      </c>
      <c r="D498" t="s">
        <v>283</v>
      </c>
      <c r="E498" t="s">
        <v>106</v>
      </c>
      <c r="F498" s="1">
        <v>8.8000000000000007</v>
      </c>
      <c r="G498" s="1">
        <v>872</v>
      </c>
      <c r="H498">
        <v>0.34700000000000003</v>
      </c>
      <c r="I498" s="16">
        <f>BNW[[#This Row],[Berat Satuan
(Kg)]]*BNW[[#This Row],[Qty
(Set)]]</f>
        <v>302.584</v>
      </c>
      <c r="K498" s="1">
        <f>SUMIF(DATA_MASTER[NO. PON],BNW[[#This Row],[No.PON]],DATA_MASTER[Qty
(Unit)])</f>
        <v>1</v>
      </c>
      <c r="L498" s="16">
        <f>BNW[[#This Row],[TOTAL UNIT]]*BNW[[#This Row],[Total Berat Baut
(Kg)]]</f>
        <v>302.584</v>
      </c>
      <c r="N498"/>
      <c r="O498" s="25"/>
    </row>
    <row r="499" spans="1:15" x14ac:dyDescent="0.3">
      <c r="A499" t="s">
        <v>739</v>
      </c>
      <c r="B499" t="str">
        <f>IFERROR(VLOOKUP(A499,'DATA MASTER'!A:O,2,0)," ")</f>
        <v>Truss Modullar</v>
      </c>
      <c r="C499" t="str">
        <f>IFERROR(VLOOKUP(A499,'DATA MASTER'!A:O,4,0)," ")</f>
        <v>RB40</v>
      </c>
      <c r="D499" t="s">
        <v>80</v>
      </c>
      <c r="E499" t="s">
        <v>106</v>
      </c>
      <c r="F499" s="1">
        <v>8.8000000000000007</v>
      </c>
      <c r="G499" s="1">
        <v>1978</v>
      </c>
      <c r="H499">
        <v>0.32700000000000001</v>
      </c>
      <c r="I499" s="16">
        <f>BNW[[#This Row],[Berat Satuan
(Kg)]]*BNW[[#This Row],[Qty
(Set)]]</f>
        <v>646.80600000000004</v>
      </c>
      <c r="K499" s="1">
        <f>SUMIF(DATA_MASTER[NO. PON],BNW[[#This Row],[No.PON]],DATA_MASTER[Qty
(Unit)])</f>
        <v>1</v>
      </c>
      <c r="L499" s="16">
        <f>BNW[[#This Row],[TOTAL UNIT]]*BNW[[#This Row],[Total Berat Baut
(Kg)]]</f>
        <v>646.80600000000004</v>
      </c>
      <c r="N499"/>
      <c r="O499" s="25"/>
    </row>
    <row r="500" spans="1:15" x14ac:dyDescent="0.3">
      <c r="A500" t="s">
        <v>739</v>
      </c>
      <c r="B500" t="str">
        <f>IFERROR(VLOOKUP(A500,'DATA MASTER'!A:O,2,0)," ")</f>
        <v>Truss Modullar</v>
      </c>
      <c r="C500" t="str">
        <f>IFERROR(VLOOKUP(A500,'DATA MASTER'!A:O,4,0)," ")</f>
        <v>RB40</v>
      </c>
      <c r="D500" t="s">
        <v>81</v>
      </c>
      <c r="E500" t="s">
        <v>106</v>
      </c>
      <c r="F500" s="1">
        <v>8.8000000000000007</v>
      </c>
      <c r="G500" s="1">
        <v>1434</v>
      </c>
      <c r="H500">
        <v>0.317</v>
      </c>
      <c r="I500" s="16">
        <f>BNW[[#This Row],[Berat Satuan
(Kg)]]*BNW[[#This Row],[Qty
(Set)]]</f>
        <v>454.57800000000003</v>
      </c>
      <c r="K500" s="1">
        <f>SUMIF(DATA_MASTER[NO. PON],BNW[[#This Row],[No.PON]],DATA_MASTER[Qty
(Unit)])</f>
        <v>1</v>
      </c>
      <c r="L500" s="16">
        <f>BNW[[#This Row],[TOTAL UNIT]]*BNW[[#This Row],[Total Berat Baut
(Kg)]]</f>
        <v>454.57800000000003</v>
      </c>
      <c r="N500"/>
      <c r="O500" s="25"/>
    </row>
    <row r="501" spans="1:15" x14ac:dyDescent="0.3">
      <c r="A501" t="s">
        <v>739</v>
      </c>
      <c r="B501" t="str">
        <f>IFERROR(VLOOKUP(A501,'DATA MASTER'!A:O,2,0)," ")</f>
        <v>Truss Modullar</v>
      </c>
      <c r="C501" t="str">
        <f>IFERROR(VLOOKUP(A501,'DATA MASTER'!A:O,4,0)," ")</f>
        <v>RB40</v>
      </c>
      <c r="D501" t="s">
        <v>82</v>
      </c>
      <c r="E501" t="s">
        <v>106</v>
      </c>
      <c r="F501" s="1">
        <v>8.8000000000000007</v>
      </c>
      <c r="G501" s="1">
        <v>153</v>
      </c>
      <c r="H501">
        <v>0.307</v>
      </c>
      <c r="I501" s="16">
        <f>BNW[[#This Row],[Berat Satuan
(Kg)]]*BNW[[#This Row],[Qty
(Set)]]</f>
        <v>46.970999999999997</v>
      </c>
      <c r="K501" s="1">
        <f>SUMIF(DATA_MASTER[NO. PON],BNW[[#This Row],[No.PON]],DATA_MASTER[Qty
(Unit)])</f>
        <v>1</v>
      </c>
      <c r="L501" s="16">
        <f>BNW[[#This Row],[TOTAL UNIT]]*BNW[[#This Row],[Total Berat Baut
(Kg)]]</f>
        <v>46.970999999999997</v>
      </c>
      <c r="N501"/>
      <c r="O501" s="25"/>
    </row>
    <row r="502" spans="1:15" x14ac:dyDescent="0.3">
      <c r="A502" t="s">
        <v>739</v>
      </c>
      <c r="B502" t="str">
        <f>IFERROR(VLOOKUP(A502,'DATA MASTER'!A:O,2,0)," ")</f>
        <v>Truss Modullar</v>
      </c>
      <c r="C502" t="str">
        <f>IFERROR(VLOOKUP(A502,'DATA MASTER'!A:O,4,0)," ")</f>
        <v>RB40</v>
      </c>
      <c r="D502" t="s">
        <v>284</v>
      </c>
      <c r="E502" t="s">
        <v>106</v>
      </c>
      <c r="F502" s="1">
        <v>8.8000000000000007</v>
      </c>
      <c r="G502" s="1">
        <v>25</v>
      </c>
      <c r="H502">
        <v>8.6000000000000007E-2</v>
      </c>
      <c r="I502" s="16">
        <f>BNW[[#This Row],[Berat Satuan
(Kg)]]*BNW[[#This Row],[Qty
(Set)]]</f>
        <v>2.1500000000000004</v>
      </c>
      <c r="K502" s="1">
        <f>SUMIF(DATA_MASTER[NO. PON],BNW[[#This Row],[No.PON]],DATA_MASTER[Qty
(Unit)])</f>
        <v>1</v>
      </c>
      <c r="L502" s="16">
        <f>BNW[[#This Row],[TOTAL UNIT]]*BNW[[#This Row],[Total Berat Baut
(Kg)]]</f>
        <v>2.1500000000000004</v>
      </c>
      <c r="N502"/>
      <c r="O502" s="25"/>
    </row>
    <row r="503" spans="1:15" x14ac:dyDescent="0.3">
      <c r="A503" t="s">
        <v>739</v>
      </c>
      <c r="B503" t="str">
        <f>IFERROR(VLOOKUP(A503,'DATA MASTER'!A:O,2,0)," ")</f>
        <v>Truss Modullar</v>
      </c>
      <c r="C503" t="str">
        <f>IFERROR(VLOOKUP(A503,'DATA MASTER'!A:O,4,0)," ")</f>
        <v>RB40</v>
      </c>
      <c r="D503" t="s">
        <v>89</v>
      </c>
      <c r="E503" t="s">
        <v>106</v>
      </c>
      <c r="F503" s="1">
        <v>8.8000000000000007</v>
      </c>
      <c r="G503" s="1">
        <v>425</v>
      </c>
      <c r="H503">
        <v>6.8000000000000005E-2</v>
      </c>
      <c r="I503" s="16">
        <f>BNW[[#This Row],[Berat Satuan
(Kg)]]*BNW[[#This Row],[Qty
(Set)]]</f>
        <v>28.900000000000002</v>
      </c>
      <c r="K503" s="1">
        <f>SUMIF(DATA_MASTER[NO. PON],BNW[[#This Row],[No.PON]],DATA_MASTER[Qty
(Unit)])</f>
        <v>1</v>
      </c>
      <c r="L503" s="16">
        <f>BNW[[#This Row],[TOTAL UNIT]]*BNW[[#This Row],[Total Berat Baut
(Kg)]]</f>
        <v>28.900000000000002</v>
      </c>
      <c r="N503"/>
      <c r="O503" s="25"/>
    </row>
    <row r="504" spans="1:15" x14ac:dyDescent="0.3">
      <c r="A504" t="s">
        <v>739</v>
      </c>
      <c r="B504" t="str">
        <f>IFERROR(VLOOKUP(A504,'DATA MASTER'!A:O,2,0)," ")</f>
        <v>Truss Modullar</v>
      </c>
      <c r="C504" t="str">
        <f>IFERROR(VLOOKUP(A504,'DATA MASTER'!A:O,4,0)," ")</f>
        <v>RB40</v>
      </c>
      <c r="D504" t="s">
        <v>205</v>
      </c>
      <c r="E504" t="s">
        <v>106</v>
      </c>
      <c r="F504" s="1">
        <v>8.8000000000000007</v>
      </c>
      <c r="G504" s="1">
        <v>112</v>
      </c>
      <c r="H504">
        <v>6.3E-2</v>
      </c>
      <c r="I504" s="16">
        <f>BNW[[#This Row],[Berat Satuan
(Kg)]]*BNW[[#This Row],[Qty
(Set)]]</f>
        <v>7.056</v>
      </c>
      <c r="K504" s="1">
        <f>SUMIF(DATA_MASTER[NO. PON],BNW[[#This Row],[No.PON]],DATA_MASTER[Qty
(Unit)])</f>
        <v>1</v>
      </c>
      <c r="L504" s="16">
        <f>BNW[[#This Row],[TOTAL UNIT]]*BNW[[#This Row],[Total Berat Baut
(Kg)]]</f>
        <v>7.056</v>
      </c>
      <c r="N504"/>
      <c r="O504" s="25"/>
    </row>
    <row r="505" spans="1:15" x14ac:dyDescent="0.3">
      <c r="A505" t="s">
        <v>739</v>
      </c>
      <c r="B505" t="str">
        <f>IFERROR(VLOOKUP(A505,'DATA MASTER'!A:O,2,0)," ")</f>
        <v>Truss Modullar</v>
      </c>
      <c r="C505" t="str">
        <f>IFERROR(VLOOKUP(A505,'DATA MASTER'!A:O,4,0)," ")</f>
        <v>RB40</v>
      </c>
      <c r="D505" t="s">
        <v>206</v>
      </c>
      <c r="E505" t="s">
        <v>106</v>
      </c>
      <c r="F505" s="1">
        <v>8.8000000000000007</v>
      </c>
      <c r="G505" s="1">
        <v>1158</v>
      </c>
      <c r="H505">
        <v>5.9000000000000004E-2</v>
      </c>
      <c r="I505" s="16">
        <f>BNW[[#This Row],[Berat Satuan
(Kg)]]*BNW[[#This Row],[Qty
(Set)]]</f>
        <v>68.322000000000003</v>
      </c>
      <c r="K505" s="1">
        <f>SUMIF(DATA_MASTER[NO. PON],BNW[[#This Row],[No.PON]],DATA_MASTER[Qty
(Unit)])</f>
        <v>1</v>
      </c>
      <c r="L505" s="16">
        <f>BNW[[#This Row],[TOTAL UNIT]]*BNW[[#This Row],[Total Berat Baut
(Kg)]]</f>
        <v>68.322000000000003</v>
      </c>
      <c r="N505"/>
      <c r="O505" s="25"/>
    </row>
    <row r="506" spans="1:15" x14ac:dyDescent="0.3">
      <c r="A506" t="s">
        <v>750</v>
      </c>
      <c r="B506" t="str">
        <f>IFERROR(VLOOKUP(A506,'DATA MASTER'!A:O,2,0)," ")</f>
        <v>Panel Bailey</v>
      </c>
      <c r="C506" t="str">
        <f>IFERROR(VLOOKUP(A506,'DATA MASTER'!A:O,4,0)," ")</f>
        <v>30 DSR2-EW</v>
      </c>
      <c r="D506" t="s">
        <v>133</v>
      </c>
      <c r="E506" t="s">
        <v>106</v>
      </c>
      <c r="F506" s="1" t="s">
        <v>296</v>
      </c>
      <c r="G506" s="1">
        <v>320</v>
      </c>
      <c r="H506">
        <v>0.53</v>
      </c>
      <c r="I506" s="16">
        <f>BNW[[#This Row],[Berat Satuan
(Kg)]]*BNW[[#This Row],[Qty
(Set)]]</f>
        <v>169.60000000000002</v>
      </c>
      <c r="K506" s="1">
        <f>SUMIF(DATA_MASTER[NO. PON],BNW[[#This Row],[No.PON]],DATA_MASTER[Qty
(Unit)])</f>
        <v>1</v>
      </c>
      <c r="L506" s="16">
        <f>BNW[[#This Row],[TOTAL UNIT]]*BNW[[#This Row],[Total Berat Baut
(Kg)]]</f>
        <v>169.60000000000002</v>
      </c>
      <c r="N506"/>
      <c r="O506" s="25"/>
    </row>
    <row r="507" spans="1:15" x14ac:dyDescent="0.3">
      <c r="A507" t="s">
        <v>750</v>
      </c>
      <c r="B507" t="str">
        <f>IFERROR(VLOOKUP(A507,'DATA MASTER'!A:O,2,0)," ")</f>
        <v>Panel Bailey</v>
      </c>
      <c r="C507" t="str">
        <f>IFERROR(VLOOKUP(A507,'DATA MASTER'!A:O,4,0)," ")</f>
        <v>30 DSR2-EW</v>
      </c>
      <c r="D507" t="s">
        <v>134</v>
      </c>
      <c r="E507" t="s">
        <v>106</v>
      </c>
      <c r="F507" s="1">
        <v>8.8000000000000007</v>
      </c>
      <c r="G507" s="1">
        <v>170</v>
      </c>
      <c r="H507">
        <v>0.46</v>
      </c>
      <c r="I507" s="16">
        <f>BNW[[#This Row],[Berat Satuan
(Kg)]]*BNW[[#This Row],[Qty
(Set)]]</f>
        <v>78.2</v>
      </c>
      <c r="K507" s="1">
        <f>SUMIF(DATA_MASTER[NO. PON],BNW[[#This Row],[No.PON]],DATA_MASTER[Qty
(Unit)])</f>
        <v>1</v>
      </c>
      <c r="L507" s="16">
        <f>BNW[[#This Row],[TOTAL UNIT]]*BNW[[#This Row],[Total Berat Baut
(Kg)]]</f>
        <v>78.2</v>
      </c>
      <c r="N507"/>
      <c r="O507" s="25"/>
    </row>
    <row r="508" spans="1:15" x14ac:dyDescent="0.3">
      <c r="A508" t="s">
        <v>750</v>
      </c>
      <c r="B508" t="str">
        <f>IFERROR(VLOOKUP(A508,'DATA MASTER'!A:O,2,0)," ")</f>
        <v>Panel Bailey</v>
      </c>
      <c r="C508" t="str">
        <f>IFERROR(VLOOKUP(A508,'DATA MASTER'!A:O,4,0)," ")</f>
        <v>30 DSR2-EW</v>
      </c>
      <c r="D508" t="s">
        <v>135</v>
      </c>
      <c r="E508" t="s">
        <v>106</v>
      </c>
      <c r="F508" s="1">
        <v>8.8000000000000007</v>
      </c>
      <c r="G508" s="1">
        <v>80</v>
      </c>
      <c r="H508">
        <v>0.43</v>
      </c>
      <c r="I508" s="16">
        <f>BNW[[#This Row],[Berat Satuan
(Kg)]]*BNW[[#This Row],[Qty
(Set)]]</f>
        <v>34.4</v>
      </c>
      <c r="K508" s="1">
        <f>SUMIF(DATA_MASTER[NO. PON],BNW[[#This Row],[No.PON]],DATA_MASTER[Qty
(Unit)])</f>
        <v>1</v>
      </c>
      <c r="L508" s="16">
        <f>BNW[[#This Row],[TOTAL UNIT]]*BNW[[#This Row],[Total Berat Baut
(Kg)]]</f>
        <v>34.4</v>
      </c>
      <c r="N508"/>
      <c r="O508" s="25"/>
    </row>
    <row r="509" spans="1:15" x14ac:dyDescent="0.3">
      <c r="A509" t="s">
        <v>750</v>
      </c>
      <c r="B509" t="str">
        <f>IFERROR(VLOOKUP(A509,'DATA MASTER'!A:O,2,0)," ")</f>
        <v>Panel Bailey</v>
      </c>
      <c r="C509" t="str">
        <f>IFERROR(VLOOKUP(A509,'DATA MASTER'!A:O,4,0)," ")</f>
        <v>30 DSR2-EW</v>
      </c>
      <c r="D509" t="s">
        <v>136</v>
      </c>
      <c r="E509" t="s">
        <v>106</v>
      </c>
      <c r="F509" s="1">
        <v>8.8000000000000007</v>
      </c>
      <c r="G509" s="1">
        <v>48</v>
      </c>
      <c r="H509">
        <v>0.41</v>
      </c>
      <c r="I509" s="16">
        <f>BNW[[#This Row],[Berat Satuan
(Kg)]]*BNW[[#This Row],[Qty
(Set)]]</f>
        <v>19.68</v>
      </c>
      <c r="K509" s="1">
        <f>SUMIF(DATA_MASTER[NO. PON],BNW[[#This Row],[No.PON]],DATA_MASTER[Qty
(Unit)])</f>
        <v>1</v>
      </c>
      <c r="L509" s="16">
        <f>BNW[[#This Row],[TOTAL UNIT]]*BNW[[#This Row],[Total Berat Baut
(Kg)]]</f>
        <v>19.68</v>
      </c>
      <c r="N509"/>
      <c r="O509" s="25"/>
    </row>
    <row r="510" spans="1:15" x14ac:dyDescent="0.3">
      <c r="A510" t="s">
        <v>750</v>
      </c>
      <c r="B510" t="str">
        <f>IFERROR(VLOOKUP(A510,'DATA MASTER'!A:O,2,0)," ")</f>
        <v>Panel Bailey</v>
      </c>
      <c r="C510" t="str">
        <f>IFERROR(VLOOKUP(A510,'DATA MASTER'!A:O,4,0)," ")</f>
        <v>30 DSR2-EW</v>
      </c>
      <c r="D510" t="s">
        <v>137</v>
      </c>
      <c r="E510" t="s">
        <v>106</v>
      </c>
      <c r="F510" s="1">
        <v>8.8000000000000007</v>
      </c>
      <c r="G510" s="1">
        <v>176</v>
      </c>
      <c r="H510">
        <v>0.47399999999999998</v>
      </c>
      <c r="I510" s="16">
        <f>BNW[[#This Row],[Berat Satuan
(Kg)]]*BNW[[#This Row],[Qty
(Set)]]</f>
        <v>83.423999999999992</v>
      </c>
      <c r="K510" s="1">
        <f>SUMIF(DATA_MASTER[NO. PON],BNW[[#This Row],[No.PON]],DATA_MASTER[Qty
(Unit)])</f>
        <v>1</v>
      </c>
      <c r="L510" s="16">
        <f>BNW[[#This Row],[TOTAL UNIT]]*BNW[[#This Row],[Total Berat Baut
(Kg)]]</f>
        <v>83.423999999999992</v>
      </c>
      <c r="N510"/>
      <c r="O510" s="25"/>
    </row>
    <row r="511" spans="1:15" x14ac:dyDescent="0.3">
      <c r="A511" t="s">
        <v>750</v>
      </c>
      <c r="B511" t="str">
        <f>IFERROR(VLOOKUP(A511,'DATA MASTER'!A:O,2,0)," ")</f>
        <v>Panel Bailey</v>
      </c>
      <c r="C511" t="str">
        <f>IFERROR(VLOOKUP(A511,'DATA MASTER'!A:O,4,0)," ")</f>
        <v>30 DSR2-EW</v>
      </c>
      <c r="D511" t="s">
        <v>138</v>
      </c>
      <c r="E511" t="s">
        <v>106</v>
      </c>
      <c r="F511" s="1">
        <v>8.8000000000000007</v>
      </c>
      <c r="G511" s="1">
        <v>24</v>
      </c>
      <c r="H511">
        <v>0.29399999999999998</v>
      </c>
      <c r="I511" s="16">
        <f>BNW[[#This Row],[Berat Satuan
(Kg)]]*BNW[[#This Row],[Qty
(Set)]]</f>
        <v>7.0559999999999992</v>
      </c>
      <c r="K511" s="1">
        <f>SUMIF(DATA_MASTER[NO. PON],BNW[[#This Row],[No.PON]],DATA_MASTER[Qty
(Unit)])</f>
        <v>1</v>
      </c>
      <c r="L511" s="16">
        <f>BNW[[#This Row],[TOTAL UNIT]]*BNW[[#This Row],[Total Berat Baut
(Kg)]]</f>
        <v>7.0559999999999992</v>
      </c>
      <c r="N511"/>
      <c r="O511" s="25"/>
    </row>
    <row r="512" spans="1:15" x14ac:dyDescent="0.3">
      <c r="A512" t="s">
        <v>750</v>
      </c>
      <c r="B512" t="str">
        <f>IFERROR(VLOOKUP(A512,'DATA MASTER'!A:O,2,0)," ")</f>
        <v>Panel Bailey</v>
      </c>
      <c r="C512" t="str">
        <f>IFERROR(VLOOKUP(A512,'DATA MASTER'!A:O,4,0)," ")</f>
        <v>30 DSR2-EW</v>
      </c>
      <c r="D512" t="s">
        <v>139</v>
      </c>
      <c r="E512" t="s">
        <v>106</v>
      </c>
      <c r="F512" s="1">
        <v>8.8000000000000007</v>
      </c>
      <c r="G512" s="1">
        <v>10</v>
      </c>
      <c r="H512">
        <v>0.29399999999999998</v>
      </c>
      <c r="I512" s="16">
        <f>BNW[[#This Row],[Berat Satuan
(Kg)]]*BNW[[#This Row],[Qty
(Set)]]</f>
        <v>2.94</v>
      </c>
      <c r="K512" s="1">
        <f>SUMIF(DATA_MASTER[NO. PON],BNW[[#This Row],[No.PON]],DATA_MASTER[Qty
(Unit)])</f>
        <v>1</v>
      </c>
      <c r="L512" s="16">
        <f>BNW[[#This Row],[TOTAL UNIT]]*BNW[[#This Row],[Total Berat Baut
(Kg)]]</f>
        <v>2.94</v>
      </c>
      <c r="N512"/>
      <c r="O512" s="25"/>
    </row>
    <row r="513" spans="1:15" x14ac:dyDescent="0.3">
      <c r="A513" t="s">
        <v>750</v>
      </c>
      <c r="B513" t="str">
        <f>IFERROR(VLOOKUP(A513,'DATA MASTER'!A:O,2,0)," ")</f>
        <v>Panel Bailey</v>
      </c>
      <c r="C513" t="str">
        <f>IFERROR(VLOOKUP(A513,'DATA MASTER'!A:O,4,0)," ")</f>
        <v>30 DSR2-EW</v>
      </c>
      <c r="D513" t="s">
        <v>140</v>
      </c>
      <c r="E513" t="s">
        <v>106</v>
      </c>
      <c r="F513" s="1">
        <v>8.8000000000000007</v>
      </c>
      <c r="G513" s="1">
        <v>160</v>
      </c>
      <c r="H513">
        <v>0.24399999999999999</v>
      </c>
      <c r="I513" s="16">
        <f>BNW[[#This Row],[Berat Satuan
(Kg)]]*BNW[[#This Row],[Qty
(Set)]]</f>
        <v>39.04</v>
      </c>
      <c r="K513" s="1">
        <f>SUMIF(DATA_MASTER[NO. PON],BNW[[#This Row],[No.PON]],DATA_MASTER[Qty
(Unit)])</f>
        <v>1</v>
      </c>
      <c r="L513" s="16">
        <f>BNW[[#This Row],[TOTAL UNIT]]*BNW[[#This Row],[Total Berat Baut
(Kg)]]</f>
        <v>39.04</v>
      </c>
      <c r="N513"/>
      <c r="O513" s="25"/>
    </row>
    <row r="514" spans="1:15" x14ac:dyDescent="0.3">
      <c r="A514" t="s">
        <v>750</v>
      </c>
      <c r="B514" t="str">
        <f>IFERROR(VLOOKUP(A514,'DATA MASTER'!A:O,2,0)," ")</f>
        <v>Panel Bailey</v>
      </c>
      <c r="C514" t="str">
        <f>IFERROR(VLOOKUP(A514,'DATA MASTER'!A:O,4,0)," ")</f>
        <v>30 DSR2-EW</v>
      </c>
      <c r="D514" t="s">
        <v>141</v>
      </c>
      <c r="E514" t="s">
        <v>106</v>
      </c>
      <c r="F514" s="1">
        <v>8.8000000000000007</v>
      </c>
      <c r="G514" s="1">
        <v>16</v>
      </c>
      <c r="H514">
        <v>0.14000000000000001</v>
      </c>
      <c r="I514" s="16">
        <f>BNW[[#This Row],[Berat Satuan
(Kg)]]*BNW[[#This Row],[Qty
(Set)]]</f>
        <v>2.2400000000000002</v>
      </c>
      <c r="K514" s="1">
        <f>SUMIF(DATA_MASTER[NO. PON],BNW[[#This Row],[No.PON]],DATA_MASTER[Qty
(Unit)])</f>
        <v>1</v>
      </c>
      <c r="L514" s="16">
        <f>BNW[[#This Row],[TOTAL UNIT]]*BNW[[#This Row],[Total Berat Baut
(Kg)]]</f>
        <v>2.2400000000000002</v>
      </c>
      <c r="N514"/>
      <c r="O514" s="25"/>
    </row>
    <row r="515" spans="1:15" x14ac:dyDescent="0.3">
      <c r="A515" t="s">
        <v>750</v>
      </c>
      <c r="B515" t="str">
        <f>IFERROR(VLOOKUP(A515,'DATA MASTER'!A:O,2,0)," ")</f>
        <v>Panel Bailey</v>
      </c>
      <c r="C515" t="str">
        <f>IFERROR(VLOOKUP(A515,'DATA MASTER'!A:O,4,0)," ")</f>
        <v>30 DSR2-EW</v>
      </c>
      <c r="D515" t="s">
        <v>142</v>
      </c>
      <c r="E515" t="s">
        <v>106</v>
      </c>
      <c r="F515" s="1">
        <v>8.8000000000000007</v>
      </c>
      <c r="G515" s="1">
        <v>80</v>
      </c>
      <c r="H515">
        <v>0.13600000000000001</v>
      </c>
      <c r="I515" s="16">
        <f>BNW[[#This Row],[Berat Satuan
(Kg)]]*BNW[[#This Row],[Qty
(Set)]]</f>
        <v>10.88</v>
      </c>
      <c r="K515" s="1">
        <f>SUMIF(DATA_MASTER[NO. PON],BNW[[#This Row],[No.PON]],DATA_MASTER[Qty
(Unit)])</f>
        <v>1</v>
      </c>
      <c r="L515" s="16">
        <f>BNW[[#This Row],[TOTAL UNIT]]*BNW[[#This Row],[Total Berat Baut
(Kg)]]</f>
        <v>10.88</v>
      </c>
      <c r="N515"/>
      <c r="O515" s="25"/>
    </row>
    <row r="516" spans="1:15" x14ac:dyDescent="0.3">
      <c r="A516" t="s">
        <v>787</v>
      </c>
      <c r="B516" t="str">
        <f>IFERROR(VLOOKUP(A516,'DATA MASTER'!A:O,2,0)," ")</f>
        <v>Girder</v>
      </c>
      <c r="C516" t="str">
        <f>IFERROR(VLOOKUP(A516,'DATA MASTER'!A:O,4,0)," ")</f>
        <v>AG40</v>
      </c>
      <c r="D516" t="s">
        <v>738</v>
      </c>
      <c r="E516" t="s">
        <v>786</v>
      </c>
      <c r="F516" s="1">
        <v>8.8000000000000007</v>
      </c>
      <c r="G516" s="1">
        <v>1681</v>
      </c>
      <c r="H516">
        <v>0.7619999999999999</v>
      </c>
      <c r="I516" s="16">
        <f>BNW[[#This Row],[Berat Satuan
(Kg)]]*BNW[[#This Row],[Qty
(Set)]]</f>
        <v>1280.9219999999998</v>
      </c>
      <c r="K516" s="1">
        <f>SUMIF(DATA_MASTER[NO. PON],BNW[[#This Row],[No.PON]],DATA_MASTER[Qty
(Unit)])</f>
        <v>1</v>
      </c>
      <c r="L516" s="16">
        <f>BNW[[#This Row],[TOTAL UNIT]]*BNW[[#This Row],[Total Berat Baut
(Kg)]]</f>
        <v>1280.9219999999998</v>
      </c>
      <c r="N516"/>
      <c r="O516" s="25"/>
    </row>
    <row r="517" spans="1:15" x14ac:dyDescent="0.3">
      <c r="A517" t="s">
        <v>787</v>
      </c>
      <c r="B517" t="str">
        <f>IFERROR(VLOOKUP(A517,'DATA MASTER'!A:O,2,0)," ")</f>
        <v>Girder</v>
      </c>
      <c r="C517" t="str">
        <f>IFERROR(VLOOKUP(A517,'DATA MASTER'!A:O,4,0)," ")</f>
        <v>AG40</v>
      </c>
      <c r="D517" t="s">
        <v>78</v>
      </c>
      <c r="E517" t="s">
        <v>786</v>
      </c>
      <c r="F517" s="1">
        <v>8.8000000000000007</v>
      </c>
      <c r="G517" s="1">
        <v>989</v>
      </c>
      <c r="H517">
        <v>0.68199999999999994</v>
      </c>
      <c r="I517" s="16">
        <f>BNW[[#This Row],[Berat Satuan
(Kg)]]*BNW[[#This Row],[Qty
(Set)]]</f>
        <v>674.49799999999993</v>
      </c>
      <c r="K517" s="1">
        <f>SUMIF(DATA_MASTER[NO. PON],BNW[[#This Row],[No.PON]],DATA_MASTER[Qty
(Unit)])</f>
        <v>1</v>
      </c>
      <c r="L517" s="16">
        <f>BNW[[#This Row],[TOTAL UNIT]]*BNW[[#This Row],[Total Berat Baut
(Kg)]]</f>
        <v>674.49799999999993</v>
      </c>
      <c r="N517"/>
      <c r="O517" s="25"/>
    </row>
    <row r="518" spans="1:15" x14ac:dyDescent="0.3">
      <c r="A518" t="s">
        <v>787</v>
      </c>
      <c r="B518" t="str">
        <f>IFERROR(VLOOKUP(A518,'DATA MASTER'!A:O,2,0)," ")</f>
        <v>Girder</v>
      </c>
      <c r="C518" t="str">
        <f>IFERROR(VLOOKUP(A518,'DATA MASTER'!A:O,4,0)," ")</f>
        <v>AG40</v>
      </c>
      <c r="D518" t="s">
        <v>79</v>
      </c>
      <c r="E518" t="s">
        <v>786</v>
      </c>
      <c r="F518" s="1">
        <v>8.8000000000000007</v>
      </c>
      <c r="G518" s="1">
        <v>2670</v>
      </c>
      <c r="H518">
        <v>0.63200000000000001</v>
      </c>
      <c r="I518" s="16">
        <f>BNW[[#This Row],[Berat Satuan
(Kg)]]*BNW[[#This Row],[Qty
(Set)]]</f>
        <v>1687.44</v>
      </c>
      <c r="K518" s="1">
        <f>SUMIF(DATA_MASTER[NO. PON],BNW[[#This Row],[No.PON]],DATA_MASTER[Qty
(Unit)])</f>
        <v>1</v>
      </c>
      <c r="L518" s="16">
        <f>BNW[[#This Row],[TOTAL UNIT]]*BNW[[#This Row],[Total Berat Baut
(Kg)]]</f>
        <v>1687.44</v>
      </c>
      <c r="N518"/>
      <c r="O518" s="25"/>
    </row>
    <row r="519" spans="1:15" x14ac:dyDescent="0.3">
      <c r="A519" t="s">
        <v>787</v>
      </c>
      <c r="B519" t="str">
        <f>IFERROR(VLOOKUP(A519,'DATA MASTER'!A:O,2,0)," ")</f>
        <v>Girder</v>
      </c>
      <c r="C519" t="str">
        <f>IFERROR(VLOOKUP(A519,'DATA MASTER'!A:O,4,0)," ")</f>
        <v>AG40</v>
      </c>
      <c r="D519" t="s">
        <v>80</v>
      </c>
      <c r="E519" t="s">
        <v>106</v>
      </c>
      <c r="F519" s="1">
        <v>8.8000000000000007</v>
      </c>
      <c r="G519" s="1">
        <v>17</v>
      </c>
      <c r="H519">
        <v>0.32700000000000001</v>
      </c>
      <c r="I519" s="16">
        <f>BNW[[#This Row],[Berat Satuan
(Kg)]]*BNW[[#This Row],[Qty
(Set)]]</f>
        <v>5.5590000000000002</v>
      </c>
      <c r="K519" s="1">
        <f>SUMIF(DATA_MASTER[NO. PON],BNW[[#This Row],[No.PON]],DATA_MASTER[Qty
(Unit)])</f>
        <v>1</v>
      </c>
      <c r="L519" s="16">
        <f>BNW[[#This Row],[TOTAL UNIT]]*BNW[[#This Row],[Total Berat Baut
(Kg)]]</f>
        <v>5.5590000000000002</v>
      </c>
      <c r="N519"/>
      <c r="O519" s="25"/>
    </row>
    <row r="520" spans="1:15" x14ac:dyDescent="0.3">
      <c r="A520" t="s">
        <v>787</v>
      </c>
      <c r="B520" t="str">
        <f>IFERROR(VLOOKUP(A520,'DATA MASTER'!A:O,2,0)," ")</f>
        <v>Girder</v>
      </c>
      <c r="C520" t="str">
        <f>IFERROR(VLOOKUP(A520,'DATA MASTER'!A:O,4,0)," ")</f>
        <v>AG40</v>
      </c>
      <c r="D520" t="s">
        <v>81</v>
      </c>
      <c r="E520" t="s">
        <v>106</v>
      </c>
      <c r="F520" s="1">
        <v>8.8000000000000007</v>
      </c>
      <c r="G520" s="1">
        <v>437</v>
      </c>
      <c r="H520">
        <v>0.317</v>
      </c>
      <c r="I520" s="16">
        <f>BNW[[#This Row],[Berat Satuan
(Kg)]]*BNW[[#This Row],[Qty
(Set)]]</f>
        <v>138.529</v>
      </c>
      <c r="K520" s="1">
        <f>SUMIF(DATA_MASTER[NO. PON],BNW[[#This Row],[No.PON]],DATA_MASTER[Qty
(Unit)])</f>
        <v>1</v>
      </c>
      <c r="L520" s="16">
        <f>BNW[[#This Row],[TOTAL UNIT]]*BNW[[#This Row],[Total Berat Baut
(Kg)]]</f>
        <v>138.529</v>
      </c>
      <c r="N520"/>
      <c r="O520" s="25"/>
    </row>
    <row r="521" spans="1:15" x14ac:dyDescent="0.3">
      <c r="A521" t="s">
        <v>787</v>
      </c>
      <c r="B521" t="str">
        <f>IFERROR(VLOOKUP(A521,'DATA MASTER'!A:O,2,0)," ")</f>
        <v>Girder</v>
      </c>
      <c r="C521" t="str">
        <f>IFERROR(VLOOKUP(A521,'DATA MASTER'!A:O,4,0)," ")</f>
        <v>AG40</v>
      </c>
      <c r="D521" t="s">
        <v>87</v>
      </c>
      <c r="E521" t="s">
        <v>106</v>
      </c>
      <c r="F521" s="1">
        <v>8.8000000000000007</v>
      </c>
      <c r="G521" s="1">
        <v>17</v>
      </c>
      <c r="H521">
        <v>0.14900000000000002</v>
      </c>
      <c r="I521" s="16">
        <f>BNW[[#This Row],[Berat Satuan
(Kg)]]*BNW[[#This Row],[Qty
(Set)]]</f>
        <v>2.5330000000000004</v>
      </c>
      <c r="K521" s="1">
        <f>SUMIF(DATA_MASTER[NO. PON],BNW[[#This Row],[No.PON]],DATA_MASTER[Qty
(Unit)])</f>
        <v>1</v>
      </c>
      <c r="L521" s="16">
        <f>BNW[[#This Row],[TOTAL UNIT]]*BNW[[#This Row],[Total Berat Baut
(Kg)]]</f>
        <v>2.5330000000000004</v>
      </c>
      <c r="N521"/>
      <c r="O521" s="25"/>
    </row>
    <row r="522" spans="1:15" x14ac:dyDescent="0.3">
      <c r="A522" t="s">
        <v>787</v>
      </c>
      <c r="B522" t="str">
        <f>IFERROR(VLOOKUP(A522,'DATA MASTER'!A:O,2,0)," ")</f>
        <v>Girder</v>
      </c>
      <c r="C522" t="str">
        <f>IFERROR(VLOOKUP(A522,'DATA MASTER'!A:O,4,0)," ")</f>
        <v>AG40</v>
      </c>
      <c r="D522" t="s">
        <v>83</v>
      </c>
      <c r="E522" t="s">
        <v>106</v>
      </c>
      <c r="F522" s="1">
        <v>8.8000000000000007</v>
      </c>
      <c r="G522" s="1">
        <v>9</v>
      </c>
      <c r="H522">
        <v>8.1000000000000003E-2</v>
      </c>
      <c r="I522" s="16">
        <f>BNW[[#This Row],[Berat Satuan
(Kg)]]*BNW[[#This Row],[Qty
(Set)]]</f>
        <v>0.72899999999999998</v>
      </c>
      <c r="K522" s="1">
        <f>SUMIF(DATA_MASTER[NO. PON],BNW[[#This Row],[No.PON]],DATA_MASTER[Qty
(Unit)])</f>
        <v>1</v>
      </c>
      <c r="L522" s="16">
        <f>BNW[[#This Row],[TOTAL UNIT]]*BNW[[#This Row],[Total Berat Baut
(Kg)]]</f>
        <v>0.72899999999999998</v>
      </c>
      <c r="N522"/>
      <c r="O522" s="25"/>
    </row>
    <row r="523" spans="1:15" x14ac:dyDescent="0.3">
      <c r="A523" t="s">
        <v>787</v>
      </c>
      <c r="B523" t="str">
        <f>IFERROR(VLOOKUP(A523,'DATA MASTER'!A:O,2,0)," ")</f>
        <v>Girder</v>
      </c>
      <c r="C523" t="str">
        <f>IFERROR(VLOOKUP(A523,'DATA MASTER'!A:O,4,0)," ")</f>
        <v>AG40</v>
      </c>
      <c r="D523" t="s">
        <v>205</v>
      </c>
      <c r="E523" t="s">
        <v>106</v>
      </c>
      <c r="F523" s="1">
        <v>8.8000000000000007</v>
      </c>
      <c r="G523" s="1">
        <v>890</v>
      </c>
      <c r="H523">
        <v>6.3E-2</v>
      </c>
      <c r="I523" s="16">
        <f>BNW[[#This Row],[Berat Satuan
(Kg)]]*BNW[[#This Row],[Qty
(Set)]]</f>
        <v>56.07</v>
      </c>
      <c r="K523" s="1">
        <f>SUMIF(DATA_MASTER[NO. PON],BNW[[#This Row],[No.PON]],DATA_MASTER[Qty
(Unit)])</f>
        <v>1</v>
      </c>
      <c r="L523" s="16">
        <f>BNW[[#This Row],[TOTAL UNIT]]*BNW[[#This Row],[Total Berat Baut
(Kg)]]</f>
        <v>56.07</v>
      </c>
      <c r="N523"/>
      <c r="O523" s="25"/>
    </row>
    <row r="524" spans="1:15" x14ac:dyDescent="0.3">
      <c r="A524" t="s">
        <v>792</v>
      </c>
      <c r="B524" t="str">
        <f>IFERROR(VLOOKUP(A524,'DATA MASTER'!A:O,2,0)," ")</f>
        <v>JPO</v>
      </c>
      <c r="C524" t="str">
        <f>IFERROR(VLOOKUP(A524,'DATA MASTER'!A:O,4,0)," ")</f>
        <v>JPO-48</v>
      </c>
      <c r="D524" t="s">
        <v>281</v>
      </c>
      <c r="E524" t="s">
        <v>106</v>
      </c>
      <c r="F524" s="1">
        <v>8.8000000000000007</v>
      </c>
      <c r="G524" s="1">
        <v>396</v>
      </c>
      <c r="H524">
        <v>0.35400000000000004</v>
      </c>
      <c r="I524" s="16">
        <f>BNW[[#This Row],[Berat Satuan
(Kg)]]*BNW[[#This Row],[Qty
(Set)]]</f>
        <v>140.18400000000003</v>
      </c>
      <c r="K524" s="1">
        <f>SUMIF(DATA_MASTER[NO. PON],BNW[[#This Row],[No.PON]],DATA_MASTER[Qty
(Unit)])</f>
        <v>1</v>
      </c>
      <c r="L524" s="16">
        <f>BNW[[#This Row],[TOTAL UNIT]]*BNW[[#This Row],[Total Berat Baut
(Kg)]]</f>
        <v>140.18400000000003</v>
      </c>
      <c r="N524"/>
      <c r="O524" s="25"/>
    </row>
    <row r="525" spans="1:15" x14ac:dyDescent="0.3">
      <c r="A525" t="s">
        <v>792</v>
      </c>
      <c r="B525" t="str">
        <f>IFERROR(VLOOKUP(A525,'DATA MASTER'!A:O,2,0)," ")</f>
        <v>JPO</v>
      </c>
      <c r="C525" t="str">
        <f>IFERROR(VLOOKUP(A525,'DATA MASTER'!A:O,4,0)," ")</f>
        <v>JPO-48</v>
      </c>
      <c r="D525" t="s">
        <v>85</v>
      </c>
      <c r="E525" t="s">
        <v>106</v>
      </c>
      <c r="F525" s="1">
        <v>8.8000000000000007</v>
      </c>
      <c r="G525" s="1">
        <v>445</v>
      </c>
      <c r="H525">
        <v>0.314</v>
      </c>
      <c r="I525" s="16">
        <f>BNW[[#This Row],[Berat Satuan
(Kg)]]*BNW[[#This Row],[Qty
(Set)]]</f>
        <v>139.72999999999999</v>
      </c>
      <c r="K525" s="1">
        <f>SUMIF(DATA_MASTER[NO. PON],BNW[[#This Row],[No.PON]],DATA_MASTER[Qty
(Unit)])</f>
        <v>1</v>
      </c>
      <c r="L525" s="16">
        <f>BNW[[#This Row],[TOTAL UNIT]]*BNW[[#This Row],[Total Berat Baut
(Kg)]]</f>
        <v>139.72999999999999</v>
      </c>
      <c r="N525"/>
      <c r="O525" s="25"/>
    </row>
    <row r="526" spans="1:15" x14ac:dyDescent="0.3">
      <c r="A526" t="s">
        <v>792</v>
      </c>
      <c r="B526" t="str">
        <f>IFERROR(VLOOKUP(A526,'DATA MASTER'!A:O,2,0)," ")</f>
        <v>JPO</v>
      </c>
      <c r="C526" t="str">
        <f>IFERROR(VLOOKUP(A526,'DATA MASTER'!A:O,4,0)," ")</f>
        <v>JPO-48</v>
      </c>
      <c r="D526" t="s">
        <v>87</v>
      </c>
      <c r="E526" t="s">
        <v>106</v>
      </c>
      <c r="F526" s="1">
        <v>8.8000000000000007</v>
      </c>
      <c r="G526" s="1">
        <v>285</v>
      </c>
      <c r="H526">
        <v>0.14900000000000002</v>
      </c>
      <c r="I526" s="16">
        <f>BNW[[#This Row],[Berat Satuan
(Kg)]]*BNW[[#This Row],[Qty
(Set)]]</f>
        <v>42.465000000000003</v>
      </c>
      <c r="K526" s="1">
        <f>SUMIF(DATA_MASTER[NO. PON],BNW[[#This Row],[No.PON]],DATA_MASTER[Qty
(Unit)])</f>
        <v>1</v>
      </c>
      <c r="L526" s="16">
        <f>BNW[[#This Row],[TOTAL UNIT]]*BNW[[#This Row],[Total Berat Baut
(Kg)]]</f>
        <v>42.465000000000003</v>
      </c>
      <c r="N526"/>
      <c r="O526" s="25"/>
    </row>
    <row r="527" spans="1:15" x14ac:dyDescent="0.3">
      <c r="A527" t="s">
        <v>792</v>
      </c>
      <c r="B527" t="str">
        <f>IFERROR(VLOOKUP(A527,'DATA MASTER'!A:O,2,0)," ")</f>
        <v>JPO</v>
      </c>
      <c r="C527" t="str">
        <f>IFERROR(VLOOKUP(A527,'DATA MASTER'!A:O,4,0)," ")</f>
        <v>JPO-48</v>
      </c>
      <c r="D527" t="s">
        <v>88</v>
      </c>
      <c r="E527" t="s">
        <v>106</v>
      </c>
      <c r="F527" s="1">
        <v>8.8000000000000007</v>
      </c>
      <c r="G527" s="1">
        <v>112</v>
      </c>
      <c r="H527">
        <v>0.13600000000000001</v>
      </c>
      <c r="I527" s="16">
        <f>BNW[[#This Row],[Berat Satuan
(Kg)]]*BNW[[#This Row],[Qty
(Set)]]</f>
        <v>15.232000000000001</v>
      </c>
      <c r="K527" s="1">
        <f>SUMIF(DATA_MASTER[NO. PON],BNW[[#This Row],[No.PON]],DATA_MASTER[Qty
(Unit)])</f>
        <v>1</v>
      </c>
      <c r="L527" s="16">
        <f>BNW[[#This Row],[TOTAL UNIT]]*BNW[[#This Row],[Total Berat Baut
(Kg)]]</f>
        <v>15.232000000000001</v>
      </c>
      <c r="N527"/>
      <c r="O527" s="25"/>
    </row>
    <row r="528" spans="1:15" x14ac:dyDescent="0.3">
      <c r="A528" t="s">
        <v>792</v>
      </c>
      <c r="B528" t="str">
        <f>IFERROR(VLOOKUP(A528,'DATA MASTER'!A:O,2,0)," ")</f>
        <v>JPO</v>
      </c>
      <c r="C528" t="str">
        <f>IFERROR(VLOOKUP(A528,'DATA MASTER'!A:O,4,0)," ")</f>
        <v>JPO-48</v>
      </c>
      <c r="D528" t="s">
        <v>878</v>
      </c>
      <c r="E528" t="s">
        <v>106</v>
      </c>
      <c r="F528" s="1">
        <v>8.8000000000000007</v>
      </c>
      <c r="G528" s="1">
        <v>668</v>
      </c>
      <c r="H528">
        <v>6.3E-2</v>
      </c>
      <c r="I528" s="16">
        <f>BNW[[#This Row],[Berat Satuan
(Kg)]]*BNW[[#This Row],[Qty
(Set)]]</f>
        <v>42.084000000000003</v>
      </c>
      <c r="K528" s="1">
        <f>SUMIF(DATA_MASTER[NO. PON],BNW[[#This Row],[No.PON]],DATA_MASTER[Qty
(Unit)])</f>
        <v>1</v>
      </c>
      <c r="L528" s="16">
        <f>BNW[[#This Row],[TOTAL UNIT]]*BNW[[#This Row],[Total Berat Baut
(Kg)]]</f>
        <v>42.084000000000003</v>
      </c>
      <c r="N528"/>
      <c r="O528" s="25"/>
    </row>
    <row r="529" spans="1:15" x14ac:dyDescent="0.3">
      <c r="A529" t="s">
        <v>852</v>
      </c>
      <c r="B529" t="str">
        <f>IFERROR(VLOOKUP(A529,'DATA MASTER'!A:O,2,0)," ")</f>
        <v>Panel Bailey</v>
      </c>
      <c r="C529" t="str">
        <f>IFERROR(VLOOKUP(A529,'DATA MASTER'!A:O,4,0)," ")</f>
        <v>12 SSR-EW</v>
      </c>
      <c r="D529" t="s">
        <v>133</v>
      </c>
      <c r="E529" t="s">
        <v>106</v>
      </c>
      <c r="F529" s="1">
        <v>8.8000000000000007</v>
      </c>
      <c r="G529" s="1">
        <v>64</v>
      </c>
      <c r="H529">
        <v>0.53</v>
      </c>
      <c r="I529" s="16">
        <f>BNW[[#This Row],[Berat Satuan
(Kg)]]*BNW[[#This Row],[Qty
(Set)]]</f>
        <v>33.92</v>
      </c>
      <c r="K529" s="1">
        <f>SUMIF(DATA_MASTER[NO. PON],BNW[[#This Row],[No.PON]],DATA_MASTER[Qty
(Unit)])</f>
        <v>3</v>
      </c>
      <c r="L529" s="16">
        <f>BNW[[#This Row],[TOTAL UNIT]]*BNW[[#This Row],[Total Berat Baut
(Kg)]]</f>
        <v>101.76</v>
      </c>
      <c r="N529"/>
      <c r="O529" s="25"/>
    </row>
    <row r="530" spans="1:15" x14ac:dyDescent="0.3">
      <c r="A530" t="s">
        <v>852</v>
      </c>
      <c r="B530" t="str">
        <f>IFERROR(VLOOKUP(A530,'DATA MASTER'!A:O,2,0)," ")</f>
        <v>Panel Bailey</v>
      </c>
      <c r="C530" t="str">
        <f>IFERROR(VLOOKUP(A530,'DATA MASTER'!A:O,4,0)," ")</f>
        <v>12 SSR-EW</v>
      </c>
      <c r="D530" t="s">
        <v>134</v>
      </c>
      <c r="E530" t="s">
        <v>106</v>
      </c>
      <c r="F530" s="1">
        <v>8.8000000000000007</v>
      </c>
      <c r="G530" s="1">
        <v>4</v>
      </c>
      <c r="H530">
        <v>0.46</v>
      </c>
      <c r="I530" s="16">
        <f>BNW[[#This Row],[Berat Satuan
(Kg)]]*BNW[[#This Row],[Qty
(Set)]]</f>
        <v>1.84</v>
      </c>
      <c r="K530" s="1">
        <f>SUMIF(DATA_MASTER[NO. PON],BNW[[#This Row],[No.PON]],DATA_MASTER[Qty
(Unit)])</f>
        <v>3</v>
      </c>
      <c r="L530" s="16">
        <f>BNW[[#This Row],[TOTAL UNIT]]*BNW[[#This Row],[Total Berat Baut
(Kg)]]</f>
        <v>5.5200000000000005</v>
      </c>
      <c r="N530"/>
      <c r="O530" s="25"/>
    </row>
    <row r="531" spans="1:15" x14ac:dyDescent="0.3">
      <c r="A531" t="s">
        <v>852</v>
      </c>
      <c r="B531" t="str">
        <f>IFERROR(VLOOKUP(A531,'DATA MASTER'!A:O,2,0)," ")</f>
        <v>Panel Bailey</v>
      </c>
      <c r="C531" t="str">
        <f>IFERROR(VLOOKUP(A531,'DATA MASTER'!A:O,4,0)," ")</f>
        <v>12 SSR-EW</v>
      </c>
      <c r="D531" t="s">
        <v>135</v>
      </c>
      <c r="E531" t="s">
        <v>106</v>
      </c>
      <c r="F531" s="1">
        <v>8.8000000000000007</v>
      </c>
      <c r="G531" s="1">
        <v>32</v>
      </c>
      <c r="H531">
        <v>0.43</v>
      </c>
      <c r="I531" s="16">
        <f>BNW[[#This Row],[Berat Satuan
(Kg)]]*BNW[[#This Row],[Qty
(Set)]]</f>
        <v>13.76</v>
      </c>
      <c r="K531" s="1">
        <f>SUMIF(DATA_MASTER[NO. PON],BNW[[#This Row],[No.PON]],DATA_MASTER[Qty
(Unit)])</f>
        <v>3</v>
      </c>
      <c r="L531" s="16">
        <f>BNW[[#This Row],[TOTAL UNIT]]*BNW[[#This Row],[Total Berat Baut
(Kg)]]</f>
        <v>41.28</v>
      </c>
      <c r="N531"/>
      <c r="O531" s="25"/>
    </row>
    <row r="532" spans="1:15" x14ac:dyDescent="0.3">
      <c r="A532" t="s">
        <v>852</v>
      </c>
      <c r="B532" t="str">
        <f>IFERROR(VLOOKUP(A532,'DATA MASTER'!A:O,2,0)," ")</f>
        <v>Panel Bailey</v>
      </c>
      <c r="C532" t="str">
        <f>IFERROR(VLOOKUP(A532,'DATA MASTER'!A:O,4,0)," ")</f>
        <v>12 SSR-EW</v>
      </c>
      <c r="D532" t="s">
        <v>136</v>
      </c>
      <c r="E532" t="s">
        <v>106</v>
      </c>
      <c r="F532" s="1">
        <v>8.8000000000000007</v>
      </c>
      <c r="G532" s="1">
        <v>24</v>
      </c>
      <c r="H532">
        <v>0.41</v>
      </c>
      <c r="I532" s="16">
        <f>BNW[[#This Row],[Berat Satuan
(Kg)]]*BNW[[#This Row],[Qty
(Set)]]</f>
        <v>9.84</v>
      </c>
      <c r="K532" s="1">
        <f>SUMIF(DATA_MASTER[NO. PON],BNW[[#This Row],[No.PON]],DATA_MASTER[Qty
(Unit)])</f>
        <v>3</v>
      </c>
      <c r="L532" s="16">
        <f>BNW[[#This Row],[TOTAL UNIT]]*BNW[[#This Row],[Total Berat Baut
(Kg)]]</f>
        <v>29.52</v>
      </c>
      <c r="N532"/>
      <c r="O532" s="25"/>
    </row>
    <row r="533" spans="1:15" x14ac:dyDescent="0.3">
      <c r="A533" t="s">
        <v>852</v>
      </c>
      <c r="B533" t="str">
        <f>IFERROR(VLOOKUP(A533,'DATA MASTER'!A:O,2,0)," ")</f>
        <v>Panel Bailey</v>
      </c>
      <c r="C533" t="str">
        <f>IFERROR(VLOOKUP(A533,'DATA MASTER'!A:O,4,0)," ")</f>
        <v>12 SSR-EW</v>
      </c>
      <c r="D533" t="s">
        <v>137</v>
      </c>
      <c r="E533" t="s">
        <v>106</v>
      </c>
      <c r="F533" s="1">
        <v>8.8000000000000007</v>
      </c>
      <c r="G533" s="1">
        <v>64</v>
      </c>
      <c r="H533">
        <v>0.47399999999999998</v>
      </c>
      <c r="I533" s="16">
        <f>BNW[[#This Row],[Berat Satuan
(Kg)]]*BNW[[#This Row],[Qty
(Set)]]</f>
        <v>30.335999999999999</v>
      </c>
      <c r="K533" s="1">
        <f>SUMIF(DATA_MASTER[NO. PON],BNW[[#This Row],[No.PON]],DATA_MASTER[Qty
(Unit)])</f>
        <v>3</v>
      </c>
      <c r="L533" s="16">
        <f>BNW[[#This Row],[TOTAL UNIT]]*BNW[[#This Row],[Total Berat Baut
(Kg)]]</f>
        <v>91.007999999999996</v>
      </c>
      <c r="N533"/>
      <c r="O533" s="25"/>
    </row>
    <row r="534" spans="1:15" x14ac:dyDescent="0.3">
      <c r="A534" t="s">
        <v>852</v>
      </c>
      <c r="B534" t="str">
        <f>IFERROR(VLOOKUP(A534,'DATA MASTER'!A:O,2,0)," ")</f>
        <v>Panel Bailey</v>
      </c>
      <c r="C534" t="str">
        <f>IFERROR(VLOOKUP(A534,'DATA MASTER'!A:O,4,0)," ")</f>
        <v>12 SSR-EW</v>
      </c>
      <c r="D534" t="s">
        <v>294</v>
      </c>
      <c r="E534" t="s">
        <v>106</v>
      </c>
      <c r="F534" s="1">
        <v>8.8000000000000007</v>
      </c>
      <c r="G534" s="1">
        <v>10</v>
      </c>
      <c r="H534">
        <v>0.35400000000000004</v>
      </c>
      <c r="I534" s="16">
        <f>BNW[[#This Row],[Berat Satuan
(Kg)]]*BNW[[#This Row],[Qty
(Set)]]</f>
        <v>3.5400000000000005</v>
      </c>
      <c r="K534" s="1">
        <f>SUMIF(DATA_MASTER[NO. PON],BNW[[#This Row],[No.PON]],DATA_MASTER[Qty
(Unit)])</f>
        <v>3</v>
      </c>
      <c r="L534" s="16">
        <f>BNW[[#This Row],[TOTAL UNIT]]*BNW[[#This Row],[Total Berat Baut
(Kg)]]</f>
        <v>10.620000000000001</v>
      </c>
      <c r="N534"/>
      <c r="O534" s="25"/>
    </row>
    <row r="535" spans="1:15" x14ac:dyDescent="0.3">
      <c r="A535" t="s">
        <v>852</v>
      </c>
      <c r="B535" t="str">
        <f>IFERROR(VLOOKUP(A535,'DATA MASTER'!A:O,2,0)," ")</f>
        <v>Panel Bailey</v>
      </c>
      <c r="C535" t="str">
        <f>IFERROR(VLOOKUP(A535,'DATA MASTER'!A:O,4,0)," ")</f>
        <v>12 SSR-EW</v>
      </c>
      <c r="D535" t="s">
        <v>295</v>
      </c>
      <c r="E535" t="s">
        <v>106</v>
      </c>
      <c r="F535" s="1">
        <v>8.8000000000000007</v>
      </c>
      <c r="G535" s="1">
        <v>10</v>
      </c>
      <c r="H535">
        <v>0.33400000000000002</v>
      </c>
      <c r="I535" s="16">
        <f>BNW[[#This Row],[Berat Satuan
(Kg)]]*BNW[[#This Row],[Qty
(Set)]]</f>
        <v>3.3400000000000003</v>
      </c>
      <c r="K535" s="1">
        <f>SUMIF(DATA_MASTER[NO. PON],BNW[[#This Row],[No.PON]],DATA_MASTER[Qty
(Unit)])</f>
        <v>3</v>
      </c>
      <c r="L535" s="16">
        <f>BNW[[#This Row],[TOTAL UNIT]]*BNW[[#This Row],[Total Berat Baut
(Kg)]]</f>
        <v>10.020000000000001</v>
      </c>
      <c r="N535"/>
      <c r="O535" s="25"/>
    </row>
    <row r="536" spans="1:15" x14ac:dyDescent="0.3">
      <c r="A536" t="s">
        <v>852</v>
      </c>
      <c r="B536" t="str">
        <f>IFERROR(VLOOKUP(A536,'DATA MASTER'!A:O,2,0)," ")</f>
        <v>Panel Bailey</v>
      </c>
      <c r="C536" t="str">
        <f>IFERROR(VLOOKUP(A536,'DATA MASTER'!A:O,4,0)," ")</f>
        <v>12 SSR-EW</v>
      </c>
      <c r="D536" t="s">
        <v>138</v>
      </c>
      <c r="E536" t="s">
        <v>106</v>
      </c>
      <c r="F536" s="1">
        <v>8.8000000000000007</v>
      </c>
      <c r="G536" s="1">
        <v>16</v>
      </c>
      <c r="H536">
        <v>0.29399999999999998</v>
      </c>
      <c r="I536" s="16">
        <f>BNW[[#This Row],[Berat Satuan
(Kg)]]*BNW[[#This Row],[Qty
(Set)]]</f>
        <v>4.7039999999999997</v>
      </c>
      <c r="K536" s="1">
        <f>SUMIF(DATA_MASTER[NO. PON],BNW[[#This Row],[No.PON]],DATA_MASTER[Qty
(Unit)])</f>
        <v>3</v>
      </c>
      <c r="L536" s="16">
        <f>BNW[[#This Row],[TOTAL UNIT]]*BNW[[#This Row],[Total Berat Baut
(Kg)]]</f>
        <v>14.111999999999998</v>
      </c>
      <c r="N536"/>
      <c r="O536" s="25"/>
    </row>
    <row r="537" spans="1:15" x14ac:dyDescent="0.3">
      <c r="A537" t="s">
        <v>852</v>
      </c>
      <c r="B537" t="str">
        <f>IFERROR(VLOOKUP(A537,'DATA MASTER'!A:O,2,0)," ")</f>
        <v>Panel Bailey</v>
      </c>
      <c r="C537" t="str">
        <f>IFERROR(VLOOKUP(A537,'DATA MASTER'!A:O,4,0)," ")</f>
        <v>12 SSR-EW</v>
      </c>
      <c r="D537" t="s">
        <v>139</v>
      </c>
      <c r="E537" t="s">
        <v>106</v>
      </c>
      <c r="F537" s="1">
        <v>8.8000000000000007</v>
      </c>
      <c r="G537" s="1">
        <v>4</v>
      </c>
      <c r="H537">
        <v>0.29399999999999998</v>
      </c>
      <c r="I537" s="16">
        <f>BNW[[#This Row],[Berat Satuan
(Kg)]]*BNW[[#This Row],[Qty
(Set)]]</f>
        <v>1.1759999999999999</v>
      </c>
      <c r="K537" s="1">
        <f>SUMIF(DATA_MASTER[NO. PON],BNW[[#This Row],[No.PON]],DATA_MASTER[Qty
(Unit)])</f>
        <v>3</v>
      </c>
      <c r="L537" s="16">
        <f>BNW[[#This Row],[TOTAL UNIT]]*BNW[[#This Row],[Total Berat Baut
(Kg)]]</f>
        <v>3.5279999999999996</v>
      </c>
      <c r="N537"/>
      <c r="O537" s="25"/>
    </row>
    <row r="538" spans="1:15" x14ac:dyDescent="0.3">
      <c r="A538" t="s">
        <v>852</v>
      </c>
      <c r="B538" t="str">
        <f>IFERROR(VLOOKUP(A538,'DATA MASTER'!A:O,2,0)," ")</f>
        <v>Panel Bailey</v>
      </c>
      <c r="C538" t="str">
        <f>IFERROR(VLOOKUP(A538,'DATA MASTER'!A:O,4,0)," ")</f>
        <v>12 SSR-EW</v>
      </c>
      <c r="D538" t="s">
        <v>140</v>
      </c>
      <c r="E538" t="s">
        <v>106</v>
      </c>
      <c r="F538" s="1">
        <v>8.8000000000000007</v>
      </c>
      <c r="G538" s="1">
        <v>32</v>
      </c>
      <c r="H538">
        <v>0.24399999999999999</v>
      </c>
      <c r="I538" s="16">
        <f>BNW[[#This Row],[Berat Satuan
(Kg)]]*BNW[[#This Row],[Qty
(Set)]]</f>
        <v>7.8079999999999998</v>
      </c>
      <c r="K538" s="1">
        <f>SUMIF(DATA_MASTER[NO. PON],BNW[[#This Row],[No.PON]],DATA_MASTER[Qty
(Unit)])</f>
        <v>3</v>
      </c>
      <c r="L538" s="16">
        <f>BNW[[#This Row],[TOTAL UNIT]]*BNW[[#This Row],[Total Berat Baut
(Kg)]]</f>
        <v>23.423999999999999</v>
      </c>
      <c r="N538"/>
      <c r="O538" s="25"/>
    </row>
    <row r="539" spans="1:15" x14ac:dyDescent="0.3">
      <c r="A539" t="s">
        <v>852</v>
      </c>
      <c r="B539" t="str">
        <f>IFERROR(VLOOKUP(A539,'DATA MASTER'!A:O,2,0)," ")</f>
        <v>Panel Bailey</v>
      </c>
      <c r="C539" t="str">
        <f>IFERROR(VLOOKUP(A539,'DATA MASTER'!A:O,4,0)," ")</f>
        <v>12 SSR-EW</v>
      </c>
      <c r="D539" t="s">
        <v>141</v>
      </c>
      <c r="E539" t="s">
        <v>106</v>
      </c>
      <c r="F539" s="1">
        <v>8.8000000000000007</v>
      </c>
      <c r="G539" s="1">
        <v>8</v>
      </c>
      <c r="H539">
        <v>0.13600000000000001</v>
      </c>
      <c r="I539" s="16">
        <f>BNW[[#This Row],[Berat Satuan
(Kg)]]*BNW[[#This Row],[Qty
(Set)]]</f>
        <v>1.0880000000000001</v>
      </c>
      <c r="K539" s="1">
        <f>SUMIF(DATA_MASTER[NO. PON],BNW[[#This Row],[No.PON]],DATA_MASTER[Qty
(Unit)])</f>
        <v>3</v>
      </c>
      <c r="L539" s="16">
        <f>BNW[[#This Row],[TOTAL UNIT]]*BNW[[#This Row],[Total Berat Baut
(Kg)]]</f>
        <v>3.2640000000000002</v>
      </c>
      <c r="N539"/>
      <c r="O539" s="25"/>
    </row>
    <row r="540" spans="1:15" x14ac:dyDescent="0.3">
      <c r="A540" t="s">
        <v>852</v>
      </c>
      <c r="B540" t="str">
        <f>IFERROR(VLOOKUP(A540,'DATA MASTER'!A:O,2,0)," ")</f>
        <v>Panel Bailey</v>
      </c>
      <c r="C540" t="str">
        <f>IFERROR(VLOOKUP(A540,'DATA MASTER'!A:O,4,0)," ")</f>
        <v>12 SSR-EW</v>
      </c>
      <c r="D540" t="s">
        <v>142</v>
      </c>
      <c r="E540" t="s">
        <v>106</v>
      </c>
      <c r="F540" s="1">
        <v>8.8000000000000007</v>
      </c>
      <c r="G540" s="1">
        <v>32</v>
      </c>
      <c r="H540">
        <v>0.13600000000000001</v>
      </c>
      <c r="I540" s="16">
        <f>BNW[[#This Row],[Berat Satuan
(Kg)]]*BNW[[#This Row],[Qty
(Set)]]</f>
        <v>4.3520000000000003</v>
      </c>
      <c r="K540" s="1">
        <f>SUMIF(DATA_MASTER[NO. PON],BNW[[#This Row],[No.PON]],DATA_MASTER[Qty
(Unit)])</f>
        <v>3</v>
      </c>
      <c r="L540" s="16">
        <f>BNW[[#This Row],[TOTAL UNIT]]*BNW[[#This Row],[Total Berat Baut
(Kg)]]</f>
        <v>13.056000000000001</v>
      </c>
      <c r="N540"/>
      <c r="O540" s="25"/>
    </row>
    <row r="541" spans="1:15" x14ac:dyDescent="0.3">
      <c r="A541" t="s">
        <v>798</v>
      </c>
      <c r="B541" t="str">
        <f>IFERROR(VLOOKUP(A541,'DATA MASTER'!A:O,2,0)," ")</f>
        <v>STRUKTUR PERKUATAN</v>
      </c>
      <c r="C541" t="str">
        <f>IFERROR(VLOOKUP(A541,'DATA MASTER'!A:O,4,0)," ")</f>
        <v>PERKUATAN</v>
      </c>
      <c r="D541" t="s">
        <v>873</v>
      </c>
      <c r="E541" t="s">
        <v>786</v>
      </c>
      <c r="F541" s="1">
        <v>8.8000000000000007</v>
      </c>
      <c r="G541" s="1">
        <v>50</v>
      </c>
      <c r="H541">
        <v>0.61199999999999999</v>
      </c>
      <c r="I541" s="16">
        <f>BNW[[#This Row],[Berat Satuan
(Kg)]]*BNW[[#This Row],[Qty
(Set)]]</f>
        <v>30.599999999999998</v>
      </c>
      <c r="K541" s="1">
        <f>SUMIF(DATA_MASTER[NO. PON],BNW[[#This Row],[No.PON]],DATA_MASTER[Qty
(Unit)])</f>
        <v>1</v>
      </c>
      <c r="L541" s="16">
        <f>BNW[[#This Row],[TOTAL UNIT]]*BNW[[#This Row],[Total Berat Baut
(Kg)]]</f>
        <v>30.599999999999998</v>
      </c>
      <c r="N541"/>
      <c r="O541" s="25"/>
    </row>
    <row r="542" spans="1:15" x14ac:dyDescent="0.3">
      <c r="A542" t="s">
        <v>798</v>
      </c>
      <c r="B542" t="str">
        <f>IFERROR(VLOOKUP(A542,'DATA MASTER'!A:O,2,0)," ")</f>
        <v>STRUKTUR PERKUATAN</v>
      </c>
      <c r="C542" t="str">
        <f>IFERROR(VLOOKUP(A542,'DATA MASTER'!A:O,4,0)," ")</f>
        <v>PERKUATAN</v>
      </c>
      <c r="D542" t="s">
        <v>199</v>
      </c>
      <c r="E542" t="s">
        <v>786</v>
      </c>
      <c r="F542" s="1">
        <v>8.8000000000000007</v>
      </c>
      <c r="G542" s="1">
        <v>25</v>
      </c>
      <c r="H542">
        <v>0.55200000000000005</v>
      </c>
      <c r="I542" s="16">
        <f>BNW[[#This Row],[Berat Satuan
(Kg)]]*BNW[[#This Row],[Qty
(Set)]]</f>
        <v>13.8</v>
      </c>
      <c r="K542" s="1">
        <f>SUMIF(DATA_MASTER[NO. PON],BNW[[#This Row],[No.PON]],DATA_MASTER[Qty
(Unit)])</f>
        <v>1</v>
      </c>
      <c r="L542" s="16">
        <f>BNW[[#This Row],[TOTAL UNIT]]*BNW[[#This Row],[Total Berat Baut
(Kg)]]</f>
        <v>13.8</v>
      </c>
      <c r="N542"/>
      <c r="O542" s="25"/>
    </row>
    <row r="543" spans="1:15" x14ac:dyDescent="0.3">
      <c r="A543" t="s">
        <v>798</v>
      </c>
      <c r="B543" t="str">
        <f>IFERROR(VLOOKUP(A543,'DATA MASTER'!A:O,2,0)," ")</f>
        <v>STRUKTUR PERKUATAN</v>
      </c>
      <c r="C543" t="str">
        <f>IFERROR(VLOOKUP(A543,'DATA MASTER'!A:O,4,0)," ")</f>
        <v>PERKUATAN</v>
      </c>
      <c r="D543" t="s">
        <v>205</v>
      </c>
      <c r="E543" t="s">
        <v>106</v>
      </c>
      <c r="F543" s="1">
        <v>8.8000000000000007</v>
      </c>
      <c r="G543" s="1">
        <v>297</v>
      </c>
      <c r="H543">
        <v>6.3E-2</v>
      </c>
      <c r="I543" s="16">
        <f>BNW[[#This Row],[Berat Satuan
(Kg)]]*BNW[[#This Row],[Qty
(Set)]]</f>
        <v>18.710999999999999</v>
      </c>
      <c r="K543" s="1">
        <f>SUMIF(DATA_MASTER[NO. PON],BNW[[#This Row],[No.PON]],DATA_MASTER[Qty
(Unit)])</f>
        <v>1</v>
      </c>
      <c r="L543" s="16">
        <f>BNW[[#This Row],[TOTAL UNIT]]*BNW[[#This Row],[Total Berat Baut
(Kg)]]</f>
        <v>18.710999999999999</v>
      </c>
      <c r="N543"/>
      <c r="O543" s="25"/>
    </row>
    <row r="544" spans="1:15" x14ac:dyDescent="0.3">
      <c r="A544" t="s">
        <v>1000</v>
      </c>
      <c r="B544" t="str">
        <f>IFERROR(VLOOKUP(A544,'DATA MASTER'!A:O,2,0)," ")</f>
        <v>Jembatan Gantung</v>
      </c>
      <c r="C544" t="str">
        <f>IFERROR(VLOOKUP(A544,'DATA MASTER'!A:O,4,0)," ")</f>
        <v>JG40_ASIMETRIS</v>
      </c>
      <c r="D544" t="s">
        <v>86</v>
      </c>
      <c r="E544" t="s">
        <v>106</v>
      </c>
      <c r="F544" s="1" t="s">
        <v>296</v>
      </c>
      <c r="G544" s="1">
        <v>13</v>
      </c>
      <c r="H544">
        <v>0.41</v>
      </c>
      <c r="I544" s="16">
        <f>BNW[[#This Row],[Berat Satuan
(Kg)]]*BNW[[#This Row],[Qty
(Set)]]</f>
        <v>5.33</v>
      </c>
      <c r="K544" s="1">
        <f>SUMIF(DATA_MASTER[NO. PON],BNW[[#This Row],[No.PON]],DATA_MASTER[Qty
(Unit)])</f>
        <v>1</v>
      </c>
      <c r="L544" s="16">
        <f>BNW[[#This Row],[TOTAL UNIT]]*BNW[[#This Row],[Total Berat Baut
(Kg)]]</f>
        <v>5.33</v>
      </c>
      <c r="O544" s="25"/>
    </row>
    <row r="545" spans="1:15" x14ac:dyDescent="0.3">
      <c r="A545" t="s">
        <v>1000</v>
      </c>
      <c r="B545" t="str">
        <f>IFERROR(VLOOKUP(A545,'DATA MASTER'!A:O,2,0)," ")</f>
        <v>Jembatan Gantung</v>
      </c>
      <c r="C545" t="str">
        <f>IFERROR(VLOOKUP(A545,'DATA MASTER'!A:O,4,0)," ")</f>
        <v>JG40_ASIMETRIS</v>
      </c>
      <c r="D545" t="s">
        <v>86</v>
      </c>
      <c r="E545" t="s">
        <v>106</v>
      </c>
      <c r="F545" s="1">
        <v>8.8000000000000007</v>
      </c>
      <c r="G545" s="1">
        <v>198</v>
      </c>
      <c r="H545">
        <v>0.35700000000000004</v>
      </c>
      <c r="I545" s="16">
        <f>BNW[[#This Row],[Berat Satuan
(Kg)]]*BNW[[#This Row],[Qty
(Set)]]</f>
        <v>70.686000000000007</v>
      </c>
      <c r="K545" s="1">
        <f>SUMIF(DATA_MASTER[NO. PON],BNW[[#This Row],[No.PON]],DATA_MASTER[Qty
(Unit)])</f>
        <v>1</v>
      </c>
      <c r="L545" s="16">
        <f>BNW[[#This Row],[TOTAL UNIT]]*BNW[[#This Row],[Total Berat Baut
(Kg)]]</f>
        <v>70.686000000000007</v>
      </c>
      <c r="N545"/>
      <c r="O545" s="25"/>
    </row>
    <row r="546" spans="1:15" x14ac:dyDescent="0.3">
      <c r="A546" t="s">
        <v>1000</v>
      </c>
      <c r="B546" t="str">
        <f>IFERROR(VLOOKUP(A546,'DATA MASTER'!A:O,2,0)," ")</f>
        <v>Jembatan Gantung</v>
      </c>
      <c r="C546" t="str">
        <f>IFERROR(VLOOKUP(A546,'DATA MASTER'!A:O,4,0)," ")</f>
        <v>JG40_ASIMETRIS</v>
      </c>
      <c r="D546" t="s">
        <v>283</v>
      </c>
      <c r="E546" t="s">
        <v>106</v>
      </c>
      <c r="F546" s="1">
        <v>8.8000000000000007</v>
      </c>
      <c r="G546" s="1">
        <v>87</v>
      </c>
      <c r="H546">
        <v>0.34700000000000003</v>
      </c>
      <c r="I546" s="16">
        <f>BNW[[#This Row],[Berat Satuan
(Kg)]]*BNW[[#This Row],[Qty
(Set)]]</f>
        <v>30.189000000000004</v>
      </c>
      <c r="K546" s="1">
        <f>SUMIF(DATA_MASTER[NO. PON],BNW[[#This Row],[No.PON]],DATA_MASTER[Qty
(Unit)])</f>
        <v>1</v>
      </c>
      <c r="L546" s="16">
        <f>BNW[[#This Row],[TOTAL UNIT]]*BNW[[#This Row],[Total Berat Baut
(Kg)]]</f>
        <v>30.189000000000004</v>
      </c>
      <c r="N546"/>
      <c r="O546" s="25"/>
    </row>
    <row r="547" spans="1:15" x14ac:dyDescent="0.3">
      <c r="A547" t="s">
        <v>1000</v>
      </c>
      <c r="B547" t="str">
        <f>IFERROR(VLOOKUP(A547,'DATA MASTER'!A:O,2,0)," ")</f>
        <v>Jembatan Gantung</v>
      </c>
      <c r="C547" t="str">
        <f>IFERROR(VLOOKUP(A547,'DATA MASTER'!A:O,4,0)," ")</f>
        <v>JG40_ASIMETRIS</v>
      </c>
      <c r="D547" t="s">
        <v>80</v>
      </c>
      <c r="E547" t="s">
        <v>106</v>
      </c>
      <c r="F547" s="1">
        <v>8.8000000000000007</v>
      </c>
      <c r="G547" s="1">
        <v>83</v>
      </c>
      <c r="H547">
        <v>0.32700000000000001</v>
      </c>
      <c r="I547" s="16">
        <f>BNW[[#This Row],[Berat Satuan
(Kg)]]*BNW[[#This Row],[Qty
(Set)]]</f>
        <v>27.141000000000002</v>
      </c>
      <c r="K547" s="1">
        <f>SUMIF(DATA_MASTER[NO. PON],BNW[[#This Row],[No.PON]],DATA_MASTER[Qty
(Unit)])</f>
        <v>1</v>
      </c>
      <c r="L547" s="16">
        <f>BNW[[#This Row],[TOTAL UNIT]]*BNW[[#This Row],[Total Berat Baut
(Kg)]]</f>
        <v>27.141000000000002</v>
      </c>
      <c r="N547"/>
      <c r="O547" s="25"/>
    </row>
    <row r="548" spans="1:15" x14ac:dyDescent="0.3">
      <c r="A548" t="s">
        <v>1000</v>
      </c>
      <c r="B548" t="str">
        <f>IFERROR(VLOOKUP(A548,'DATA MASTER'!A:O,2,0)," ")</f>
        <v>Jembatan Gantung</v>
      </c>
      <c r="C548" t="str">
        <f>IFERROR(VLOOKUP(A548,'DATA MASTER'!A:O,4,0)," ")</f>
        <v>JG40_ASIMETRIS</v>
      </c>
      <c r="D548" t="s">
        <v>82</v>
      </c>
      <c r="E548" t="s">
        <v>106</v>
      </c>
      <c r="F548" s="1">
        <v>8.8000000000000007</v>
      </c>
      <c r="G548" s="1">
        <v>17</v>
      </c>
      <c r="H548">
        <v>0.307</v>
      </c>
      <c r="I548" s="16">
        <f>BNW[[#This Row],[Berat Satuan
(Kg)]]*BNW[[#This Row],[Qty
(Set)]]</f>
        <v>5.2190000000000003</v>
      </c>
      <c r="K548" s="1">
        <f>SUMIF(DATA_MASTER[NO. PON],BNW[[#This Row],[No.PON]],DATA_MASTER[Qty
(Unit)])</f>
        <v>1</v>
      </c>
      <c r="L548" s="16">
        <f>BNW[[#This Row],[TOTAL UNIT]]*BNW[[#This Row],[Total Berat Baut
(Kg)]]</f>
        <v>5.2190000000000003</v>
      </c>
      <c r="N548"/>
      <c r="O548" s="25"/>
    </row>
    <row r="549" spans="1:15" x14ac:dyDescent="0.3">
      <c r="A549" t="s">
        <v>1000</v>
      </c>
      <c r="B549" t="str">
        <f>IFERROR(VLOOKUP(A549,'DATA MASTER'!A:O,2,0)," ")</f>
        <v>Jembatan Gantung</v>
      </c>
      <c r="C549" t="str">
        <f>IFERROR(VLOOKUP(A549,'DATA MASTER'!A:O,4,0)," ")</f>
        <v>JG40_ASIMETRIS</v>
      </c>
      <c r="D549" t="s">
        <v>623</v>
      </c>
      <c r="E549" t="s">
        <v>106</v>
      </c>
      <c r="F549" s="1">
        <v>8.8000000000000007</v>
      </c>
      <c r="G549" s="1">
        <v>87</v>
      </c>
      <c r="H549">
        <v>0.159</v>
      </c>
      <c r="I549" s="16">
        <f>BNW[[#This Row],[Berat Satuan
(Kg)]]*BNW[[#This Row],[Qty
(Set)]]</f>
        <v>13.833</v>
      </c>
      <c r="K549" s="1">
        <f>SUMIF(DATA_MASTER[NO. PON],BNW[[#This Row],[No.PON]],DATA_MASTER[Qty
(Unit)])</f>
        <v>1</v>
      </c>
      <c r="L549" s="16">
        <f>BNW[[#This Row],[TOTAL UNIT]]*BNW[[#This Row],[Total Berat Baut
(Kg)]]</f>
        <v>13.833</v>
      </c>
      <c r="N549"/>
      <c r="O549" s="25"/>
    </row>
    <row r="550" spans="1:15" x14ac:dyDescent="0.3">
      <c r="A550" t="s">
        <v>1000</v>
      </c>
      <c r="B550" t="str">
        <f>IFERROR(VLOOKUP(A550,'DATA MASTER'!A:O,2,0)," ")</f>
        <v>Jembatan Gantung</v>
      </c>
      <c r="C550" t="str">
        <f>IFERROR(VLOOKUP(A550,'DATA MASTER'!A:O,4,0)," ")</f>
        <v>JG40_ASIMETRIS</v>
      </c>
      <c r="D550" t="s">
        <v>87</v>
      </c>
      <c r="E550" t="s">
        <v>106</v>
      </c>
      <c r="F550" s="1">
        <v>8.8000000000000007</v>
      </c>
      <c r="G550" s="1">
        <v>122</v>
      </c>
      <c r="H550">
        <v>0.14900000000000002</v>
      </c>
      <c r="I550" s="16">
        <f>BNW[[#This Row],[Berat Satuan
(Kg)]]*BNW[[#This Row],[Qty
(Set)]]</f>
        <v>18.178000000000004</v>
      </c>
      <c r="K550" s="1">
        <f>SUMIF(DATA_MASTER[NO. PON],BNW[[#This Row],[No.PON]],DATA_MASTER[Qty
(Unit)])</f>
        <v>1</v>
      </c>
      <c r="L550" s="16">
        <f>BNW[[#This Row],[TOTAL UNIT]]*BNW[[#This Row],[Total Berat Baut
(Kg)]]</f>
        <v>18.178000000000004</v>
      </c>
      <c r="N550"/>
      <c r="O550" s="25"/>
    </row>
    <row r="551" spans="1:15" x14ac:dyDescent="0.3">
      <c r="A551" t="s">
        <v>1000</v>
      </c>
      <c r="B551" t="str">
        <f>IFERROR(VLOOKUP(A551,'DATA MASTER'!A:O,2,0)," ")</f>
        <v>Jembatan Gantung</v>
      </c>
      <c r="C551" t="str">
        <f>IFERROR(VLOOKUP(A551,'DATA MASTER'!A:O,4,0)," ")</f>
        <v>JG40_ASIMETRIS</v>
      </c>
      <c r="D551" t="s">
        <v>88</v>
      </c>
      <c r="E551" t="s">
        <v>106</v>
      </c>
      <c r="F551" s="1">
        <v>8.8000000000000007</v>
      </c>
      <c r="G551" s="1">
        <v>174</v>
      </c>
      <c r="H551">
        <v>0.13600000000000001</v>
      </c>
      <c r="I551" s="16">
        <f>BNW[[#This Row],[Berat Satuan
(Kg)]]*BNW[[#This Row],[Qty
(Set)]]</f>
        <v>23.664000000000001</v>
      </c>
      <c r="K551" s="1">
        <f>SUMIF(DATA_MASTER[NO. PON],BNW[[#This Row],[No.PON]],DATA_MASTER[Qty
(Unit)])</f>
        <v>1</v>
      </c>
      <c r="L551" s="16">
        <f>BNW[[#This Row],[TOTAL UNIT]]*BNW[[#This Row],[Total Berat Baut
(Kg)]]</f>
        <v>23.664000000000001</v>
      </c>
      <c r="N551"/>
      <c r="O551" s="25"/>
    </row>
    <row r="552" spans="1:15" x14ac:dyDescent="0.3">
      <c r="A552" t="s">
        <v>1000</v>
      </c>
      <c r="B552" t="str">
        <f>IFERROR(VLOOKUP(A552,'DATA MASTER'!A:O,2,0)," ")</f>
        <v>Jembatan Gantung</v>
      </c>
      <c r="C552" t="str">
        <f>IFERROR(VLOOKUP(A552,'DATA MASTER'!A:O,4,0)," ")</f>
        <v>JG40_ASIMETRIS</v>
      </c>
      <c r="D552" t="s">
        <v>203</v>
      </c>
      <c r="E552" t="s">
        <v>106</v>
      </c>
      <c r="F552" s="1">
        <v>8.8000000000000007</v>
      </c>
      <c r="G552" s="1">
        <v>495</v>
      </c>
      <c r="H552">
        <v>0.129</v>
      </c>
      <c r="I552" s="16">
        <f>BNW[[#This Row],[Berat Satuan
(Kg)]]*BNW[[#This Row],[Qty
(Set)]]</f>
        <v>63.855000000000004</v>
      </c>
      <c r="K552" s="1">
        <f>SUMIF(DATA_MASTER[NO. PON],BNW[[#This Row],[No.PON]],DATA_MASTER[Qty
(Unit)])</f>
        <v>1</v>
      </c>
      <c r="L552" s="16">
        <f>BNW[[#This Row],[TOTAL UNIT]]*BNW[[#This Row],[Total Berat Baut
(Kg)]]</f>
        <v>63.855000000000004</v>
      </c>
      <c r="N552"/>
      <c r="O552" s="25"/>
    </row>
    <row r="553" spans="1:15" x14ac:dyDescent="0.3">
      <c r="A553" t="s">
        <v>1000</v>
      </c>
      <c r="B553" t="str">
        <f>IFERROR(VLOOKUP(A553,'DATA MASTER'!A:O,2,0)," ")</f>
        <v>Jembatan Gantung</v>
      </c>
      <c r="C553" t="str">
        <f>IFERROR(VLOOKUP(A553,'DATA MASTER'!A:O,4,0)," ")</f>
        <v>JG40_ASIMETRIS</v>
      </c>
      <c r="D553" t="s">
        <v>89</v>
      </c>
      <c r="E553" t="s">
        <v>106</v>
      </c>
      <c r="F553" s="1">
        <v>8.8000000000000007</v>
      </c>
      <c r="G553" s="1">
        <v>363</v>
      </c>
      <c r="H553">
        <v>6.8000000000000005E-2</v>
      </c>
      <c r="I553" s="16">
        <f>BNW[[#This Row],[Berat Satuan
(Kg)]]*BNW[[#This Row],[Qty
(Set)]]</f>
        <v>24.684000000000001</v>
      </c>
      <c r="K553" s="1">
        <f>SUMIF(DATA_MASTER[NO. PON],BNW[[#This Row],[No.PON]],DATA_MASTER[Qty
(Unit)])</f>
        <v>1</v>
      </c>
      <c r="L553" s="16">
        <f>BNW[[#This Row],[TOTAL UNIT]]*BNW[[#This Row],[Total Berat Baut
(Kg)]]</f>
        <v>24.684000000000001</v>
      </c>
      <c r="N553"/>
      <c r="O553" s="25"/>
    </row>
    <row r="554" spans="1:15" x14ac:dyDescent="0.3">
      <c r="A554" t="s">
        <v>1000</v>
      </c>
      <c r="B554" t="str">
        <f>IFERROR(VLOOKUP(A554,'DATA MASTER'!A:O,2,0)," ")</f>
        <v>Jembatan Gantung</v>
      </c>
      <c r="C554" t="str">
        <f>IFERROR(VLOOKUP(A554,'DATA MASTER'!A:O,4,0)," ")</f>
        <v>JG40_ASIMETRIS</v>
      </c>
      <c r="D554" t="s">
        <v>205</v>
      </c>
      <c r="E554" t="s">
        <v>106</v>
      </c>
      <c r="F554" s="1">
        <v>8.8000000000000007</v>
      </c>
      <c r="G554" s="1">
        <v>606</v>
      </c>
      <c r="H554">
        <v>6.3E-2</v>
      </c>
      <c r="I554" s="16">
        <f>BNW[[#This Row],[Berat Satuan
(Kg)]]*BNW[[#This Row],[Qty
(Set)]]</f>
        <v>38.177999999999997</v>
      </c>
      <c r="K554" s="1">
        <f>SUMIF(DATA_MASTER[NO. PON],BNW[[#This Row],[No.PON]],DATA_MASTER[Qty
(Unit)])</f>
        <v>1</v>
      </c>
      <c r="L554" s="16">
        <f>BNW[[#This Row],[TOTAL UNIT]]*BNW[[#This Row],[Total Berat Baut
(Kg)]]</f>
        <v>38.177999999999997</v>
      </c>
      <c r="N554"/>
      <c r="O554" s="25"/>
    </row>
    <row r="555" spans="1:15" x14ac:dyDescent="0.3">
      <c r="A555" t="s">
        <v>1000</v>
      </c>
      <c r="B555" t="str">
        <f>IFERROR(VLOOKUP(A555,'DATA MASTER'!A:O,2,0)," ")</f>
        <v>Jembatan Gantung</v>
      </c>
      <c r="C555" t="str">
        <f>IFERROR(VLOOKUP(A555,'DATA MASTER'!A:O,4,0)," ")</f>
        <v>JG40_ASIMETRIS</v>
      </c>
      <c r="D555" t="s">
        <v>929</v>
      </c>
      <c r="E555" t="s">
        <v>106</v>
      </c>
      <c r="F555" s="1">
        <v>8.8000000000000007</v>
      </c>
      <c r="G555" s="1">
        <v>9</v>
      </c>
      <c r="H555">
        <v>3.0000000000000001E-3</v>
      </c>
      <c r="I555" s="16">
        <f>BNW[[#This Row],[Berat Satuan
(Kg)]]*BNW[[#This Row],[Qty
(Set)]]</f>
        <v>2.7E-2</v>
      </c>
      <c r="K555" s="1">
        <f>SUMIF(DATA_MASTER[NO. PON],BNW[[#This Row],[No.PON]],DATA_MASTER[Qty
(Unit)])</f>
        <v>1</v>
      </c>
      <c r="L555" s="16">
        <f>BNW[[#This Row],[TOTAL UNIT]]*BNW[[#This Row],[Total Berat Baut
(Kg)]]</f>
        <v>2.7E-2</v>
      </c>
      <c r="N555"/>
      <c r="O555" s="25"/>
    </row>
    <row r="556" spans="1:15" x14ac:dyDescent="0.3">
      <c r="A556" t="s">
        <v>1000</v>
      </c>
      <c r="B556" t="str">
        <f>IFERROR(VLOOKUP(A556,'DATA MASTER'!A:O,2,0)," ")</f>
        <v>Jembatan Gantung</v>
      </c>
      <c r="C556" t="str">
        <f>IFERROR(VLOOKUP(A556,'DATA MASTER'!A:O,4,0)," ")</f>
        <v>JG40_ASIMETRIS</v>
      </c>
      <c r="D556" t="s">
        <v>208</v>
      </c>
      <c r="E556" t="s">
        <v>106</v>
      </c>
      <c r="F556" s="1">
        <v>8.8000000000000007</v>
      </c>
      <c r="G556" s="1">
        <v>17</v>
      </c>
      <c r="H556">
        <v>0.01</v>
      </c>
      <c r="I556" s="16">
        <f>BNW[[#This Row],[Berat Satuan
(Kg)]]*BNW[[#This Row],[Qty
(Set)]]</f>
        <v>0.17</v>
      </c>
      <c r="K556" s="1">
        <f>SUMIF(DATA_MASTER[NO. PON],BNW[[#This Row],[No.PON]],DATA_MASTER[Qty
(Unit)])</f>
        <v>1</v>
      </c>
      <c r="L556" s="16">
        <f>BNW[[#This Row],[TOTAL UNIT]]*BNW[[#This Row],[Total Berat Baut
(Kg)]]</f>
        <v>0.17</v>
      </c>
      <c r="N556"/>
      <c r="O556" s="25"/>
    </row>
    <row r="557" spans="1:15" x14ac:dyDescent="0.3">
      <c r="A557" t="s">
        <v>960</v>
      </c>
      <c r="B557" t="str">
        <f>IFERROR(VLOOKUP(A557,'DATA MASTER'!A:O,2,0)," ")</f>
        <v>Girder</v>
      </c>
      <c r="C557" t="str">
        <f>IFERROR(VLOOKUP(A557,'DATA MASTER'!A:O,4,0)," ")</f>
        <v>CG12</v>
      </c>
      <c r="D557" t="s">
        <v>86</v>
      </c>
      <c r="E557" t="s">
        <v>786</v>
      </c>
      <c r="F557" s="1">
        <v>8.8000000000000007</v>
      </c>
      <c r="G557" s="1">
        <v>297</v>
      </c>
      <c r="H557">
        <v>0.35700000000000004</v>
      </c>
      <c r="I557" s="16">
        <f>BNW[[#This Row],[Berat Satuan
(Kg)]]*BNW[[#This Row],[Qty
(Set)]]</f>
        <v>106.02900000000001</v>
      </c>
      <c r="K557" s="1">
        <f>SUMIF(DATA_MASTER[NO. PON],BNW[[#This Row],[No.PON]],DATA_MASTER[Qty
(Unit)])</f>
        <v>1</v>
      </c>
      <c r="L557" s="16">
        <f>BNW[[#This Row],[TOTAL UNIT]]*BNW[[#This Row],[Total Berat Baut
(Kg)]]</f>
        <v>106.02900000000001</v>
      </c>
      <c r="O557" s="25"/>
    </row>
    <row r="558" spans="1:15" x14ac:dyDescent="0.3">
      <c r="A558" t="s">
        <v>960</v>
      </c>
      <c r="B558" t="str">
        <f>IFERROR(VLOOKUP(A558,'DATA MASTER'!A:O,2,0)," ")</f>
        <v>Girder</v>
      </c>
      <c r="C558" t="str">
        <f>IFERROR(VLOOKUP(A558,'DATA MASTER'!A:O,4,0)," ")</f>
        <v>CG12</v>
      </c>
      <c r="D558" t="s">
        <v>283</v>
      </c>
      <c r="E558" t="s">
        <v>786</v>
      </c>
      <c r="F558" s="1">
        <v>8.8000000000000007</v>
      </c>
      <c r="G558" s="1">
        <v>297</v>
      </c>
      <c r="H558">
        <v>0.34700000000000003</v>
      </c>
      <c r="I558" s="16">
        <f>BNW[[#This Row],[Berat Satuan
(Kg)]]*BNW[[#This Row],[Qty
(Set)]]</f>
        <v>103.05900000000001</v>
      </c>
      <c r="K558" s="1">
        <f>SUMIF(DATA_MASTER[NO. PON],BNW[[#This Row],[No.PON]],DATA_MASTER[Qty
(Unit)])</f>
        <v>1</v>
      </c>
      <c r="L558" s="16">
        <f>BNW[[#This Row],[TOTAL UNIT]]*BNW[[#This Row],[Total Berat Baut
(Kg)]]</f>
        <v>103.05900000000001</v>
      </c>
      <c r="N558"/>
      <c r="O558" s="25"/>
    </row>
    <row r="559" spans="1:15" x14ac:dyDescent="0.3">
      <c r="A559" t="s">
        <v>960</v>
      </c>
      <c r="B559" t="str">
        <f>IFERROR(VLOOKUP(A559,'DATA MASTER'!A:O,2,0)," ")</f>
        <v>Girder</v>
      </c>
      <c r="C559" t="str">
        <f>IFERROR(VLOOKUP(A559,'DATA MASTER'!A:O,4,0)," ")</f>
        <v>CG12</v>
      </c>
      <c r="D559" t="s">
        <v>87</v>
      </c>
      <c r="E559" t="s">
        <v>106</v>
      </c>
      <c r="F559" s="1">
        <v>8.8000000000000007</v>
      </c>
      <c r="G559" s="1">
        <v>25</v>
      </c>
      <c r="H559">
        <v>0.14900000000000002</v>
      </c>
      <c r="I559" s="16">
        <f>BNW[[#This Row],[Berat Satuan
(Kg)]]*BNW[[#This Row],[Qty
(Set)]]</f>
        <v>3.7250000000000005</v>
      </c>
      <c r="K559" s="1">
        <f>SUMIF(DATA_MASTER[NO. PON],BNW[[#This Row],[No.PON]],DATA_MASTER[Qty
(Unit)])</f>
        <v>1</v>
      </c>
      <c r="L559" s="16">
        <f>BNW[[#This Row],[TOTAL UNIT]]*BNW[[#This Row],[Total Berat Baut
(Kg)]]</f>
        <v>3.7250000000000005</v>
      </c>
      <c r="N559"/>
      <c r="O559" s="25"/>
    </row>
    <row r="560" spans="1:15" x14ac:dyDescent="0.3">
      <c r="A560" t="s">
        <v>960</v>
      </c>
      <c r="B560" t="str">
        <f>IFERROR(VLOOKUP(A560,'DATA MASTER'!A:O,2,0)," ")</f>
        <v>Girder</v>
      </c>
      <c r="C560" t="str">
        <f>IFERROR(VLOOKUP(A560,'DATA MASTER'!A:O,4,0)," ")</f>
        <v>CG12</v>
      </c>
      <c r="D560" t="s">
        <v>88</v>
      </c>
      <c r="E560" t="s">
        <v>106</v>
      </c>
      <c r="F560" s="1">
        <v>8.8000000000000007</v>
      </c>
      <c r="G560" s="1">
        <v>91</v>
      </c>
      <c r="H560">
        <v>0.13600000000000001</v>
      </c>
      <c r="I560" s="16">
        <f>BNW[[#This Row],[Berat Satuan
(Kg)]]*BNW[[#This Row],[Qty
(Set)]]</f>
        <v>12.376000000000001</v>
      </c>
      <c r="K560" s="1">
        <f>SUMIF(DATA_MASTER[NO. PON],BNW[[#This Row],[No.PON]],DATA_MASTER[Qty
(Unit)])</f>
        <v>1</v>
      </c>
      <c r="L560" s="16">
        <f>BNW[[#This Row],[TOTAL UNIT]]*BNW[[#This Row],[Total Berat Baut
(Kg)]]</f>
        <v>12.376000000000001</v>
      </c>
      <c r="N560"/>
      <c r="O560" s="25"/>
    </row>
    <row r="561" spans="1:15" x14ac:dyDescent="0.3">
      <c r="A561" t="s">
        <v>960</v>
      </c>
      <c r="B561" t="str">
        <f>IFERROR(VLOOKUP(A561,'DATA MASTER'!A:O,2,0)," ")</f>
        <v>Girder</v>
      </c>
      <c r="C561" t="str">
        <f>IFERROR(VLOOKUP(A561,'DATA MASTER'!A:O,4,0)," ")</f>
        <v>CG12</v>
      </c>
      <c r="D561" t="s">
        <v>83</v>
      </c>
      <c r="E561" t="s">
        <v>106</v>
      </c>
      <c r="F561" s="1">
        <v>8.8000000000000007</v>
      </c>
      <c r="G561" s="1">
        <v>9</v>
      </c>
      <c r="H561">
        <v>8.1000000000000003E-2</v>
      </c>
      <c r="I561" s="16">
        <f>BNW[[#This Row],[Berat Satuan
(Kg)]]*BNW[[#This Row],[Qty
(Set)]]</f>
        <v>0.72899999999999998</v>
      </c>
      <c r="K561" s="1">
        <f>SUMIF(DATA_MASTER[NO. PON],BNW[[#This Row],[No.PON]],DATA_MASTER[Qty
(Unit)])</f>
        <v>1</v>
      </c>
      <c r="L561" s="16">
        <f>BNW[[#This Row],[TOTAL UNIT]]*BNW[[#This Row],[Total Berat Baut
(Kg)]]</f>
        <v>0.72899999999999998</v>
      </c>
      <c r="N561"/>
      <c r="O561" s="25"/>
    </row>
    <row r="562" spans="1:15" x14ac:dyDescent="0.3">
      <c r="A562" t="s">
        <v>960</v>
      </c>
      <c r="B562" t="str">
        <f>IFERROR(VLOOKUP(A562,'DATA MASTER'!A:O,2,0)," ")</f>
        <v>Girder</v>
      </c>
      <c r="C562" t="str">
        <f>IFERROR(VLOOKUP(A562,'DATA MASTER'!A:O,4,0)," ")</f>
        <v>CG12</v>
      </c>
      <c r="D562" t="s">
        <v>89</v>
      </c>
      <c r="E562" t="s">
        <v>106</v>
      </c>
      <c r="F562" s="1">
        <v>8.8000000000000007</v>
      </c>
      <c r="G562" s="1">
        <v>182</v>
      </c>
      <c r="H562">
        <v>6.8000000000000005E-2</v>
      </c>
      <c r="I562" s="16">
        <f>BNW[[#This Row],[Berat Satuan
(Kg)]]*BNW[[#This Row],[Qty
(Set)]]</f>
        <v>12.376000000000001</v>
      </c>
      <c r="K562" s="1">
        <f>SUMIF(DATA_MASTER[NO. PON],BNW[[#This Row],[No.PON]],DATA_MASTER[Qty
(Unit)])</f>
        <v>1</v>
      </c>
      <c r="L562" s="16">
        <f>BNW[[#This Row],[TOTAL UNIT]]*BNW[[#This Row],[Total Berat Baut
(Kg)]]</f>
        <v>12.376000000000001</v>
      </c>
      <c r="N562"/>
      <c r="O562" s="25"/>
    </row>
    <row r="563" spans="1:15" x14ac:dyDescent="0.3">
      <c r="A563" t="s">
        <v>948</v>
      </c>
      <c r="B563" t="str">
        <f>IFERROR(VLOOKUP(A563,'DATA MASTER'!A:O,2,0)," ")</f>
        <v>Truss Modullar</v>
      </c>
      <c r="C563" t="str">
        <f>IFERROR(VLOOKUP(A563,'DATA MASTER'!A:O,4,0)," ")</f>
        <v>RB30</v>
      </c>
      <c r="D563" t="s">
        <v>282</v>
      </c>
      <c r="E563" t="s">
        <v>786</v>
      </c>
      <c r="F563" s="1">
        <v>8.8000000000000007</v>
      </c>
      <c r="G563" s="1">
        <v>136</v>
      </c>
      <c r="H563">
        <v>0.38700000000000001</v>
      </c>
      <c r="I563" s="16">
        <f>BNW[[#This Row],[Berat Satuan
(Kg)]]*BNW[[#This Row],[Qty
(Set)]]</f>
        <v>52.632000000000005</v>
      </c>
      <c r="K563" s="1">
        <f>SUMIF(DATA_MASTER[NO. PON],BNW[[#This Row],[No.PON]],DATA_MASTER[Qty
(Unit)])</f>
        <v>1</v>
      </c>
      <c r="L563" s="16">
        <f>BNW[[#This Row],[TOTAL UNIT]]*BNW[[#This Row],[Total Berat Baut
(Kg)]]</f>
        <v>52.632000000000005</v>
      </c>
      <c r="O563" s="25"/>
    </row>
    <row r="564" spans="1:15" x14ac:dyDescent="0.3">
      <c r="A564" t="s">
        <v>948</v>
      </c>
      <c r="B564" t="str">
        <f>IFERROR(VLOOKUP(A564,'DATA MASTER'!A:O,2,0)," ")</f>
        <v>Truss Modullar</v>
      </c>
      <c r="C564" t="str">
        <f>IFERROR(VLOOKUP(A564,'DATA MASTER'!A:O,4,0)," ")</f>
        <v>RB30</v>
      </c>
      <c r="D564" t="s">
        <v>85</v>
      </c>
      <c r="E564" t="s">
        <v>786</v>
      </c>
      <c r="F564" s="1">
        <v>8.8000000000000007</v>
      </c>
      <c r="G564" s="1">
        <v>211</v>
      </c>
      <c r="H564">
        <v>0.36699999999999999</v>
      </c>
      <c r="I564" s="16">
        <f>BNW[[#This Row],[Berat Satuan
(Kg)]]*BNW[[#This Row],[Qty
(Set)]]</f>
        <v>77.436999999999998</v>
      </c>
      <c r="K564" s="1">
        <f>SUMIF(DATA_MASTER[NO. PON],BNW[[#This Row],[No.PON]],DATA_MASTER[Qty
(Unit)])</f>
        <v>1</v>
      </c>
      <c r="L564" s="16">
        <f>BNW[[#This Row],[TOTAL UNIT]]*BNW[[#This Row],[Total Berat Baut
(Kg)]]</f>
        <v>77.436999999999998</v>
      </c>
      <c r="N564"/>
      <c r="O564" s="25"/>
    </row>
    <row r="565" spans="1:15" x14ac:dyDescent="0.3">
      <c r="A565" t="s">
        <v>948</v>
      </c>
      <c r="B565" t="str">
        <f>IFERROR(VLOOKUP(A565,'DATA MASTER'!A:O,2,0)," ")</f>
        <v>Truss Modullar</v>
      </c>
      <c r="C565" t="str">
        <f>IFERROR(VLOOKUP(A565,'DATA MASTER'!A:O,4,0)," ")</f>
        <v>RB30</v>
      </c>
      <c r="D565" t="s">
        <v>86</v>
      </c>
      <c r="E565" t="s">
        <v>786</v>
      </c>
      <c r="F565" s="1">
        <v>8.8000000000000007</v>
      </c>
      <c r="G565" s="1">
        <v>198</v>
      </c>
      <c r="H565">
        <v>0.35700000000000004</v>
      </c>
      <c r="I565" s="16">
        <f>BNW[[#This Row],[Berat Satuan
(Kg)]]*BNW[[#This Row],[Qty
(Set)]]</f>
        <v>70.686000000000007</v>
      </c>
      <c r="K565" s="1">
        <f>SUMIF(DATA_MASTER[NO. PON],BNW[[#This Row],[No.PON]],DATA_MASTER[Qty
(Unit)])</f>
        <v>1</v>
      </c>
      <c r="L565" s="16">
        <f>BNW[[#This Row],[TOTAL UNIT]]*BNW[[#This Row],[Total Berat Baut
(Kg)]]</f>
        <v>70.686000000000007</v>
      </c>
      <c r="N565"/>
      <c r="O565" s="25"/>
    </row>
    <row r="566" spans="1:15" x14ac:dyDescent="0.3">
      <c r="A566" t="s">
        <v>948</v>
      </c>
      <c r="B566" t="str">
        <f>IFERROR(VLOOKUP(A566,'DATA MASTER'!A:O,2,0)," ")</f>
        <v>Truss Modullar</v>
      </c>
      <c r="C566" t="str">
        <f>IFERROR(VLOOKUP(A566,'DATA MASTER'!A:O,4,0)," ")</f>
        <v>RB30</v>
      </c>
      <c r="D566" t="s">
        <v>283</v>
      </c>
      <c r="E566" t="s">
        <v>786</v>
      </c>
      <c r="F566" s="1">
        <v>8.8000000000000007</v>
      </c>
      <c r="G566" s="1">
        <v>1154</v>
      </c>
      <c r="H566">
        <v>0.34700000000000003</v>
      </c>
      <c r="I566" s="16">
        <f>BNW[[#This Row],[Berat Satuan
(Kg)]]*BNW[[#This Row],[Qty
(Set)]]</f>
        <v>400.43800000000005</v>
      </c>
      <c r="K566" s="1">
        <f>SUMIF(DATA_MASTER[NO. PON],BNW[[#This Row],[No.PON]],DATA_MASTER[Qty
(Unit)])</f>
        <v>1</v>
      </c>
      <c r="L566" s="16">
        <f>BNW[[#This Row],[TOTAL UNIT]]*BNW[[#This Row],[Total Berat Baut
(Kg)]]</f>
        <v>400.43800000000005</v>
      </c>
      <c r="N566"/>
      <c r="O566" s="25"/>
    </row>
    <row r="567" spans="1:15" x14ac:dyDescent="0.3">
      <c r="A567" t="s">
        <v>948</v>
      </c>
      <c r="B567" t="str">
        <f>IFERROR(VLOOKUP(A567,'DATA MASTER'!A:O,2,0)," ")</f>
        <v>Truss Modullar</v>
      </c>
      <c r="C567" t="str">
        <f>IFERROR(VLOOKUP(A567,'DATA MASTER'!A:O,4,0)," ")</f>
        <v>RB30</v>
      </c>
      <c r="D567" t="s">
        <v>80</v>
      </c>
      <c r="E567" t="s">
        <v>786</v>
      </c>
      <c r="F567" s="1">
        <v>8.8000000000000007</v>
      </c>
      <c r="G567" s="1">
        <v>1424</v>
      </c>
      <c r="H567">
        <v>0.32700000000000001</v>
      </c>
      <c r="I567" s="16">
        <f>BNW[[#This Row],[Berat Satuan
(Kg)]]*BNW[[#This Row],[Qty
(Set)]]</f>
        <v>465.64800000000002</v>
      </c>
      <c r="K567" s="1">
        <f>SUMIF(DATA_MASTER[NO. PON],BNW[[#This Row],[No.PON]],DATA_MASTER[Qty
(Unit)])</f>
        <v>1</v>
      </c>
      <c r="L567" s="16">
        <f>BNW[[#This Row],[TOTAL UNIT]]*BNW[[#This Row],[Total Berat Baut
(Kg)]]</f>
        <v>465.64800000000002</v>
      </c>
      <c r="N567"/>
      <c r="O567" s="25"/>
    </row>
    <row r="568" spans="1:15" x14ac:dyDescent="0.3">
      <c r="A568" t="s">
        <v>948</v>
      </c>
      <c r="B568" t="str">
        <f>IFERROR(VLOOKUP(A568,'DATA MASTER'!A:O,2,0)," ")</f>
        <v>Truss Modullar</v>
      </c>
      <c r="C568" t="str">
        <f>IFERROR(VLOOKUP(A568,'DATA MASTER'!A:O,4,0)," ")</f>
        <v>RB30</v>
      </c>
      <c r="D568" t="s">
        <v>81</v>
      </c>
      <c r="E568" t="s">
        <v>786</v>
      </c>
      <c r="F568" s="1">
        <v>8.8000000000000007</v>
      </c>
      <c r="G568" s="1">
        <v>1220</v>
      </c>
      <c r="H568">
        <v>0.317</v>
      </c>
      <c r="I568" s="16">
        <f>BNW[[#This Row],[Berat Satuan
(Kg)]]*BNW[[#This Row],[Qty
(Set)]]</f>
        <v>386.74</v>
      </c>
      <c r="K568" s="1">
        <f>SUMIF(DATA_MASTER[NO. PON],BNW[[#This Row],[No.PON]],DATA_MASTER[Qty
(Unit)])</f>
        <v>1</v>
      </c>
      <c r="L568" s="16">
        <f>BNW[[#This Row],[TOTAL UNIT]]*BNW[[#This Row],[Total Berat Baut
(Kg)]]</f>
        <v>386.74</v>
      </c>
      <c r="N568"/>
      <c r="O568" s="25"/>
    </row>
    <row r="569" spans="1:15" x14ac:dyDescent="0.3">
      <c r="A569" t="s">
        <v>948</v>
      </c>
      <c r="B569" t="str">
        <f>IFERROR(VLOOKUP(A569,'DATA MASTER'!A:O,2,0)," ")</f>
        <v>Truss Modullar</v>
      </c>
      <c r="C569" t="str">
        <f>IFERROR(VLOOKUP(A569,'DATA MASTER'!A:O,4,0)," ")</f>
        <v>RB30</v>
      </c>
      <c r="D569" t="s">
        <v>82</v>
      </c>
      <c r="E569" t="s">
        <v>786</v>
      </c>
      <c r="F569" s="1">
        <v>8.8000000000000007</v>
      </c>
      <c r="G569" s="1">
        <v>145</v>
      </c>
      <c r="H569">
        <v>0.307</v>
      </c>
      <c r="I569" s="16">
        <f>BNW[[#This Row],[Berat Satuan
(Kg)]]*BNW[[#This Row],[Qty
(Set)]]</f>
        <v>44.515000000000001</v>
      </c>
      <c r="K569" s="1">
        <f>SUMIF(DATA_MASTER[NO. PON],BNW[[#This Row],[No.PON]],DATA_MASTER[Qty
(Unit)])</f>
        <v>1</v>
      </c>
      <c r="L569" s="16">
        <f>BNW[[#This Row],[TOTAL UNIT]]*BNW[[#This Row],[Total Berat Baut
(Kg)]]</f>
        <v>44.515000000000001</v>
      </c>
      <c r="N569"/>
      <c r="O569" s="25"/>
    </row>
    <row r="570" spans="1:15" x14ac:dyDescent="0.3">
      <c r="A570" t="s">
        <v>948</v>
      </c>
      <c r="B570" t="str">
        <f>IFERROR(VLOOKUP(A570,'DATA MASTER'!A:O,2,0)," ")</f>
        <v>Truss Modullar</v>
      </c>
      <c r="C570" t="str">
        <f>IFERROR(VLOOKUP(A570,'DATA MASTER'!A:O,4,0)," ")</f>
        <v>RB30</v>
      </c>
      <c r="D570" t="s">
        <v>284</v>
      </c>
      <c r="E570" t="s">
        <v>106</v>
      </c>
      <c r="F570" s="1">
        <v>8.8000000000000007</v>
      </c>
      <c r="G570" s="1">
        <v>25</v>
      </c>
      <c r="H570">
        <v>8.6000000000000007E-2</v>
      </c>
      <c r="I570" s="16">
        <f>BNW[[#This Row],[Berat Satuan
(Kg)]]*BNW[[#This Row],[Qty
(Set)]]</f>
        <v>2.1500000000000004</v>
      </c>
      <c r="K570" s="1">
        <f>SUMIF(DATA_MASTER[NO. PON],BNW[[#This Row],[No.PON]],DATA_MASTER[Qty
(Unit)])</f>
        <v>1</v>
      </c>
      <c r="L570" s="16">
        <f>BNW[[#This Row],[TOTAL UNIT]]*BNW[[#This Row],[Total Berat Baut
(Kg)]]</f>
        <v>2.1500000000000004</v>
      </c>
      <c r="N570"/>
      <c r="O570" s="25"/>
    </row>
    <row r="571" spans="1:15" x14ac:dyDescent="0.3">
      <c r="A571" t="s">
        <v>948</v>
      </c>
      <c r="B571" t="str">
        <f>IFERROR(VLOOKUP(A571,'DATA MASTER'!A:O,2,0)," ")</f>
        <v>Truss Modullar</v>
      </c>
      <c r="C571" t="str">
        <f>IFERROR(VLOOKUP(A571,'DATA MASTER'!A:O,4,0)," ")</f>
        <v>RB30</v>
      </c>
      <c r="D571" t="s">
        <v>478</v>
      </c>
      <c r="E571" t="s">
        <v>106</v>
      </c>
      <c r="F571" s="1">
        <v>8.8000000000000007</v>
      </c>
      <c r="G571" s="1">
        <v>433</v>
      </c>
      <c r="H571">
        <v>7.2000000000000008E-2</v>
      </c>
      <c r="I571" s="16">
        <f>BNW[[#This Row],[Berat Satuan
(Kg)]]*BNW[[#This Row],[Qty
(Set)]]</f>
        <v>31.176000000000002</v>
      </c>
      <c r="K571" s="1">
        <f>SUMIF(DATA_MASTER[NO. PON],BNW[[#This Row],[No.PON]],DATA_MASTER[Qty
(Unit)])</f>
        <v>1</v>
      </c>
      <c r="L571" s="16">
        <f>BNW[[#This Row],[TOTAL UNIT]]*BNW[[#This Row],[Total Berat Baut
(Kg)]]</f>
        <v>31.176000000000002</v>
      </c>
      <c r="N571"/>
      <c r="O571" s="25"/>
    </row>
    <row r="572" spans="1:15" x14ac:dyDescent="0.3">
      <c r="A572" t="s">
        <v>948</v>
      </c>
      <c r="B572" t="str">
        <f>IFERROR(VLOOKUP(A572,'DATA MASTER'!A:O,2,0)," ")</f>
        <v>Truss Modullar</v>
      </c>
      <c r="C572" t="str">
        <f>IFERROR(VLOOKUP(A572,'DATA MASTER'!A:O,4,0)," ")</f>
        <v>RB30</v>
      </c>
      <c r="D572" t="s">
        <v>89</v>
      </c>
      <c r="E572" t="s">
        <v>106</v>
      </c>
      <c r="F572" s="1">
        <v>8.8000000000000007</v>
      </c>
      <c r="G572" s="1">
        <v>17</v>
      </c>
      <c r="H572">
        <v>6.8000000000000005E-2</v>
      </c>
      <c r="I572" s="16">
        <f>BNW[[#This Row],[Berat Satuan
(Kg)]]*BNW[[#This Row],[Qty
(Set)]]</f>
        <v>1.1560000000000001</v>
      </c>
      <c r="K572" s="1">
        <f>SUMIF(DATA_MASTER[NO. PON],BNW[[#This Row],[No.PON]],DATA_MASTER[Qty
(Unit)])</f>
        <v>1</v>
      </c>
      <c r="L572" s="16">
        <f>BNW[[#This Row],[TOTAL UNIT]]*BNW[[#This Row],[Total Berat Baut
(Kg)]]</f>
        <v>1.1560000000000001</v>
      </c>
      <c r="N572"/>
      <c r="O572" s="25"/>
    </row>
    <row r="573" spans="1:15" x14ac:dyDescent="0.3">
      <c r="A573" t="s">
        <v>948</v>
      </c>
      <c r="B573" t="str">
        <f>IFERROR(VLOOKUP(A573,'DATA MASTER'!A:O,2,0)," ")</f>
        <v>Truss Modullar</v>
      </c>
      <c r="C573" t="str">
        <f>IFERROR(VLOOKUP(A573,'DATA MASTER'!A:O,4,0)," ")</f>
        <v>RB30</v>
      </c>
      <c r="D573" t="s">
        <v>205</v>
      </c>
      <c r="E573" t="s">
        <v>106</v>
      </c>
      <c r="F573" s="1">
        <v>8.8000000000000007</v>
      </c>
      <c r="G573" s="1">
        <v>948</v>
      </c>
      <c r="H573">
        <v>6.3E-2</v>
      </c>
      <c r="I573" s="16">
        <f>BNW[[#This Row],[Berat Satuan
(Kg)]]*BNW[[#This Row],[Qty
(Set)]]</f>
        <v>59.724000000000004</v>
      </c>
      <c r="K573" s="1">
        <f>SUMIF(DATA_MASTER[NO. PON],BNW[[#This Row],[No.PON]],DATA_MASTER[Qty
(Unit)])</f>
        <v>1</v>
      </c>
      <c r="L573" s="16">
        <f>BNW[[#This Row],[TOTAL UNIT]]*BNW[[#This Row],[Total Berat Baut
(Kg)]]</f>
        <v>59.724000000000004</v>
      </c>
      <c r="N573"/>
      <c r="O573" s="25"/>
    </row>
    <row r="574" spans="1:15" x14ac:dyDescent="0.3">
      <c r="A574" t="s">
        <v>948</v>
      </c>
      <c r="B574" t="str">
        <f>IFERROR(VLOOKUP(A574,'DATA MASTER'!A:O,2,0)," ")</f>
        <v>Truss Modullar</v>
      </c>
      <c r="C574" t="str">
        <f>IFERROR(VLOOKUP(A574,'DATA MASTER'!A:O,4,0)," ")</f>
        <v>RB30</v>
      </c>
      <c r="D574" t="s">
        <v>206</v>
      </c>
      <c r="E574" t="s">
        <v>106</v>
      </c>
      <c r="F574" s="1">
        <v>8.8000000000000007</v>
      </c>
      <c r="G574" s="1">
        <v>5</v>
      </c>
      <c r="H574">
        <v>5.9000000000000004E-2</v>
      </c>
      <c r="I574" s="16">
        <f>BNW[[#This Row],[Berat Satuan
(Kg)]]*BNW[[#This Row],[Qty
(Set)]]</f>
        <v>0.29500000000000004</v>
      </c>
      <c r="K574" s="1">
        <f>SUMIF(DATA_MASTER[NO. PON],BNW[[#This Row],[No.PON]],DATA_MASTER[Qty
(Unit)])</f>
        <v>1</v>
      </c>
      <c r="L574" s="16">
        <f>BNW[[#This Row],[TOTAL UNIT]]*BNW[[#This Row],[Total Berat Baut
(Kg)]]</f>
        <v>0.29500000000000004</v>
      </c>
      <c r="N574"/>
      <c r="O574" s="25"/>
    </row>
    <row r="575" spans="1:15" x14ac:dyDescent="0.3">
      <c r="A575" t="s">
        <v>1081</v>
      </c>
      <c r="B575" t="str">
        <f>IFERROR(VLOOKUP(A575,'DATA MASTER'!A:O,2,0)," ")</f>
        <v>Jembatan Gantung</v>
      </c>
      <c r="C575" t="str">
        <f>IFERROR(VLOOKUP(A575,'DATA MASTER'!A:O,4,0)," ")</f>
        <v>JG100P</v>
      </c>
      <c r="D575" t="s">
        <v>943</v>
      </c>
      <c r="E575" t="s">
        <v>786</v>
      </c>
      <c r="F575" s="1">
        <v>8.8000000000000007</v>
      </c>
      <c r="G575" s="1">
        <v>17</v>
      </c>
      <c r="H575">
        <v>0.65200000000000002</v>
      </c>
      <c r="I575" s="16">
        <f>BNW[[#This Row],[Berat Satuan
(Kg)]]*BNW[[#This Row],[Qty
(Set)]]</f>
        <v>11.084</v>
      </c>
      <c r="K575" s="1">
        <f>SUMIF(DATA_MASTER[NO. PON],BNW[[#This Row],[No.PON]],DATA_MASTER[Qty
(Unit)])</f>
        <v>1</v>
      </c>
      <c r="L575" s="16">
        <f>BNW[[#This Row],[TOTAL UNIT]]*BNW[[#This Row],[Total Berat Baut
(Kg)]]</f>
        <v>11.084</v>
      </c>
      <c r="O575" s="25"/>
    </row>
    <row r="576" spans="1:15" x14ac:dyDescent="0.3">
      <c r="A576" t="s">
        <v>1081</v>
      </c>
      <c r="B576" t="str">
        <f>IFERROR(VLOOKUP(A576,'DATA MASTER'!A:O,2,0)," ")</f>
        <v>Jembatan Gantung</v>
      </c>
      <c r="C576" t="str">
        <f>IFERROR(VLOOKUP(A576,'DATA MASTER'!A:O,4,0)," ")</f>
        <v>JG100P</v>
      </c>
      <c r="D576" t="s">
        <v>1115</v>
      </c>
      <c r="E576" t="s">
        <v>786</v>
      </c>
      <c r="F576" s="1">
        <v>8.8000000000000007</v>
      </c>
      <c r="G576" s="1">
        <v>5</v>
      </c>
      <c r="H576">
        <v>0.58199999999999996</v>
      </c>
      <c r="I576" s="16">
        <f>BNW[[#This Row],[Berat Satuan
(Kg)]]*BNW[[#This Row],[Qty
(Set)]]</f>
        <v>2.9099999999999997</v>
      </c>
      <c r="K576" s="1">
        <f>SUMIF(DATA_MASTER[NO. PON],BNW[[#This Row],[No.PON]],DATA_MASTER[Qty
(Unit)])</f>
        <v>1</v>
      </c>
      <c r="L576" s="16">
        <f>BNW[[#This Row],[TOTAL UNIT]]*BNW[[#This Row],[Total Berat Baut
(Kg)]]</f>
        <v>2.9099999999999997</v>
      </c>
      <c r="N576"/>
      <c r="O576" s="25"/>
    </row>
    <row r="577" spans="1:15" x14ac:dyDescent="0.3">
      <c r="A577" t="s">
        <v>1081</v>
      </c>
      <c r="B577" t="str">
        <f>IFERROR(VLOOKUP(A577,'DATA MASTER'!A:O,2,0)," ")</f>
        <v>Jembatan Gantung</v>
      </c>
      <c r="C577" t="str">
        <f>IFERROR(VLOOKUP(A577,'DATA MASTER'!A:O,4,0)," ")</f>
        <v>JG100P</v>
      </c>
      <c r="D577" t="s">
        <v>86</v>
      </c>
      <c r="E577" t="s">
        <v>106</v>
      </c>
      <c r="F577" s="1">
        <v>8.8000000000000007</v>
      </c>
      <c r="G577" s="1">
        <v>792</v>
      </c>
      <c r="H577">
        <v>0.35700000000000004</v>
      </c>
      <c r="I577" s="16">
        <f>BNW[[#This Row],[Berat Satuan
(Kg)]]*BNW[[#This Row],[Qty
(Set)]]</f>
        <v>282.74400000000003</v>
      </c>
      <c r="K577" s="1">
        <f>SUMIF(DATA_MASTER[NO. PON],BNW[[#This Row],[No.PON]],DATA_MASTER[Qty
(Unit)])</f>
        <v>1</v>
      </c>
      <c r="L577" s="16">
        <f>BNW[[#This Row],[TOTAL UNIT]]*BNW[[#This Row],[Total Berat Baut
(Kg)]]</f>
        <v>282.74400000000003</v>
      </c>
      <c r="N577"/>
      <c r="O577" s="25"/>
    </row>
    <row r="578" spans="1:15" x14ac:dyDescent="0.3">
      <c r="A578" t="s">
        <v>1081</v>
      </c>
      <c r="B578" t="str">
        <f>IFERROR(VLOOKUP(A578,'DATA MASTER'!A:O,2,0)," ")</f>
        <v>Jembatan Gantung</v>
      </c>
      <c r="C578" t="str">
        <f>IFERROR(VLOOKUP(A578,'DATA MASTER'!A:O,4,0)," ")</f>
        <v>JG100P</v>
      </c>
      <c r="D578" t="s">
        <v>283</v>
      </c>
      <c r="E578" t="s">
        <v>106</v>
      </c>
      <c r="F578" s="1">
        <v>8.8000000000000007</v>
      </c>
      <c r="G578" s="1">
        <v>277</v>
      </c>
      <c r="H578">
        <v>0.34700000000000003</v>
      </c>
      <c r="I578" s="16">
        <f>BNW[[#This Row],[Berat Satuan
(Kg)]]*BNW[[#This Row],[Qty
(Set)]]</f>
        <v>96.119000000000014</v>
      </c>
      <c r="K578" s="1">
        <f>SUMIF(DATA_MASTER[NO. PON],BNW[[#This Row],[No.PON]],DATA_MASTER[Qty
(Unit)])</f>
        <v>1</v>
      </c>
      <c r="L578" s="16">
        <f>BNW[[#This Row],[TOTAL UNIT]]*BNW[[#This Row],[Total Berat Baut
(Kg)]]</f>
        <v>96.119000000000014</v>
      </c>
      <c r="N578"/>
      <c r="O578" s="25"/>
    </row>
    <row r="579" spans="1:15" x14ac:dyDescent="0.3">
      <c r="A579" t="s">
        <v>1081</v>
      </c>
      <c r="B579" t="str">
        <f>IFERROR(VLOOKUP(A579,'DATA MASTER'!A:O,2,0)," ")</f>
        <v>Jembatan Gantung</v>
      </c>
      <c r="C579" t="str">
        <f>IFERROR(VLOOKUP(A579,'DATA MASTER'!A:O,4,0)," ")</f>
        <v>JG100P</v>
      </c>
      <c r="D579" t="s">
        <v>80</v>
      </c>
      <c r="E579" t="s">
        <v>106</v>
      </c>
      <c r="F579" s="1">
        <v>8.8000000000000007</v>
      </c>
      <c r="G579" s="1">
        <v>544</v>
      </c>
      <c r="H579">
        <v>0.32700000000000001</v>
      </c>
      <c r="I579" s="16">
        <f>BNW[[#This Row],[Berat Satuan
(Kg)]]*BNW[[#This Row],[Qty
(Set)]]</f>
        <v>177.88800000000001</v>
      </c>
      <c r="K579" s="1">
        <f>SUMIF(DATA_MASTER[NO. PON],BNW[[#This Row],[No.PON]],DATA_MASTER[Qty
(Unit)])</f>
        <v>1</v>
      </c>
      <c r="L579" s="16">
        <f>BNW[[#This Row],[TOTAL UNIT]]*BNW[[#This Row],[Total Berat Baut
(Kg)]]</f>
        <v>177.88800000000001</v>
      </c>
      <c r="N579"/>
      <c r="O579" s="25"/>
    </row>
    <row r="580" spans="1:15" x14ac:dyDescent="0.3">
      <c r="A580" t="s">
        <v>1081</v>
      </c>
      <c r="B580" t="str">
        <f>IFERROR(VLOOKUP(A580,'DATA MASTER'!A:O,2,0)," ")</f>
        <v>Jembatan Gantung</v>
      </c>
      <c r="C580" t="str">
        <f>IFERROR(VLOOKUP(A580,'DATA MASTER'!A:O,4,0)," ")</f>
        <v>JG100P</v>
      </c>
      <c r="D580" t="s">
        <v>81</v>
      </c>
      <c r="E580" t="s">
        <v>106</v>
      </c>
      <c r="F580" s="1">
        <v>8.8000000000000007</v>
      </c>
      <c r="G580" s="1">
        <v>83</v>
      </c>
      <c r="H580">
        <v>0.317</v>
      </c>
      <c r="I580" s="16">
        <f>BNW[[#This Row],[Berat Satuan
(Kg)]]*BNW[[#This Row],[Qty
(Set)]]</f>
        <v>26.311</v>
      </c>
      <c r="K580" s="1">
        <f>SUMIF(DATA_MASTER[NO. PON],BNW[[#This Row],[No.PON]],DATA_MASTER[Qty
(Unit)])</f>
        <v>1</v>
      </c>
      <c r="L580" s="16">
        <f>BNW[[#This Row],[TOTAL UNIT]]*BNW[[#This Row],[Total Berat Baut
(Kg)]]</f>
        <v>26.311</v>
      </c>
      <c r="N580"/>
      <c r="O580" s="25"/>
    </row>
    <row r="581" spans="1:15" x14ac:dyDescent="0.3">
      <c r="A581" t="s">
        <v>1081</v>
      </c>
      <c r="B581" t="str">
        <f>IFERROR(VLOOKUP(A581,'DATA MASTER'!A:O,2,0)," ")</f>
        <v>Jembatan Gantung</v>
      </c>
      <c r="C581" t="str">
        <f>IFERROR(VLOOKUP(A581,'DATA MASTER'!A:O,4,0)," ")</f>
        <v>JG100P</v>
      </c>
      <c r="D581" t="s">
        <v>82</v>
      </c>
      <c r="E581" t="s">
        <v>106</v>
      </c>
      <c r="F581" s="1">
        <v>8.8000000000000007</v>
      </c>
      <c r="G581" s="1">
        <v>478</v>
      </c>
      <c r="H581">
        <v>0.307</v>
      </c>
      <c r="I581" s="16">
        <f>BNW[[#This Row],[Berat Satuan
(Kg)]]*BNW[[#This Row],[Qty
(Set)]]</f>
        <v>146.74600000000001</v>
      </c>
      <c r="K581" s="1">
        <f>SUMIF(DATA_MASTER[NO. PON],BNW[[#This Row],[No.PON]],DATA_MASTER[Qty
(Unit)])</f>
        <v>1</v>
      </c>
      <c r="L581" s="16">
        <f>BNW[[#This Row],[TOTAL UNIT]]*BNW[[#This Row],[Total Berat Baut
(Kg)]]</f>
        <v>146.74600000000001</v>
      </c>
      <c r="N581"/>
      <c r="O581" s="25"/>
    </row>
    <row r="582" spans="1:15" x14ac:dyDescent="0.3">
      <c r="A582" t="s">
        <v>1081</v>
      </c>
      <c r="B582" t="str">
        <f>IFERROR(VLOOKUP(A582,'DATA MASTER'!A:O,2,0)," ")</f>
        <v>Jembatan Gantung</v>
      </c>
      <c r="C582" t="str">
        <f>IFERROR(VLOOKUP(A582,'DATA MASTER'!A:O,4,0)," ")</f>
        <v>JG100P</v>
      </c>
      <c r="D582" t="s">
        <v>200</v>
      </c>
      <c r="E582" t="s">
        <v>106</v>
      </c>
      <c r="F582" s="1">
        <v>8.8000000000000007</v>
      </c>
      <c r="G582" s="1">
        <v>50</v>
      </c>
      <c r="H582">
        <v>0.29700000000000004</v>
      </c>
      <c r="I582" s="16">
        <f>BNW[[#This Row],[Berat Satuan
(Kg)]]*BNW[[#This Row],[Qty
(Set)]]</f>
        <v>14.850000000000001</v>
      </c>
      <c r="K582" s="1">
        <f>SUMIF(DATA_MASTER[NO. PON],BNW[[#This Row],[No.PON]],DATA_MASTER[Qty
(Unit)])</f>
        <v>1</v>
      </c>
      <c r="L582" s="16">
        <f>BNW[[#This Row],[TOTAL UNIT]]*BNW[[#This Row],[Total Berat Baut
(Kg)]]</f>
        <v>14.850000000000001</v>
      </c>
      <c r="N582"/>
      <c r="O582" s="25"/>
    </row>
    <row r="583" spans="1:15" x14ac:dyDescent="0.3">
      <c r="A583" t="s">
        <v>1081</v>
      </c>
      <c r="B583" t="str">
        <f>IFERROR(VLOOKUP(A583,'DATA MASTER'!A:O,2,0)," ")</f>
        <v>Jembatan Gantung</v>
      </c>
      <c r="C583" t="str">
        <f>IFERROR(VLOOKUP(A583,'DATA MASTER'!A:O,4,0)," ")</f>
        <v>JG100P</v>
      </c>
      <c r="D583" t="s">
        <v>1116</v>
      </c>
      <c r="E583" t="s">
        <v>106</v>
      </c>
      <c r="F583" s="1">
        <v>8.8000000000000007</v>
      </c>
      <c r="G583" s="1">
        <v>85</v>
      </c>
      <c r="H583">
        <v>0.20900000000000002</v>
      </c>
      <c r="I583" s="16">
        <f>BNW[[#This Row],[Berat Satuan
(Kg)]]*BNW[[#This Row],[Qty
(Set)]]</f>
        <v>17.765000000000001</v>
      </c>
      <c r="K583" s="1">
        <f>SUMIF(DATA_MASTER[NO. PON],BNW[[#This Row],[No.PON]],DATA_MASTER[Qty
(Unit)])</f>
        <v>1</v>
      </c>
      <c r="L583" s="16">
        <f>BNW[[#This Row],[TOTAL UNIT]]*BNW[[#This Row],[Total Berat Baut
(Kg)]]</f>
        <v>17.765000000000001</v>
      </c>
      <c r="N583"/>
      <c r="O583" s="25"/>
    </row>
    <row r="584" spans="1:15" x14ac:dyDescent="0.3">
      <c r="A584" t="s">
        <v>1081</v>
      </c>
      <c r="B584" t="str">
        <f>IFERROR(VLOOKUP(A584,'DATA MASTER'!A:O,2,0)," ")</f>
        <v>Jembatan Gantung</v>
      </c>
      <c r="C584" t="str">
        <f>IFERROR(VLOOKUP(A584,'DATA MASTER'!A:O,4,0)," ")</f>
        <v>JG100P</v>
      </c>
      <c r="D584" t="s">
        <v>785</v>
      </c>
      <c r="E584" t="s">
        <v>106</v>
      </c>
      <c r="F584" s="1">
        <v>8.8000000000000007</v>
      </c>
      <c r="G584" s="1">
        <v>161</v>
      </c>
      <c r="H584">
        <v>0.16900000000000001</v>
      </c>
      <c r="I584" s="16">
        <f>BNW[[#This Row],[Berat Satuan
(Kg)]]*BNW[[#This Row],[Qty
(Set)]]</f>
        <v>27.209000000000003</v>
      </c>
      <c r="K584" s="1">
        <f>SUMIF(DATA_MASTER[NO. PON],BNW[[#This Row],[No.PON]],DATA_MASTER[Qty
(Unit)])</f>
        <v>1</v>
      </c>
      <c r="L584" s="16">
        <f>BNW[[#This Row],[TOTAL UNIT]]*BNW[[#This Row],[Total Berat Baut
(Kg)]]</f>
        <v>27.209000000000003</v>
      </c>
      <c r="N584"/>
      <c r="O584" s="25"/>
    </row>
    <row r="585" spans="1:15" x14ac:dyDescent="0.3">
      <c r="A585" t="s">
        <v>1081</v>
      </c>
      <c r="B585" t="str">
        <f>IFERROR(VLOOKUP(A585,'DATA MASTER'!A:O,2,0)," ")</f>
        <v>Jembatan Gantung</v>
      </c>
      <c r="C585" t="str">
        <f>IFERROR(VLOOKUP(A585,'DATA MASTER'!A:O,4,0)," ")</f>
        <v>JG100P</v>
      </c>
      <c r="D585" t="s">
        <v>623</v>
      </c>
      <c r="E585" t="s">
        <v>106</v>
      </c>
      <c r="F585" s="1">
        <v>8.8000000000000007</v>
      </c>
      <c r="G585" s="1">
        <v>42</v>
      </c>
      <c r="H585">
        <v>0.159</v>
      </c>
      <c r="I585" s="16">
        <f>BNW[[#This Row],[Berat Satuan
(Kg)]]*BNW[[#This Row],[Qty
(Set)]]</f>
        <v>6.6779999999999999</v>
      </c>
      <c r="K585" s="1">
        <f>SUMIF(DATA_MASTER[NO. PON],BNW[[#This Row],[No.PON]],DATA_MASTER[Qty
(Unit)])</f>
        <v>1</v>
      </c>
      <c r="L585" s="16">
        <f>BNW[[#This Row],[TOTAL UNIT]]*BNW[[#This Row],[Total Berat Baut
(Kg)]]</f>
        <v>6.6779999999999999</v>
      </c>
      <c r="N585"/>
      <c r="O585" s="25"/>
    </row>
    <row r="586" spans="1:15" x14ac:dyDescent="0.3">
      <c r="A586" t="s">
        <v>1081</v>
      </c>
      <c r="B586" t="str">
        <f>IFERROR(VLOOKUP(A586,'DATA MASTER'!A:O,2,0)," ")</f>
        <v>Jembatan Gantung</v>
      </c>
      <c r="C586" t="str">
        <f>IFERROR(VLOOKUP(A586,'DATA MASTER'!A:O,4,0)," ")</f>
        <v>JG100P</v>
      </c>
      <c r="D586" t="s">
        <v>202</v>
      </c>
      <c r="E586" t="s">
        <v>106</v>
      </c>
      <c r="F586" s="1">
        <v>8.8000000000000007</v>
      </c>
      <c r="G586" s="1">
        <v>161</v>
      </c>
      <c r="H586">
        <v>0.15400000000000003</v>
      </c>
      <c r="I586" s="16">
        <f>BNW[[#This Row],[Berat Satuan
(Kg)]]*BNW[[#This Row],[Qty
(Set)]]</f>
        <v>24.794000000000004</v>
      </c>
      <c r="K586" s="1">
        <f>SUMIF(DATA_MASTER[NO. PON],BNW[[#This Row],[No.PON]],DATA_MASTER[Qty
(Unit)])</f>
        <v>1</v>
      </c>
      <c r="L586" s="16">
        <f>BNW[[#This Row],[TOTAL UNIT]]*BNW[[#This Row],[Total Berat Baut
(Kg)]]</f>
        <v>24.794000000000004</v>
      </c>
      <c r="N586"/>
      <c r="O586" s="25"/>
    </row>
    <row r="587" spans="1:15" x14ac:dyDescent="0.3">
      <c r="A587" t="s">
        <v>1081</v>
      </c>
      <c r="B587" t="str">
        <f>IFERROR(VLOOKUP(A587,'DATA MASTER'!A:O,2,0)," ")</f>
        <v>Jembatan Gantung</v>
      </c>
      <c r="C587" t="str">
        <f>IFERROR(VLOOKUP(A587,'DATA MASTER'!A:O,4,0)," ")</f>
        <v>JG100P</v>
      </c>
      <c r="D587" t="s">
        <v>88</v>
      </c>
      <c r="E587" t="s">
        <v>106</v>
      </c>
      <c r="F587" s="1">
        <v>8.8000000000000007</v>
      </c>
      <c r="G587" s="1">
        <v>2967</v>
      </c>
      <c r="H587">
        <v>0.13600000000000001</v>
      </c>
      <c r="I587" s="16">
        <f>BNW[[#This Row],[Berat Satuan
(Kg)]]*BNW[[#This Row],[Qty
(Set)]]</f>
        <v>403.51200000000006</v>
      </c>
      <c r="K587" s="1">
        <f>SUMIF(DATA_MASTER[NO. PON],BNW[[#This Row],[No.PON]],DATA_MASTER[Qty
(Unit)])</f>
        <v>1</v>
      </c>
      <c r="L587" s="16">
        <f>BNW[[#This Row],[TOTAL UNIT]]*BNW[[#This Row],[Total Berat Baut
(Kg)]]</f>
        <v>403.51200000000006</v>
      </c>
      <c r="N587"/>
      <c r="O587" s="25"/>
    </row>
    <row r="588" spans="1:15" x14ac:dyDescent="0.3">
      <c r="A588" t="s">
        <v>1081</v>
      </c>
      <c r="B588" t="str">
        <f>IFERROR(VLOOKUP(A588,'DATA MASTER'!A:O,2,0)," ")</f>
        <v>Jembatan Gantung</v>
      </c>
      <c r="C588" t="str">
        <f>IFERROR(VLOOKUP(A588,'DATA MASTER'!A:O,4,0)," ")</f>
        <v>JG100P</v>
      </c>
      <c r="D588" t="s">
        <v>477</v>
      </c>
      <c r="E588" t="s">
        <v>106</v>
      </c>
      <c r="F588" s="1">
        <v>8.8000000000000007</v>
      </c>
      <c r="G588" s="1">
        <v>25</v>
      </c>
      <c r="H588">
        <v>7.7000000000000013E-2</v>
      </c>
      <c r="I588" s="16">
        <f>BNW[[#This Row],[Berat Satuan
(Kg)]]*BNW[[#This Row],[Qty
(Set)]]</f>
        <v>1.9250000000000003</v>
      </c>
      <c r="K588" s="1">
        <f>SUMIF(DATA_MASTER[NO. PON],BNW[[#This Row],[No.PON]],DATA_MASTER[Qty
(Unit)])</f>
        <v>1</v>
      </c>
      <c r="L588" s="16">
        <f>BNW[[#This Row],[TOTAL UNIT]]*BNW[[#This Row],[Total Berat Baut
(Kg)]]</f>
        <v>1.9250000000000003</v>
      </c>
      <c r="N588"/>
      <c r="O588" s="25"/>
    </row>
    <row r="589" spans="1:15" x14ac:dyDescent="0.3">
      <c r="A589" t="s">
        <v>1081</v>
      </c>
      <c r="B589" t="str">
        <f>IFERROR(VLOOKUP(A589,'DATA MASTER'!A:O,2,0)," ")</f>
        <v>Jembatan Gantung</v>
      </c>
      <c r="C589" t="str">
        <f>IFERROR(VLOOKUP(A589,'DATA MASTER'!A:O,4,0)," ")</f>
        <v>JG100P</v>
      </c>
      <c r="D589" t="s">
        <v>89</v>
      </c>
      <c r="E589" t="s">
        <v>106</v>
      </c>
      <c r="F589" s="1">
        <v>8.8000000000000007</v>
      </c>
      <c r="G589" s="1">
        <v>1319</v>
      </c>
      <c r="H589">
        <v>6.8000000000000005E-2</v>
      </c>
      <c r="I589" s="16">
        <f>BNW[[#This Row],[Berat Satuan
(Kg)]]*BNW[[#This Row],[Qty
(Set)]]</f>
        <v>89.692000000000007</v>
      </c>
      <c r="K589" s="1">
        <f>SUMIF(DATA_MASTER[NO. PON],BNW[[#This Row],[No.PON]],DATA_MASTER[Qty
(Unit)])</f>
        <v>1</v>
      </c>
      <c r="L589" s="16">
        <f>BNW[[#This Row],[TOTAL UNIT]]*BNW[[#This Row],[Total Berat Baut
(Kg)]]</f>
        <v>89.692000000000007</v>
      </c>
      <c r="N589"/>
      <c r="O589" s="25"/>
    </row>
    <row r="590" spans="1:15" x14ac:dyDescent="0.3">
      <c r="A590" t="s">
        <v>1081</v>
      </c>
      <c r="B590" t="str">
        <f>IFERROR(VLOOKUP(A590,'DATA MASTER'!A:O,2,0)," ")</f>
        <v>Jembatan Gantung</v>
      </c>
      <c r="C590" t="str">
        <f>IFERROR(VLOOKUP(A590,'DATA MASTER'!A:O,4,0)," ")</f>
        <v>JG100P</v>
      </c>
      <c r="D590" t="s">
        <v>206</v>
      </c>
      <c r="E590" t="s">
        <v>106</v>
      </c>
      <c r="F590" s="1">
        <v>8.8000000000000007</v>
      </c>
      <c r="G590" s="1">
        <v>380</v>
      </c>
      <c r="H590">
        <v>5.9000000000000004E-2</v>
      </c>
      <c r="I590" s="16">
        <f>BNW[[#This Row],[Berat Satuan
(Kg)]]*BNW[[#This Row],[Qty
(Set)]]</f>
        <v>22.42</v>
      </c>
      <c r="K590" s="1">
        <f>SUMIF(DATA_MASTER[NO. PON],BNW[[#This Row],[No.PON]],DATA_MASTER[Qty
(Unit)])</f>
        <v>1</v>
      </c>
      <c r="L590" s="16">
        <f>BNW[[#This Row],[TOTAL UNIT]]*BNW[[#This Row],[Total Berat Baut
(Kg)]]</f>
        <v>22.42</v>
      </c>
      <c r="N590"/>
      <c r="O590" s="25"/>
    </row>
    <row r="591" spans="1:15" x14ac:dyDescent="0.3">
      <c r="A591" t="s">
        <v>1081</v>
      </c>
      <c r="B591" t="str">
        <f>IFERROR(VLOOKUP(A591,'DATA MASTER'!A:O,2,0)," ")</f>
        <v>Jembatan Gantung</v>
      </c>
      <c r="C591" t="str">
        <f>IFERROR(VLOOKUP(A591,'DATA MASTER'!A:O,4,0)," ")</f>
        <v>JG100P</v>
      </c>
      <c r="D591" t="s">
        <v>929</v>
      </c>
      <c r="E591" t="s">
        <v>106</v>
      </c>
      <c r="F591" s="1">
        <v>8.8000000000000007</v>
      </c>
      <c r="G591" s="1">
        <v>17</v>
      </c>
      <c r="H591">
        <v>0.03</v>
      </c>
      <c r="I591" s="16">
        <f>BNW[[#This Row],[Berat Satuan
(Kg)]]*BNW[[#This Row],[Qty
(Set)]]</f>
        <v>0.51</v>
      </c>
      <c r="K591" s="1">
        <f>SUMIF(DATA_MASTER[NO. PON],BNW[[#This Row],[No.PON]],DATA_MASTER[Qty
(Unit)])</f>
        <v>1</v>
      </c>
      <c r="L591" s="16">
        <f>BNW[[#This Row],[TOTAL UNIT]]*BNW[[#This Row],[Total Berat Baut
(Kg)]]</f>
        <v>0.51</v>
      </c>
      <c r="N591"/>
      <c r="O591" s="25"/>
    </row>
    <row r="592" spans="1:15" x14ac:dyDescent="0.3">
      <c r="A592" t="s">
        <v>1081</v>
      </c>
      <c r="B592" t="str">
        <f>IFERROR(VLOOKUP(A592,'DATA MASTER'!A:O,2,0)," ")</f>
        <v>Jembatan Gantung</v>
      </c>
      <c r="C592" t="str">
        <f>IFERROR(VLOOKUP(A592,'DATA MASTER'!A:O,4,0)," ")</f>
        <v>JG100P</v>
      </c>
      <c r="D592" t="s">
        <v>208</v>
      </c>
      <c r="E592" t="s">
        <v>106</v>
      </c>
      <c r="F592" s="1">
        <v>8.8000000000000007</v>
      </c>
      <c r="G592" s="1">
        <v>33</v>
      </c>
      <c r="H592">
        <v>0.02</v>
      </c>
      <c r="I592" s="16">
        <f>BNW[[#This Row],[Berat Satuan
(Kg)]]*BNW[[#This Row],[Qty
(Set)]]</f>
        <v>0.66</v>
      </c>
      <c r="K592" s="1">
        <f>SUMIF(DATA_MASTER[NO. PON],BNW[[#This Row],[No.PON]],DATA_MASTER[Qty
(Unit)])</f>
        <v>1</v>
      </c>
      <c r="L592" s="16">
        <f>BNW[[#This Row],[TOTAL UNIT]]*BNW[[#This Row],[Total Berat Baut
(Kg)]]</f>
        <v>0.66</v>
      </c>
      <c r="N592"/>
      <c r="O592" s="25"/>
    </row>
    <row r="593" spans="1:15" x14ac:dyDescent="0.3">
      <c r="A593" t="s">
        <v>979</v>
      </c>
      <c r="B593" t="str">
        <f>IFERROR(VLOOKUP(A593,'DATA MASTER'!A:O,2,0)," ")</f>
        <v>TOWER</v>
      </c>
      <c r="C593" t="str">
        <f>IFERROR(VLOOKUP(A593,'DATA MASTER'!A:O,4,0)," ")</f>
        <v>TWR-H36</v>
      </c>
      <c r="D593" t="s">
        <v>86</v>
      </c>
      <c r="E593" t="s">
        <v>106</v>
      </c>
      <c r="F593" s="1">
        <v>8.8000000000000007</v>
      </c>
      <c r="G593" s="1">
        <v>124</v>
      </c>
      <c r="H593">
        <v>0.30400000000000005</v>
      </c>
      <c r="I593" s="16">
        <f>BNW[[#This Row],[Berat Satuan
(Kg)]]*BNW[[#This Row],[Qty
(Set)]]</f>
        <v>37.696000000000005</v>
      </c>
      <c r="K593" s="1">
        <f>SUMIF(DATA_MASTER[NO. PON],BNW[[#This Row],[No.PON]],DATA_MASTER[Qty
(Unit)])</f>
        <v>1</v>
      </c>
      <c r="L593" s="16">
        <f>BNW[[#This Row],[TOTAL UNIT]]*BNW[[#This Row],[Total Berat Baut
(Kg)]]</f>
        <v>37.696000000000005</v>
      </c>
      <c r="O593" s="25"/>
    </row>
    <row r="594" spans="1:15" x14ac:dyDescent="0.3">
      <c r="A594" t="s">
        <v>979</v>
      </c>
      <c r="B594" t="str">
        <f>IFERROR(VLOOKUP(A594,'DATA MASTER'!A:O,2,0)," ")</f>
        <v>TOWER</v>
      </c>
      <c r="C594" t="str">
        <f>IFERROR(VLOOKUP(A594,'DATA MASTER'!A:O,4,0)," ")</f>
        <v>TWR-H36</v>
      </c>
      <c r="D594" t="s">
        <v>82</v>
      </c>
      <c r="E594" t="s">
        <v>106</v>
      </c>
      <c r="F594" s="1">
        <v>8.8000000000000007</v>
      </c>
      <c r="G594" s="1">
        <v>606</v>
      </c>
      <c r="H594">
        <v>0.254</v>
      </c>
      <c r="I594" s="16">
        <f>BNW[[#This Row],[Berat Satuan
(Kg)]]*BNW[[#This Row],[Qty
(Set)]]</f>
        <v>153.92400000000001</v>
      </c>
      <c r="K594" s="1">
        <f>SUMIF(DATA_MASTER[NO. PON],BNW[[#This Row],[No.PON]],DATA_MASTER[Qty
(Unit)])</f>
        <v>1</v>
      </c>
      <c r="L594" s="16">
        <f>BNW[[#This Row],[TOTAL UNIT]]*BNW[[#This Row],[Total Berat Baut
(Kg)]]</f>
        <v>153.92400000000001</v>
      </c>
      <c r="N594"/>
      <c r="O594" s="25"/>
    </row>
    <row r="595" spans="1:15" x14ac:dyDescent="0.3">
      <c r="A595" t="s">
        <v>979</v>
      </c>
      <c r="B595" t="str">
        <f>IFERROR(VLOOKUP(A595,'DATA MASTER'!A:O,2,0)," ")</f>
        <v>TOWER</v>
      </c>
      <c r="C595" t="str">
        <f>IFERROR(VLOOKUP(A595,'DATA MASTER'!A:O,4,0)," ")</f>
        <v>TWR-H36</v>
      </c>
      <c r="D595" t="s">
        <v>200</v>
      </c>
      <c r="E595" t="s">
        <v>106</v>
      </c>
      <c r="F595" s="1">
        <v>8.8000000000000007</v>
      </c>
      <c r="G595" s="1">
        <v>9</v>
      </c>
      <c r="H595">
        <v>0.24400000000000002</v>
      </c>
      <c r="I595" s="16">
        <f>BNW[[#This Row],[Berat Satuan
(Kg)]]*BNW[[#This Row],[Qty
(Set)]]</f>
        <v>2.1960000000000002</v>
      </c>
      <c r="K595" s="1">
        <f>SUMIF(DATA_MASTER[NO. PON],BNW[[#This Row],[No.PON]],DATA_MASTER[Qty
(Unit)])</f>
        <v>1</v>
      </c>
      <c r="L595" s="16">
        <f>BNW[[#This Row],[TOTAL UNIT]]*BNW[[#This Row],[Total Berat Baut
(Kg)]]</f>
        <v>2.1960000000000002</v>
      </c>
      <c r="N595"/>
      <c r="O595" s="25"/>
    </row>
    <row r="596" spans="1:15" x14ac:dyDescent="0.3">
      <c r="A596" t="s">
        <v>979</v>
      </c>
      <c r="B596" t="str">
        <f>IFERROR(VLOOKUP(A596,'DATA MASTER'!A:O,2,0)," ")</f>
        <v>TOWER</v>
      </c>
      <c r="C596" t="str">
        <f>IFERROR(VLOOKUP(A596,'DATA MASTER'!A:O,4,0)," ")</f>
        <v>TWR-H36</v>
      </c>
      <c r="D596" t="s">
        <v>88</v>
      </c>
      <c r="E596" t="s">
        <v>106</v>
      </c>
      <c r="F596" s="1">
        <v>8.8000000000000007</v>
      </c>
      <c r="G596" s="1">
        <v>31</v>
      </c>
      <c r="H596">
        <v>0.13600000000000001</v>
      </c>
      <c r="I596" s="16">
        <f>BNW[[#This Row],[Berat Satuan
(Kg)]]*BNW[[#This Row],[Qty
(Set)]]</f>
        <v>4.2160000000000002</v>
      </c>
      <c r="K596" s="1">
        <f>SUMIF(DATA_MASTER[NO. PON],BNW[[#This Row],[No.PON]],DATA_MASTER[Qty
(Unit)])</f>
        <v>1</v>
      </c>
      <c r="L596" s="16">
        <f>BNW[[#This Row],[TOTAL UNIT]]*BNW[[#This Row],[Total Berat Baut
(Kg)]]</f>
        <v>4.2160000000000002</v>
      </c>
      <c r="N596"/>
      <c r="O596" s="25"/>
    </row>
    <row r="597" spans="1:15" x14ac:dyDescent="0.3">
      <c r="A597" t="s">
        <v>979</v>
      </c>
      <c r="B597" t="str">
        <f>IFERROR(VLOOKUP(A597,'DATA MASTER'!A:O,2,0)," ")</f>
        <v>TOWER</v>
      </c>
      <c r="C597" t="str">
        <f>IFERROR(VLOOKUP(A597,'DATA MASTER'!A:O,4,0)," ")</f>
        <v>TWR-H36</v>
      </c>
      <c r="D597" t="s">
        <v>203</v>
      </c>
      <c r="E597" t="s">
        <v>106</v>
      </c>
      <c r="F597" s="1">
        <v>8.8000000000000007</v>
      </c>
      <c r="G597" s="1">
        <v>50</v>
      </c>
      <c r="H597">
        <v>0.129</v>
      </c>
      <c r="I597" s="16">
        <f>BNW[[#This Row],[Berat Satuan
(Kg)]]*BNW[[#This Row],[Qty
(Set)]]</f>
        <v>6.45</v>
      </c>
      <c r="K597" s="1">
        <f>SUMIF(DATA_MASTER[NO. PON],BNW[[#This Row],[No.PON]],DATA_MASTER[Qty
(Unit)])</f>
        <v>1</v>
      </c>
      <c r="L597" s="16">
        <f>BNW[[#This Row],[TOTAL UNIT]]*BNW[[#This Row],[Total Berat Baut
(Kg)]]</f>
        <v>6.45</v>
      </c>
      <c r="N597"/>
      <c r="O597" s="25"/>
    </row>
    <row r="598" spans="1:15" x14ac:dyDescent="0.3">
      <c r="A598" t="s">
        <v>979</v>
      </c>
      <c r="B598" t="str">
        <f>IFERROR(VLOOKUP(A598,'DATA MASTER'!A:O,2,0)," ")</f>
        <v>TOWER</v>
      </c>
      <c r="C598" t="str">
        <f>IFERROR(VLOOKUP(A598,'DATA MASTER'!A:O,4,0)," ")</f>
        <v>TWR-H36</v>
      </c>
      <c r="D598" t="s">
        <v>89</v>
      </c>
      <c r="E598" t="s">
        <v>106</v>
      </c>
      <c r="F598" s="1">
        <v>8.8000000000000007</v>
      </c>
      <c r="G598" s="1">
        <v>21</v>
      </c>
      <c r="H598">
        <v>6.8000000000000005E-2</v>
      </c>
      <c r="I598" s="16">
        <f>BNW[[#This Row],[Berat Satuan
(Kg)]]*BNW[[#This Row],[Qty
(Set)]]</f>
        <v>1.4280000000000002</v>
      </c>
      <c r="K598" s="1">
        <f>SUMIF(DATA_MASTER[NO. PON],BNW[[#This Row],[No.PON]],DATA_MASTER[Qty
(Unit)])</f>
        <v>1</v>
      </c>
      <c r="L598" s="16">
        <f>BNW[[#This Row],[TOTAL UNIT]]*BNW[[#This Row],[Total Berat Baut
(Kg)]]</f>
        <v>1.4280000000000002</v>
      </c>
      <c r="N598"/>
      <c r="O598" s="25"/>
    </row>
    <row r="599" spans="1:15" x14ac:dyDescent="0.3">
      <c r="A599" t="s">
        <v>979</v>
      </c>
      <c r="B599" t="str">
        <f>IFERROR(VLOOKUP(A599,'DATA MASTER'!A:O,2,0)," ")</f>
        <v>TOWER</v>
      </c>
      <c r="C599" t="str">
        <f>IFERROR(VLOOKUP(A599,'DATA MASTER'!A:O,4,0)," ")</f>
        <v>TWR-H36</v>
      </c>
      <c r="D599" t="s">
        <v>205</v>
      </c>
      <c r="E599" t="s">
        <v>106</v>
      </c>
      <c r="F599" s="1">
        <v>8.8000000000000007</v>
      </c>
      <c r="G599" s="1">
        <v>130</v>
      </c>
      <c r="H599">
        <v>6.3E-2</v>
      </c>
      <c r="I599" s="16">
        <f>BNW[[#This Row],[Berat Satuan
(Kg)]]*BNW[[#This Row],[Qty
(Set)]]</f>
        <v>8.19</v>
      </c>
      <c r="K599" s="1">
        <f>SUMIF(DATA_MASTER[NO. PON],BNW[[#This Row],[No.PON]],DATA_MASTER[Qty
(Unit)])</f>
        <v>1</v>
      </c>
      <c r="L599" s="16">
        <f>BNW[[#This Row],[TOTAL UNIT]]*BNW[[#This Row],[Total Berat Baut
(Kg)]]</f>
        <v>8.19</v>
      </c>
      <c r="N599"/>
      <c r="O599" s="25"/>
    </row>
    <row r="600" spans="1:15" x14ac:dyDescent="0.3">
      <c r="A600" t="s">
        <v>979</v>
      </c>
      <c r="B600" t="str">
        <f>IFERROR(VLOOKUP(A600,'DATA MASTER'!A:O,2,0)," ")</f>
        <v>TOWER</v>
      </c>
      <c r="C600" t="str">
        <f>IFERROR(VLOOKUP(A600,'DATA MASTER'!A:O,4,0)," ")</f>
        <v>TWR-H36</v>
      </c>
      <c r="D600" t="s">
        <v>206</v>
      </c>
      <c r="E600" t="s">
        <v>106</v>
      </c>
      <c r="F600" s="1">
        <v>8.8000000000000007</v>
      </c>
      <c r="G600" s="1">
        <v>13</v>
      </c>
      <c r="H600">
        <v>5.9000000000000004E-2</v>
      </c>
      <c r="I600" s="16">
        <f>BNW[[#This Row],[Berat Satuan
(Kg)]]*BNW[[#This Row],[Qty
(Set)]]</f>
        <v>0.76700000000000002</v>
      </c>
      <c r="K600" s="1">
        <f>SUMIF(DATA_MASTER[NO. PON],BNW[[#This Row],[No.PON]],DATA_MASTER[Qty
(Unit)])</f>
        <v>1</v>
      </c>
      <c r="L600" s="16">
        <f>BNW[[#This Row],[TOTAL UNIT]]*BNW[[#This Row],[Total Berat Baut
(Kg)]]</f>
        <v>0.76700000000000002</v>
      </c>
      <c r="N600"/>
      <c r="O600" s="25"/>
    </row>
    <row r="601" spans="1:15" x14ac:dyDescent="0.3">
      <c r="A601" t="s">
        <v>979</v>
      </c>
      <c r="B601" t="str">
        <f>IFERROR(VLOOKUP(A601,'DATA MASTER'!A:O,2,0)," ")</f>
        <v>TOWER</v>
      </c>
      <c r="C601" t="str">
        <f>IFERROR(VLOOKUP(A601,'DATA MASTER'!A:O,4,0)," ")</f>
        <v>TWR-H36</v>
      </c>
      <c r="D601" t="s">
        <v>929</v>
      </c>
      <c r="E601" t="s">
        <v>106</v>
      </c>
      <c r="F601" s="1">
        <v>4.5999999999999996</v>
      </c>
      <c r="G601" s="1">
        <v>112</v>
      </c>
      <c r="H601">
        <v>0.28999999999999998</v>
      </c>
      <c r="I601" s="16">
        <f>BNW[[#This Row],[Berat Satuan
(Kg)]]*BNW[[#This Row],[Qty
(Set)]]</f>
        <v>32.479999999999997</v>
      </c>
      <c r="K601" s="1">
        <f>SUMIF(DATA_MASTER[NO. PON],BNW[[#This Row],[No.PON]],DATA_MASTER[Qty
(Unit)])</f>
        <v>1</v>
      </c>
      <c r="L601" s="16">
        <f>BNW[[#This Row],[TOTAL UNIT]]*BNW[[#This Row],[Total Berat Baut
(Kg)]]</f>
        <v>32.479999999999997</v>
      </c>
      <c r="N601"/>
      <c r="O601" s="25"/>
    </row>
    <row r="602" spans="1:15" x14ac:dyDescent="0.3">
      <c r="A602" t="s">
        <v>979</v>
      </c>
      <c r="B602" t="str">
        <f>IFERROR(VLOOKUP(A602,'DATA MASTER'!A:O,2,0)," ")</f>
        <v>TOWER</v>
      </c>
      <c r="C602" t="str">
        <f>IFERROR(VLOOKUP(A602,'DATA MASTER'!A:O,4,0)," ")</f>
        <v>TWR-H36</v>
      </c>
      <c r="D602" t="s">
        <v>929</v>
      </c>
      <c r="E602" t="s">
        <v>106</v>
      </c>
      <c r="F602" s="1">
        <v>4.5999999999999996</v>
      </c>
      <c r="G602" s="1">
        <v>13</v>
      </c>
      <c r="H602">
        <v>0.2</v>
      </c>
      <c r="I602" s="16">
        <f>BNW[[#This Row],[Berat Satuan
(Kg)]]*BNW[[#This Row],[Qty
(Set)]]</f>
        <v>2.6</v>
      </c>
      <c r="K602" s="1">
        <f>SUMIF(DATA_MASTER[NO. PON],BNW[[#This Row],[No.PON]],DATA_MASTER[Qty
(Unit)])</f>
        <v>1</v>
      </c>
      <c r="L602" s="16">
        <f>BNW[[#This Row],[TOTAL UNIT]]*BNW[[#This Row],[Total Berat Baut
(Kg)]]</f>
        <v>2.6</v>
      </c>
      <c r="N602"/>
      <c r="O602" s="25"/>
    </row>
    <row r="603" spans="1:15" x14ac:dyDescent="0.3">
      <c r="A603" t="s">
        <v>979</v>
      </c>
      <c r="B603" t="str">
        <f>IFERROR(VLOOKUP(A603,'DATA MASTER'!A:O,2,0)," ")</f>
        <v>TOWER</v>
      </c>
      <c r="C603" t="str">
        <f>IFERROR(VLOOKUP(A603,'DATA MASTER'!A:O,4,0)," ")</f>
        <v>TWR-H36</v>
      </c>
      <c r="D603" t="s">
        <v>976</v>
      </c>
      <c r="E603" t="s">
        <v>106</v>
      </c>
      <c r="F603" s="1">
        <v>4.5999999999999996</v>
      </c>
      <c r="G603" s="1">
        <v>50</v>
      </c>
      <c r="H603">
        <v>9.0999999999999998E-2</v>
      </c>
      <c r="I603" s="16">
        <f>BNW[[#This Row],[Berat Satuan
(Kg)]]*BNW[[#This Row],[Qty
(Set)]]</f>
        <v>4.55</v>
      </c>
      <c r="K603" s="1">
        <f>SUMIF(DATA_MASTER[NO. PON],BNW[[#This Row],[No.PON]],DATA_MASTER[Qty
(Unit)])</f>
        <v>1</v>
      </c>
      <c r="L603" s="16">
        <f>BNW[[#This Row],[TOTAL UNIT]]*BNW[[#This Row],[Total Berat Baut
(Kg)]]</f>
        <v>4.55</v>
      </c>
      <c r="N603"/>
      <c r="O603" s="25"/>
    </row>
    <row r="604" spans="1:15" x14ac:dyDescent="0.3">
      <c r="A604" t="s">
        <v>979</v>
      </c>
      <c r="B604" t="str">
        <f>IFERROR(VLOOKUP(A604,'DATA MASTER'!A:O,2,0)," ")</f>
        <v>TOWER</v>
      </c>
      <c r="C604" t="str">
        <f>IFERROR(VLOOKUP(A604,'DATA MASTER'!A:O,4,0)," ")</f>
        <v>TWR-H36</v>
      </c>
      <c r="D604" t="s">
        <v>977</v>
      </c>
      <c r="E604" t="s">
        <v>106</v>
      </c>
      <c r="F604" s="1">
        <v>4.5999999999999996</v>
      </c>
      <c r="G604" s="1">
        <v>6</v>
      </c>
      <c r="H604">
        <v>9.0999999999999998E-2</v>
      </c>
      <c r="I604" s="16">
        <f>BNW[[#This Row],[Berat Satuan
(Kg)]]*BNW[[#This Row],[Qty
(Set)]]</f>
        <v>0.54600000000000004</v>
      </c>
      <c r="K604" s="1">
        <f>SUMIF(DATA_MASTER[NO. PON],BNW[[#This Row],[No.PON]],DATA_MASTER[Qty
(Unit)])</f>
        <v>1</v>
      </c>
      <c r="L604" s="16">
        <f>BNW[[#This Row],[TOTAL UNIT]]*BNW[[#This Row],[Total Berat Baut
(Kg)]]</f>
        <v>0.54600000000000004</v>
      </c>
      <c r="N604"/>
      <c r="O604" s="25"/>
    </row>
    <row r="605" spans="1:15" x14ac:dyDescent="0.3">
      <c r="A605" t="s">
        <v>979</v>
      </c>
      <c r="B605" t="str">
        <f>IFERROR(VLOOKUP(A605,'DATA MASTER'!A:O,2,0)," ")</f>
        <v>TOWER</v>
      </c>
      <c r="C605" t="str">
        <f>IFERROR(VLOOKUP(A605,'DATA MASTER'!A:O,4,0)," ")</f>
        <v>TWR-H36</v>
      </c>
      <c r="D605" t="s">
        <v>977</v>
      </c>
      <c r="E605" t="s">
        <v>106</v>
      </c>
      <c r="F605" s="1">
        <v>4.5999999999999996</v>
      </c>
      <c r="G605" s="1">
        <v>6</v>
      </c>
      <c r="H605">
        <v>9.0999999999999998E-2</v>
      </c>
      <c r="I605" s="16">
        <f>BNW[[#This Row],[Berat Satuan
(Kg)]]*BNW[[#This Row],[Qty
(Set)]]</f>
        <v>0.54600000000000004</v>
      </c>
      <c r="K605" s="1">
        <f>SUMIF(DATA_MASTER[NO. PON],BNW[[#This Row],[No.PON]],DATA_MASTER[Qty
(Unit)])</f>
        <v>1</v>
      </c>
      <c r="L605" s="16">
        <f>BNW[[#This Row],[TOTAL UNIT]]*BNW[[#This Row],[Total Berat Baut
(Kg)]]</f>
        <v>0.54600000000000004</v>
      </c>
      <c r="N605"/>
      <c r="O605" s="25"/>
    </row>
    <row r="606" spans="1:15" x14ac:dyDescent="0.3">
      <c r="A606" t="s">
        <v>967</v>
      </c>
      <c r="B606" t="str">
        <f>IFERROR(VLOOKUP(A606,'DATA MASTER'!A:O,2,0)," ")</f>
        <v>Panel Bailey</v>
      </c>
      <c r="C606" t="str">
        <f>IFERROR(VLOOKUP(A606,'DATA MASTER'!A:O,4,0)," ")</f>
        <v>24 DSR2-EW</v>
      </c>
      <c r="D606" t="s">
        <v>133</v>
      </c>
      <c r="E606" t="s">
        <v>106</v>
      </c>
      <c r="F606" s="1">
        <v>8.8000000000000007</v>
      </c>
      <c r="G606" s="1">
        <v>269</v>
      </c>
      <c r="H606">
        <v>0.53</v>
      </c>
      <c r="I606" s="16">
        <f>BNW[[#This Row],[Berat Satuan
(Kg)]]*BNW[[#This Row],[Qty
(Set)]]</f>
        <v>142.57</v>
      </c>
      <c r="K606" s="1">
        <f>SUMIF(DATA_MASTER[NO. PON],BNW[[#This Row],[No.PON]],DATA_MASTER[Qty
(Unit)])</f>
        <v>1</v>
      </c>
      <c r="L606" s="16">
        <f>BNW[[#This Row],[TOTAL UNIT]]*BNW[[#This Row],[Total Berat Baut
(Kg)]]</f>
        <v>142.57</v>
      </c>
      <c r="O606" s="25"/>
    </row>
    <row r="607" spans="1:15" x14ac:dyDescent="0.3">
      <c r="A607" t="s">
        <v>967</v>
      </c>
      <c r="B607" t="str">
        <f>IFERROR(VLOOKUP(A607,'DATA MASTER'!A:O,2,0)," ")</f>
        <v>Panel Bailey</v>
      </c>
      <c r="C607" t="str">
        <f>IFERROR(VLOOKUP(A607,'DATA MASTER'!A:O,4,0)," ")</f>
        <v>24 DSR2-EW</v>
      </c>
      <c r="D607" t="s">
        <v>134</v>
      </c>
      <c r="E607" t="s">
        <v>106</v>
      </c>
      <c r="F607" s="1">
        <v>8.8000000000000007</v>
      </c>
      <c r="G607" s="1">
        <v>143</v>
      </c>
      <c r="H607">
        <v>0.46</v>
      </c>
      <c r="I607" s="16">
        <f>BNW[[#This Row],[Berat Satuan
(Kg)]]*BNW[[#This Row],[Qty
(Set)]]</f>
        <v>65.78</v>
      </c>
      <c r="K607" s="1">
        <f>SUMIF(DATA_MASTER[NO. PON],BNW[[#This Row],[No.PON]],DATA_MASTER[Qty
(Unit)])</f>
        <v>1</v>
      </c>
      <c r="L607" s="16">
        <f>BNW[[#This Row],[TOTAL UNIT]]*BNW[[#This Row],[Total Berat Baut
(Kg)]]</f>
        <v>65.78</v>
      </c>
      <c r="N607"/>
      <c r="O607" s="25"/>
    </row>
    <row r="608" spans="1:15" x14ac:dyDescent="0.3">
      <c r="A608" t="s">
        <v>967</v>
      </c>
      <c r="B608" t="str">
        <f>IFERROR(VLOOKUP(A608,'DATA MASTER'!A:O,2,0)," ")</f>
        <v>Panel Bailey</v>
      </c>
      <c r="C608" t="str">
        <f>IFERROR(VLOOKUP(A608,'DATA MASTER'!A:O,4,0)," ")</f>
        <v>24 DSR2-EW</v>
      </c>
      <c r="D608" t="s">
        <v>135</v>
      </c>
      <c r="E608" t="s">
        <v>106</v>
      </c>
      <c r="F608" s="1">
        <v>8.8000000000000007</v>
      </c>
      <c r="G608" s="1">
        <v>68</v>
      </c>
      <c r="H608">
        <v>0.43</v>
      </c>
      <c r="I608" s="16">
        <f>BNW[[#This Row],[Berat Satuan
(Kg)]]*BNW[[#This Row],[Qty
(Set)]]</f>
        <v>29.24</v>
      </c>
      <c r="K608" s="1">
        <f>SUMIF(DATA_MASTER[NO. PON],BNW[[#This Row],[No.PON]],DATA_MASTER[Qty
(Unit)])</f>
        <v>1</v>
      </c>
      <c r="L608" s="16">
        <f>BNW[[#This Row],[TOTAL UNIT]]*BNW[[#This Row],[Total Berat Baut
(Kg)]]</f>
        <v>29.24</v>
      </c>
      <c r="N608"/>
      <c r="O608" s="25"/>
    </row>
    <row r="609" spans="1:15" x14ac:dyDescent="0.3">
      <c r="A609" t="s">
        <v>967</v>
      </c>
      <c r="B609" t="str">
        <f>IFERROR(VLOOKUP(A609,'DATA MASTER'!A:O,2,0)," ")</f>
        <v>Panel Bailey</v>
      </c>
      <c r="C609" t="str">
        <f>IFERROR(VLOOKUP(A609,'DATA MASTER'!A:O,4,0)," ")</f>
        <v>24 DSR2-EW</v>
      </c>
      <c r="D609" t="s">
        <v>136</v>
      </c>
      <c r="E609" t="s">
        <v>106</v>
      </c>
      <c r="F609" s="1">
        <v>8.8000000000000007</v>
      </c>
      <c r="G609" s="1">
        <v>42</v>
      </c>
      <c r="H609">
        <v>0.41</v>
      </c>
      <c r="I609" s="16">
        <f>BNW[[#This Row],[Berat Satuan
(Kg)]]*BNW[[#This Row],[Qty
(Set)]]</f>
        <v>17.22</v>
      </c>
      <c r="K609" s="1">
        <f>SUMIF(DATA_MASTER[NO. PON],BNW[[#This Row],[No.PON]],DATA_MASTER[Qty
(Unit)])</f>
        <v>1</v>
      </c>
      <c r="L609" s="16">
        <f>BNW[[#This Row],[TOTAL UNIT]]*BNW[[#This Row],[Total Berat Baut
(Kg)]]</f>
        <v>17.22</v>
      </c>
      <c r="N609"/>
      <c r="O609" s="25"/>
    </row>
    <row r="610" spans="1:15" x14ac:dyDescent="0.3">
      <c r="A610" t="s">
        <v>967</v>
      </c>
      <c r="B610" t="str">
        <f>IFERROR(VLOOKUP(A610,'DATA MASTER'!A:O,2,0)," ")</f>
        <v>Panel Bailey</v>
      </c>
      <c r="C610" t="str">
        <f>IFERROR(VLOOKUP(A610,'DATA MASTER'!A:O,4,0)," ")</f>
        <v>24 DSR2-EW</v>
      </c>
      <c r="D610" t="s">
        <v>137</v>
      </c>
      <c r="E610" t="s">
        <v>106</v>
      </c>
      <c r="F610" s="1">
        <v>8.8000000000000007</v>
      </c>
      <c r="G610" s="1">
        <v>152</v>
      </c>
      <c r="H610">
        <v>0.47399999999999998</v>
      </c>
      <c r="I610" s="16">
        <f>BNW[[#This Row],[Berat Satuan
(Kg)]]*BNW[[#This Row],[Qty
(Set)]]</f>
        <v>72.048000000000002</v>
      </c>
      <c r="K610" s="1">
        <f>SUMIF(DATA_MASTER[NO. PON],BNW[[#This Row],[No.PON]],DATA_MASTER[Qty
(Unit)])</f>
        <v>1</v>
      </c>
      <c r="L610" s="16">
        <f>BNW[[#This Row],[TOTAL UNIT]]*BNW[[#This Row],[Total Berat Baut
(Kg)]]</f>
        <v>72.048000000000002</v>
      </c>
      <c r="N610"/>
      <c r="O610" s="25"/>
    </row>
    <row r="611" spans="1:15" x14ac:dyDescent="0.3">
      <c r="A611" t="s">
        <v>967</v>
      </c>
      <c r="B611" t="str">
        <f>IFERROR(VLOOKUP(A611,'DATA MASTER'!A:O,2,0)," ")</f>
        <v>Panel Bailey</v>
      </c>
      <c r="C611" t="str">
        <f>IFERROR(VLOOKUP(A611,'DATA MASTER'!A:O,4,0)," ")</f>
        <v>24 DSR2-EW</v>
      </c>
      <c r="D611" t="s">
        <v>138</v>
      </c>
      <c r="E611" t="s">
        <v>106</v>
      </c>
      <c r="F611" s="1">
        <v>8.8000000000000007</v>
      </c>
      <c r="G611" s="1">
        <v>26</v>
      </c>
      <c r="H611">
        <v>0.29399999999999998</v>
      </c>
      <c r="I611" s="16">
        <f>BNW[[#This Row],[Berat Satuan
(Kg)]]*BNW[[#This Row],[Qty
(Set)]]</f>
        <v>7.6439999999999992</v>
      </c>
      <c r="K611" s="1">
        <f>SUMIF(DATA_MASTER[NO. PON],BNW[[#This Row],[No.PON]],DATA_MASTER[Qty
(Unit)])</f>
        <v>1</v>
      </c>
      <c r="L611" s="16">
        <f>BNW[[#This Row],[TOTAL UNIT]]*BNW[[#This Row],[Total Berat Baut
(Kg)]]</f>
        <v>7.6439999999999992</v>
      </c>
      <c r="N611"/>
      <c r="O611" s="25"/>
    </row>
    <row r="612" spans="1:15" x14ac:dyDescent="0.3">
      <c r="A612" t="s">
        <v>967</v>
      </c>
      <c r="B612" t="str">
        <f>IFERROR(VLOOKUP(A612,'DATA MASTER'!A:O,2,0)," ")</f>
        <v>Panel Bailey</v>
      </c>
      <c r="C612" t="str">
        <f>IFERROR(VLOOKUP(A612,'DATA MASTER'!A:O,4,0)," ")</f>
        <v>24 DSR2-EW</v>
      </c>
      <c r="D612" t="s">
        <v>139</v>
      </c>
      <c r="E612" t="s">
        <v>106</v>
      </c>
      <c r="F612" s="1">
        <v>8.8000000000000007</v>
      </c>
      <c r="G612" s="1">
        <v>9</v>
      </c>
      <c r="H612">
        <v>0.29399999999999998</v>
      </c>
      <c r="I612" s="16">
        <f>BNW[[#This Row],[Berat Satuan
(Kg)]]*BNW[[#This Row],[Qty
(Set)]]</f>
        <v>2.6459999999999999</v>
      </c>
      <c r="K612" s="1">
        <f>SUMIF(DATA_MASTER[NO. PON],BNW[[#This Row],[No.PON]],DATA_MASTER[Qty
(Unit)])</f>
        <v>1</v>
      </c>
      <c r="L612" s="16">
        <f>BNW[[#This Row],[TOTAL UNIT]]*BNW[[#This Row],[Total Berat Baut
(Kg)]]</f>
        <v>2.6459999999999999</v>
      </c>
      <c r="N612"/>
      <c r="O612" s="25"/>
    </row>
    <row r="613" spans="1:15" x14ac:dyDescent="0.3">
      <c r="A613" t="s">
        <v>967</v>
      </c>
      <c r="B613" t="str">
        <f>IFERROR(VLOOKUP(A613,'DATA MASTER'!A:O,2,0)," ")</f>
        <v>Panel Bailey</v>
      </c>
      <c r="C613" t="str">
        <f>IFERROR(VLOOKUP(A613,'DATA MASTER'!A:O,4,0)," ")</f>
        <v>24 DSR2-EW</v>
      </c>
      <c r="D613" t="s">
        <v>140</v>
      </c>
      <c r="E613" t="s">
        <v>106</v>
      </c>
      <c r="F613" s="1">
        <v>8.8000000000000007</v>
      </c>
      <c r="G613" s="1">
        <v>135</v>
      </c>
      <c r="H613">
        <v>0.24399999999999999</v>
      </c>
      <c r="I613" s="16">
        <f>BNW[[#This Row],[Berat Satuan
(Kg)]]*BNW[[#This Row],[Qty
(Set)]]</f>
        <v>32.94</v>
      </c>
      <c r="K613" s="1">
        <f>SUMIF(DATA_MASTER[NO. PON],BNW[[#This Row],[No.PON]],DATA_MASTER[Qty
(Unit)])</f>
        <v>1</v>
      </c>
      <c r="L613" s="16">
        <f>BNW[[#This Row],[TOTAL UNIT]]*BNW[[#This Row],[Total Berat Baut
(Kg)]]</f>
        <v>32.94</v>
      </c>
      <c r="N613"/>
      <c r="O613" s="25"/>
    </row>
    <row r="614" spans="1:15" x14ac:dyDescent="0.3">
      <c r="A614" t="s">
        <v>967</v>
      </c>
      <c r="B614" t="str">
        <f>IFERROR(VLOOKUP(A614,'DATA MASTER'!A:O,2,0)," ")</f>
        <v>Panel Bailey</v>
      </c>
      <c r="C614" t="str">
        <f>IFERROR(VLOOKUP(A614,'DATA MASTER'!A:O,4,0)," ")</f>
        <v>24 DSR2-EW</v>
      </c>
      <c r="D614" t="s">
        <v>141</v>
      </c>
      <c r="E614" t="s">
        <v>106</v>
      </c>
      <c r="F614" s="1">
        <v>8.8000000000000007</v>
      </c>
      <c r="G614" s="1">
        <v>17</v>
      </c>
      <c r="H614">
        <v>0.13600000000000001</v>
      </c>
      <c r="I614" s="16">
        <f>BNW[[#This Row],[Berat Satuan
(Kg)]]*BNW[[#This Row],[Qty
(Set)]]</f>
        <v>2.3120000000000003</v>
      </c>
      <c r="K614" s="1">
        <f>SUMIF(DATA_MASTER[NO. PON],BNW[[#This Row],[No.PON]],DATA_MASTER[Qty
(Unit)])</f>
        <v>1</v>
      </c>
      <c r="L614" s="16">
        <f>BNW[[#This Row],[TOTAL UNIT]]*BNW[[#This Row],[Total Berat Baut
(Kg)]]</f>
        <v>2.3120000000000003</v>
      </c>
      <c r="N614"/>
      <c r="O614" s="25"/>
    </row>
    <row r="615" spans="1:15" x14ac:dyDescent="0.3">
      <c r="A615" t="s">
        <v>967</v>
      </c>
      <c r="B615" t="str">
        <f>IFERROR(VLOOKUP(A615,'DATA MASTER'!A:O,2,0)," ")</f>
        <v>Panel Bailey</v>
      </c>
      <c r="C615" t="str">
        <f>IFERROR(VLOOKUP(A615,'DATA MASTER'!A:O,4,0)," ")</f>
        <v>24 DSR2-EW</v>
      </c>
      <c r="D615" t="s">
        <v>142</v>
      </c>
      <c r="E615" t="s">
        <v>106</v>
      </c>
      <c r="F615" s="1">
        <v>8.8000000000000007</v>
      </c>
      <c r="G615" s="1">
        <v>68</v>
      </c>
      <c r="H615">
        <v>0.13600000000000001</v>
      </c>
      <c r="I615" s="16">
        <f>BNW[[#This Row],[Berat Satuan
(Kg)]]*BNW[[#This Row],[Qty
(Set)]]</f>
        <v>9.2480000000000011</v>
      </c>
      <c r="K615" s="1">
        <f>SUMIF(DATA_MASTER[NO. PON],BNW[[#This Row],[No.PON]],DATA_MASTER[Qty
(Unit)])</f>
        <v>1</v>
      </c>
      <c r="L615" s="16">
        <f>BNW[[#This Row],[TOTAL UNIT]]*BNW[[#This Row],[Total Berat Baut
(Kg)]]</f>
        <v>9.2480000000000011</v>
      </c>
      <c r="N615"/>
      <c r="O615" s="25"/>
    </row>
    <row r="616" spans="1:15" x14ac:dyDescent="0.3">
      <c r="A616" t="s">
        <v>991</v>
      </c>
      <c r="B616" t="str">
        <f>IFERROR(VLOOKUP(A616,'DATA MASTER'!A:O,2,0)," ")</f>
        <v>Girder</v>
      </c>
      <c r="C616" t="str">
        <f>IFERROR(VLOOKUP(A616,'DATA MASTER'!A:O,4,0)," ")</f>
        <v>CG12</v>
      </c>
      <c r="D616" t="s">
        <v>85</v>
      </c>
      <c r="E616" t="s">
        <v>786</v>
      </c>
      <c r="F616" s="1">
        <v>8.8000000000000007</v>
      </c>
      <c r="G616" s="1">
        <v>363</v>
      </c>
      <c r="H616">
        <v>0.36699999999999999</v>
      </c>
      <c r="I616" s="16">
        <f>BNW[[#This Row],[Berat Satuan
(Kg)]]*BNW[[#This Row],[Qty
(Set)]]</f>
        <v>133.221</v>
      </c>
      <c r="K616" s="1">
        <f>SUMIF(DATA_MASTER[NO. PON],BNW[[#This Row],[No.PON]],DATA_MASTER[Qty
(Unit)])</f>
        <v>1</v>
      </c>
      <c r="L616" s="16">
        <f>BNW[[#This Row],[TOTAL UNIT]]*BNW[[#This Row],[Total Berat Baut
(Kg)]]</f>
        <v>133.221</v>
      </c>
      <c r="N616"/>
      <c r="O616" s="25"/>
    </row>
    <row r="617" spans="1:15" x14ac:dyDescent="0.3">
      <c r="A617" t="s">
        <v>991</v>
      </c>
      <c r="B617" t="str">
        <f>IFERROR(VLOOKUP(A617,'DATA MASTER'!A:O,2,0)," ")</f>
        <v>Girder</v>
      </c>
      <c r="C617" t="str">
        <f>IFERROR(VLOOKUP(A617,'DATA MASTER'!A:O,4,0)," ")</f>
        <v>CG12</v>
      </c>
      <c r="D617" t="s">
        <v>81</v>
      </c>
      <c r="E617" t="s">
        <v>786</v>
      </c>
      <c r="F617" s="1">
        <v>8.8000000000000007</v>
      </c>
      <c r="G617" s="1">
        <v>264</v>
      </c>
      <c r="H617">
        <v>0.317</v>
      </c>
      <c r="I617" s="16">
        <f>BNW[[#This Row],[Berat Satuan
(Kg)]]*BNW[[#This Row],[Qty
(Set)]]</f>
        <v>83.688000000000002</v>
      </c>
      <c r="K617" s="1">
        <f>SUMIF(DATA_MASTER[NO. PON],BNW[[#This Row],[No.PON]],DATA_MASTER[Qty
(Unit)])</f>
        <v>1</v>
      </c>
      <c r="L617" s="16">
        <f>BNW[[#This Row],[TOTAL UNIT]]*BNW[[#This Row],[Total Berat Baut
(Kg)]]</f>
        <v>83.688000000000002</v>
      </c>
      <c r="N617"/>
      <c r="O617" s="25"/>
    </row>
    <row r="618" spans="1:15" x14ac:dyDescent="0.3">
      <c r="A618" t="s">
        <v>991</v>
      </c>
      <c r="B618" t="str">
        <f>IFERROR(VLOOKUP(A618,'DATA MASTER'!A:O,2,0)," ")</f>
        <v>Girder</v>
      </c>
      <c r="C618" t="str">
        <f>IFERROR(VLOOKUP(A618,'DATA MASTER'!A:O,4,0)," ")</f>
        <v>CG12</v>
      </c>
      <c r="D618" t="s">
        <v>87</v>
      </c>
      <c r="E618" t="s">
        <v>106</v>
      </c>
      <c r="F618" s="1">
        <v>8.8000000000000007</v>
      </c>
      <c r="G618" s="1">
        <v>17</v>
      </c>
      <c r="H618">
        <v>0.14900000000000002</v>
      </c>
      <c r="I618" s="16">
        <f>BNW[[#This Row],[Berat Satuan
(Kg)]]*BNW[[#This Row],[Qty
(Set)]]</f>
        <v>2.5330000000000004</v>
      </c>
      <c r="K618" s="1">
        <f>SUMIF(DATA_MASTER[NO. PON],BNW[[#This Row],[No.PON]],DATA_MASTER[Qty
(Unit)])</f>
        <v>1</v>
      </c>
      <c r="L618" s="16">
        <f>BNW[[#This Row],[TOTAL UNIT]]*BNW[[#This Row],[Total Berat Baut
(Kg)]]</f>
        <v>2.5330000000000004</v>
      </c>
      <c r="N618"/>
      <c r="O618" s="25"/>
    </row>
    <row r="619" spans="1:15" x14ac:dyDescent="0.3">
      <c r="A619" t="s">
        <v>991</v>
      </c>
      <c r="B619" t="str">
        <f>IFERROR(VLOOKUP(A619,'DATA MASTER'!A:O,2,0)," ")</f>
        <v>Girder</v>
      </c>
      <c r="C619" t="str">
        <f>IFERROR(VLOOKUP(A619,'DATA MASTER'!A:O,4,0)," ")</f>
        <v>CG12</v>
      </c>
      <c r="D619" t="s">
        <v>88</v>
      </c>
      <c r="E619" t="s">
        <v>106</v>
      </c>
      <c r="F619" s="1">
        <v>8.8000000000000007</v>
      </c>
      <c r="G619" s="1">
        <v>99</v>
      </c>
      <c r="H619">
        <v>0.13600000000000001</v>
      </c>
      <c r="I619" s="16">
        <f>BNW[[#This Row],[Berat Satuan
(Kg)]]*BNW[[#This Row],[Qty
(Set)]]</f>
        <v>13.464</v>
      </c>
      <c r="K619" s="1">
        <f>SUMIF(DATA_MASTER[NO. PON],BNW[[#This Row],[No.PON]],DATA_MASTER[Qty
(Unit)])</f>
        <v>1</v>
      </c>
      <c r="L619" s="16">
        <f>BNW[[#This Row],[TOTAL UNIT]]*BNW[[#This Row],[Total Berat Baut
(Kg)]]</f>
        <v>13.464</v>
      </c>
      <c r="O619" s="25"/>
    </row>
    <row r="620" spans="1:15" x14ac:dyDescent="0.3">
      <c r="A620" t="s">
        <v>991</v>
      </c>
      <c r="B620" t="str">
        <f>IFERROR(VLOOKUP(A620,'DATA MASTER'!A:O,2,0)," ")</f>
        <v>Girder</v>
      </c>
      <c r="C620" t="str">
        <f>IFERROR(VLOOKUP(A620,'DATA MASTER'!A:O,4,0)," ")</f>
        <v>CG12</v>
      </c>
      <c r="D620" t="s">
        <v>83</v>
      </c>
      <c r="E620" t="s">
        <v>106</v>
      </c>
      <c r="F620" s="1">
        <v>8.8000000000000007</v>
      </c>
      <c r="G620" s="1">
        <v>9</v>
      </c>
      <c r="H620">
        <v>8.1000000000000003E-2</v>
      </c>
      <c r="I620" s="16">
        <f>BNW[[#This Row],[Berat Satuan
(Kg)]]*BNW[[#This Row],[Qty
(Set)]]</f>
        <v>0.72899999999999998</v>
      </c>
      <c r="K620" s="1">
        <f>SUMIF(DATA_MASTER[NO. PON],BNW[[#This Row],[No.PON]],DATA_MASTER[Qty
(Unit)])</f>
        <v>1</v>
      </c>
      <c r="L620" s="16">
        <f>BNW[[#This Row],[TOTAL UNIT]]*BNW[[#This Row],[Total Berat Baut
(Kg)]]</f>
        <v>0.72899999999999998</v>
      </c>
      <c r="N620"/>
      <c r="O620" s="25"/>
    </row>
    <row r="621" spans="1:15" x14ac:dyDescent="0.3">
      <c r="A621" t="s">
        <v>991</v>
      </c>
      <c r="B621" t="str">
        <f>IFERROR(VLOOKUP(A621,'DATA MASTER'!A:O,2,0)," ")</f>
        <v>Girder</v>
      </c>
      <c r="C621" t="str">
        <f>IFERROR(VLOOKUP(A621,'DATA MASTER'!A:O,4,0)," ")</f>
        <v>CG12</v>
      </c>
      <c r="D621" t="s">
        <v>478</v>
      </c>
      <c r="E621" t="s">
        <v>106</v>
      </c>
      <c r="F621" s="1">
        <v>8.8000000000000007</v>
      </c>
      <c r="G621" s="1">
        <v>83</v>
      </c>
      <c r="H621">
        <v>7.2000000000000008E-2</v>
      </c>
      <c r="I621" s="16">
        <f>BNW[[#This Row],[Berat Satuan
(Kg)]]*BNW[[#This Row],[Qty
(Set)]]</f>
        <v>5.9760000000000009</v>
      </c>
      <c r="K621" s="1">
        <f>SUMIF(DATA_MASTER[NO. PON],BNW[[#This Row],[No.PON]],DATA_MASTER[Qty
(Unit)])</f>
        <v>1</v>
      </c>
      <c r="L621" s="16">
        <f>BNW[[#This Row],[TOTAL UNIT]]*BNW[[#This Row],[Total Berat Baut
(Kg)]]</f>
        <v>5.9760000000000009</v>
      </c>
      <c r="N621"/>
      <c r="O621" s="25"/>
    </row>
    <row r="622" spans="1:15" x14ac:dyDescent="0.3">
      <c r="A622" t="s">
        <v>991</v>
      </c>
      <c r="B622" t="str">
        <f>IFERROR(VLOOKUP(A622,'DATA MASTER'!A:O,2,0)," ")</f>
        <v>Girder</v>
      </c>
      <c r="C622" t="str">
        <f>IFERROR(VLOOKUP(A622,'DATA MASTER'!A:O,4,0)," ")</f>
        <v>CG12</v>
      </c>
      <c r="D622" t="s">
        <v>89</v>
      </c>
      <c r="E622" t="s">
        <v>106</v>
      </c>
      <c r="F622" s="1">
        <v>8.8000000000000007</v>
      </c>
      <c r="G622" s="1">
        <v>132</v>
      </c>
      <c r="H622">
        <v>6.8000000000000005E-2</v>
      </c>
      <c r="I622" s="16">
        <f>BNW[[#This Row],[Berat Satuan
(Kg)]]*BNW[[#This Row],[Qty
(Set)]]</f>
        <v>8.9760000000000009</v>
      </c>
      <c r="K622" s="1">
        <f>SUMIF(DATA_MASTER[NO. PON],BNW[[#This Row],[No.PON]],DATA_MASTER[Qty
(Unit)])</f>
        <v>1</v>
      </c>
      <c r="L622" s="16">
        <f>BNW[[#This Row],[TOTAL UNIT]]*BNW[[#This Row],[Total Berat Baut
(Kg)]]</f>
        <v>8.9760000000000009</v>
      </c>
      <c r="N622"/>
      <c r="O622" s="25"/>
    </row>
    <row r="623" spans="1:15" x14ac:dyDescent="0.3">
      <c r="A623" t="s">
        <v>1005</v>
      </c>
      <c r="B623" t="str">
        <f>IFERROR(VLOOKUP(A623,'DATA MASTER'!A:O,2,0)," ")</f>
        <v>Truss Modullar</v>
      </c>
      <c r="C623" t="str">
        <f>IFERROR(VLOOKUP(A623,'DATA MASTER'!A:O,4,0)," ")</f>
        <v>RB50</v>
      </c>
      <c r="D623" t="s">
        <v>622</v>
      </c>
      <c r="E623" t="s">
        <v>786</v>
      </c>
      <c r="F623" s="1">
        <v>8.8000000000000007</v>
      </c>
      <c r="G623" s="1">
        <v>109</v>
      </c>
      <c r="H623">
        <v>0.42699999999999999</v>
      </c>
      <c r="I623" s="16">
        <f>BNW[[#This Row],[Berat Satuan
(Kg)]]*BNW[[#This Row],[Qty
(Set)]]</f>
        <v>46.542999999999999</v>
      </c>
      <c r="K623" s="1">
        <f>SUMIF(DATA_MASTER[NO. PON],BNW[[#This Row],[No.PON]],DATA_MASTER[Qty
(Unit)])</f>
        <v>1</v>
      </c>
      <c r="L623" s="16">
        <f>BNW[[#This Row],[TOTAL UNIT]]*BNW[[#This Row],[Total Berat Baut
(Kg)]]</f>
        <v>46.542999999999999</v>
      </c>
      <c r="O623" s="25"/>
    </row>
    <row r="624" spans="1:15" x14ac:dyDescent="0.3">
      <c r="A624" t="s">
        <v>1005</v>
      </c>
      <c r="B624" t="str">
        <f>IFERROR(VLOOKUP(A624,'DATA MASTER'!A:O,2,0)," ")</f>
        <v>Truss Modullar</v>
      </c>
      <c r="C624" t="str">
        <f>IFERROR(VLOOKUP(A624,'DATA MASTER'!A:O,4,0)," ")</f>
        <v>RB50</v>
      </c>
      <c r="D624" t="s">
        <v>281</v>
      </c>
      <c r="E624" t="s">
        <v>786</v>
      </c>
      <c r="F624" s="1">
        <v>8.8000000000000007</v>
      </c>
      <c r="G624" s="1">
        <v>289</v>
      </c>
      <c r="H624">
        <v>0.40700000000000003</v>
      </c>
      <c r="I624" s="16">
        <f>BNW[[#This Row],[Berat Satuan
(Kg)]]*BNW[[#This Row],[Qty
(Set)]]</f>
        <v>117.623</v>
      </c>
      <c r="K624" s="1">
        <f>SUMIF(DATA_MASTER[NO. PON],BNW[[#This Row],[No.PON]],DATA_MASTER[Qty
(Unit)])</f>
        <v>1</v>
      </c>
      <c r="L624" s="16">
        <f>BNW[[#This Row],[TOTAL UNIT]]*BNW[[#This Row],[Total Berat Baut
(Kg)]]</f>
        <v>117.623</v>
      </c>
      <c r="N624"/>
      <c r="O624" s="25"/>
    </row>
    <row r="625" spans="1:15" x14ac:dyDescent="0.3">
      <c r="A625" t="s">
        <v>1005</v>
      </c>
      <c r="B625" t="str">
        <f>IFERROR(VLOOKUP(A625,'DATA MASTER'!A:O,2,0)," ")</f>
        <v>Truss Modullar</v>
      </c>
      <c r="C625" t="str">
        <f>IFERROR(VLOOKUP(A625,'DATA MASTER'!A:O,4,0)," ")</f>
        <v>RB50</v>
      </c>
      <c r="D625" t="s">
        <v>282</v>
      </c>
      <c r="E625" t="s">
        <v>786</v>
      </c>
      <c r="F625" s="1">
        <v>8.8000000000000007</v>
      </c>
      <c r="G625" s="1">
        <v>421</v>
      </c>
      <c r="H625">
        <v>0.38700000000000001</v>
      </c>
      <c r="I625" s="16">
        <f>BNW[[#This Row],[Berat Satuan
(Kg)]]*BNW[[#This Row],[Qty
(Set)]]</f>
        <v>162.92699999999999</v>
      </c>
      <c r="K625" s="1">
        <f>SUMIF(DATA_MASTER[NO. PON],BNW[[#This Row],[No.PON]],DATA_MASTER[Qty
(Unit)])</f>
        <v>1</v>
      </c>
      <c r="L625" s="16">
        <f>BNW[[#This Row],[TOTAL UNIT]]*BNW[[#This Row],[Total Berat Baut
(Kg)]]</f>
        <v>162.92699999999999</v>
      </c>
      <c r="N625"/>
      <c r="O625" s="25"/>
    </row>
    <row r="626" spans="1:15" x14ac:dyDescent="0.3">
      <c r="A626" t="s">
        <v>1005</v>
      </c>
      <c r="B626" t="str">
        <f>IFERROR(VLOOKUP(A626,'DATA MASTER'!A:O,2,0)," ")</f>
        <v>Truss Modullar</v>
      </c>
      <c r="C626" t="str">
        <f>IFERROR(VLOOKUP(A626,'DATA MASTER'!A:O,4,0)," ")</f>
        <v>RB50</v>
      </c>
      <c r="D626" t="s">
        <v>85</v>
      </c>
      <c r="E626" t="s">
        <v>786</v>
      </c>
      <c r="F626" s="1">
        <v>8.8000000000000007</v>
      </c>
      <c r="G626" s="1">
        <v>2448</v>
      </c>
      <c r="H626">
        <v>0.36699999999999999</v>
      </c>
      <c r="I626" s="16">
        <f>BNW[[#This Row],[Berat Satuan
(Kg)]]*BNW[[#This Row],[Qty
(Set)]]</f>
        <v>898.41599999999994</v>
      </c>
      <c r="K626" s="1">
        <f>SUMIF(DATA_MASTER[NO. PON],BNW[[#This Row],[No.PON]],DATA_MASTER[Qty
(Unit)])</f>
        <v>1</v>
      </c>
      <c r="L626" s="16">
        <f>BNW[[#This Row],[TOTAL UNIT]]*BNW[[#This Row],[Total Berat Baut
(Kg)]]</f>
        <v>898.41599999999994</v>
      </c>
      <c r="N626"/>
      <c r="O626" s="25"/>
    </row>
    <row r="627" spans="1:15" x14ac:dyDescent="0.3">
      <c r="A627" t="s">
        <v>1005</v>
      </c>
      <c r="B627" t="str">
        <f>IFERROR(VLOOKUP(A627,'DATA MASTER'!A:O,2,0)," ")</f>
        <v>Truss Modullar</v>
      </c>
      <c r="C627" t="str">
        <f>IFERROR(VLOOKUP(A627,'DATA MASTER'!A:O,4,0)," ")</f>
        <v>RB50</v>
      </c>
      <c r="D627" t="s">
        <v>86</v>
      </c>
      <c r="E627" t="s">
        <v>786</v>
      </c>
      <c r="F627" s="1">
        <v>8.8000000000000007</v>
      </c>
      <c r="G627" s="1">
        <v>1030</v>
      </c>
      <c r="H627">
        <v>0.35700000000000004</v>
      </c>
      <c r="I627" s="16">
        <f>BNW[[#This Row],[Berat Satuan
(Kg)]]*BNW[[#This Row],[Qty
(Set)]]</f>
        <v>367.71000000000004</v>
      </c>
      <c r="K627" s="1">
        <f>SUMIF(DATA_MASTER[NO. PON],BNW[[#This Row],[No.PON]],DATA_MASTER[Qty
(Unit)])</f>
        <v>1</v>
      </c>
      <c r="L627" s="16">
        <f>BNW[[#This Row],[TOTAL UNIT]]*BNW[[#This Row],[Total Berat Baut
(Kg)]]</f>
        <v>367.71000000000004</v>
      </c>
      <c r="N627"/>
      <c r="O627" s="25"/>
    </row>
    <row r="628" spans="1:15" x14ac:dyDescent="0.3">
      <c r="A628" t="s">
        <v>1005</v>
      </c>
      <c r="B628" t="str">
        <f>IFERROR(VLOOKUP(A628,'DATA MASTER'!A:O,2,0)," ")</f>
        <v>Truss Modullar</v>
      </c>
      <c r="C628" t="str">
        <f>IFERROR(VLOOKUP(A628,'DATA MASTER'!A:O,4,0)," ")</f>
        <v>RB50</v>
      </c>
      <c r="D628" t="s">
        <v>283</v>
      </c>
      <c r="E628" t="s">
        <v>786</v>
      </c>
      <c r="F628" s="1">
        <v>8.8000000000000007</v>
      </c>
      <c r="G628" s="1">
        <v>1591</v>
      </c>
      <c r="H628">
        <v>0.34700000000000003</v>
      </c>
      <c r="I628" s="16">
        <f>BNW[[#This Row],[Berat Satuan
(Kg)]]*BNW[[#This Row],[Qty
(Set)]]</f>
        <v>552.077</v>
      </c>
      <c r="K628" s="1">
        <f>SUMIF(DATA_MASTER[NO. PON],BNW[[#This Row],[No.PON]],DATA_MASTER[Qty
(Unit)])</f>
        <v>1</v>
      </c>
      <c r="L628" s="16">
        <f>BNW[[#This Row],[TOTAL UNIT]]*BNW[[#This Row],[Total Berat Baut
(Kg)]]</f>
        <v>552.077</v>
      </c>
      <c r="N628"/>
      <c r="O628" s="25"/>
    </row>
    <row r="629" spans="1:15" x14ac:dyDescent="0.3">
      <c r="A629" t="s">
        <v>1005</v>
      </c>
      <c r="B629" t="str">
        <f>IFERROR(VLOOKUP(A629,'DATA MASTER'!A:O,2,0)," ")</f>
        <v>Truss Modullar</v>
      </c>
      <c r="C629" t="str">
        <f>IFERROR(VLOOKUP(A629,'DATA MASTER'!A:O,4,0)," ")</f>
        <v>RB50</v>
      </c>
      <c r="D629" t="s">
        <v>80</v>
      </c>
      <c r="E629" t="s">
        <v>786</v>
      </c>
      <c r="F629" s="1">
        <v>8.8000000000000007</v>
      </c>
      <c r="G629" s="1">
        <v>2717</v>
      </c>
      <c r="H629">
        <v>0.32700000000000001</v>
      </c>
      <c r="I629" s="16">
        <f>BNW[[#This Row],[Berat Satuan
(Kg)]]*BNW[[#This Row],[Qty
(Set)]]</f>
        <v>888.45900000000006</v>
      </c>
      <c r="K629" s="1">
        <f>SUMIF(DATA_MASTER[NO. PON],BNW[[#This Row],[No.PON]],DATA_MASTER[Qty
(Unit)])</f>
        <v>1</v>
      </c>
      <c r="L629" s="16">
        <f>BNW[[#This Row],[TOTAL UNIT]]*BNW[[#This Row],[Total Berat Baut
(Kg)]]</f>
        <v>888.45900000000006</v>
      </c>
      <c r="N629"/>
      <c r="O629" s="25"/>
    </row>
    <row r="630" spans="1:15" x14ac:dyDescent="0.3">
      <c r="A630" t="s">
        <v>1005</v>
      </c>
      <c r="B630" t="str">
        <f>IFERROR(VLOOKUP(A630,'DATA MASTER'!A:O,2,0)," ")</f>
        <v>Truss Modullar</v>
      </c>
      <c r="C630" t="str">
        <f>IFERROR(VLOOKUP(A630,'DATA MASTER'!A:O,4,0)," ")</f>
        <v>RB50</v>
      </c>
      <c r="D630" t="s">
        <v>81</v>
      </c>
      <c r="E630" t="s">
        <v>786</v>
      </c>
      <c r="F630" s="1">
        <v>8.8000000000000007</v>
      </c>
      <c r="G630" s="1">
        <v>1162</v>
      </c>
      <c r="H630">
        <v>0.317</v>
      </c>
      <c r="I630" s="16">
        <f>BNW[[#This Row],[Berat Satuan
(Kg)]]*BNW[[#This Row],[Qty
(Set)]]</f>
        <v>368.35399999999998</v>
      </c>
      <c r="K630" s="1">
        <f>SUMIF(DATA_MASTER[NO. PON],BNW[[#This Row],[No.PON]],DATA_MASTER[Qty
(Unit)])</f>
        <v>1</v>
      </c>
      <c r="L630" s="16">
        <f>BNW[[#This Row],[TOTAL UNIT]]*BNW[[#This Row],[Total Berat Baut
(Kg)]]</f>
        <v>368.35399999999998</v>
      </c>
      <c r="N630"/>
      <c r="O630" s="25"/>
    </row>
    <row r="631" spans="1:15" x14ac:dyDescent="0.3">
      <c r="A631" t="s">
        <v>1005</v>
      </c>
      <c r="B631" t="str">
        <f>IFERROR(VLOOKUP(A631,'DATA MASTER'!A:O,2,0)," ")</f>
        <v>Truss Modullar</v>
      </c>
      <c r="C631" t="str">
        <f>IFERROR(VLOOKUP(A631,'DATA MASTER'!A:O,4,0)," ")</f>
        <v>RB50</v>
      </c>
      <c r="D631" t="s">
        <v>82</v>
      </c>
      <c r="E631" t="s">
        <v>786</v>
      </c>
      <c r="F631" s="1">
        <v>8.8000000000000007</v>
      </c>
      <c r="G631" s="1">
        <v>153</v>
      </c>
      <c r="H631">
        <v>0.307</v>
      </c>
      <c r="I631" s="16">
        <f>BNW[[#This Row],[Berat Satuan
(Kg)]]*BNW[[#This Row],[Qty
(Set)]]</f>
        <v>46.970999999999997</v>
      </c>
      <c r="K631" s="1">
        <f>SUMIF(DATA_MASTER[NO. PON],BNW[[#This Row],[No.PON]],DATA_MASTER[Qty
(Unit)])</f>
        <v>1</v>
      </c>
      <c r="L631" s="16">
        <f>BNW[[#This Row],[TOTAL UNIT]]*BNW[[#This Row],[Total Berat Baut
(Kg)]]</f>
        <v>46.970999999999997</v>
      </c>
      <c r="N631"/>
      <c r="O631" s="25"/>
    </row>
    <row r="632" spans="1:15" x14ac:dyDescent="0.3">
      <c r="A632" t="s">
        <v>1005</v>
      </c>
      <c r="B632" t="str">
        <f>IFERROR(VLOOKUP(A632,'DATA MASTER'!A:O,2,0)," ")</f>
        <v>Truss Modullar</v>
      </c>
      <c r="C632" t="str">
        <f>IFERROR(VLOOKUP(A632,'DATA MASTER'!A:O,4,0)," ")</f>
        <v>RB50</v>
      </c>
      <c r="D632" t="s">
        <v>284</v>
      </c>
      <c r="E632" t="s">
        <v>106</v>
      </c>
      <c r="F632" s="1">
        <v>8.8000000000000007</v>
      </c>
      <c r="G632" s="1">
        <v>25</v>
      </c>
      <c r="H632">
        <v>8.6000000000000007E-2</v>
      </c>
      <c r="I632" s="16">
        <f>BNW[[#This Row],[Berat Satuan
(Kg)]]*BNW[[#This Row],[Qty
(Set)]]</f>
        <v>2.1500000000000004</v>
      </c>
      <c r="K632" s="1">
        <f>SUMIF(DATA_MASTER[NO. PON],BNW[[#This Row],[No.PON]],DATA_MASTER[Qty
(Unit)])</f>
        <v>1</v>
      </c>
      <c r="L632" s="16">
        <f>BNW[[#This Row],[TOTAL UNIT]]*BNW[[#This Row],[Total Berat Baut
(Kg)]]</f>
        <v>2.1500000000000004</v>
      </c>
      <c r="N632"/>
      <c r="O632" s="25"/>
    </row>
    <row r="633" spans="1:15" x14ac:dyDescent="0.3">
      <c r="A633" t="s">
        <v>1005</v>
      </c>
      <c r="B633" t="str">
        <f>IFERROR(VLOOKUP(A633,'DATA MASTER'!A:O,2,0)," ")</f>
        <v>Truss Modullar</v>
      </c>
      <c r="C633" t="str">
        <f>IFERROR(VLOOKUP(A633,'DATA MASTER'!A:O,4,0)," ")</f>
        <v>RB50</v>
      </c>
      <c r="D633" t="s">
        <v>478</v>
      </c>
      <c r="E633" t="s">
        <v>106</v>
      </c>
      <c r="F633" s="1">
        <v>8.8000000000000007</v>
      </c>
      <c r="G633" s="1">
        <v>149</v>
      </c>
      <c r="H633">
        <v>7.2000000000000008E-2</v>
      </c>
      <c r="I633" s="16">
        <f>BNW[[#This Row],[Berat Satuan
(Kg)]]*BNW[[#This Row],[Qty
(Set)]]</f>
        <v>10.728000000000002</v>
      </c>
      <c r="K633" s="1">
        <f>SUMIF(DATA_MASTER[NO. PON],BNW[[#This Row],[No.PON]],DATA_MASTER[Qty
(Unit)])</f>
        <v>1</v>
      </c>
      <c r="L633" s="16">
        <f>BNW[[#This Row],[TOTAL UNIT]]*BNW[[#This Row],[Total Berat Baut
(Kg)]]</f>
        <v>10.728000000000002</v>
      </c>
      <c r="N633"/>
      <c r="O633" s="25"/>
    </row>
    <row r="634" spans="1:15" x14ac:dyDescent="0.3">
      <c r="A634" t="s">
        <v>1005</v>
      </c>
      <c r="B634" t="str">
        <f>IFERROR(VLOOKUP(A634,'DATA MASTER'!A:O,2,0)," ")</f>
        <v>Truss Modullar</v>
      </c>
      <c r="C634" t="str">
        <f>IFERROR(VLOOKUP(A634,'DATA MASTER'!A:O,4,0)," ")</f>
        <v>RB50</v>
      </c>
      <c r="D634" t="s">
        <v>89</v>
      </c>
      <c r="E634" t="s">
        <v>106</v>
      </c>
      <c r="F634" s="1">
        <v>8.8000000000000007</v>
      </c>
      <c r="G634" s="1">
        <v>437</v>
      </c>
      <c r="H634">
        <v>6.8000000000000005E-2</v>
      </c>
      <c r="I634" s="16">
        <f>BNW[[#This Row],[Berat Satuan
(Kg)]]*BNW[[#This Row],[Qty
(Set)]]</f>
        <v>29.716000000000001</v>
      </c>
      <c r="K634" s="1">
        <f>SUMIF(DATA_MASTER[NO. PON],BNW[[#This Row],[No.PON]],DATA_MASTER[Qty
(Unit)])</f>
        <v>1</v>
      </c>
      <c r="L634" s="16">
        <f>BNW[[#This Row],[TOTAL UNIT]]*BNW[[#This Row],[Total Berat Baut
(Kg)]]</f>
        <v>29.716000000000001</v>
      </c>
      <c r="N634"/>
      <c r="O634" s="25"/>
    </row>
    <row r="635" spans="1:15" x14ac:dyDescent="0.3">
      <c r="A635" t="s">
        <v>1005</v>
      </c>
      <c r="B635" t="str">
        <f>IFERROR(VLOOKUP(A635,'DATA MASTER'!A:O,2,0)," ")</f>
        <v>Truss Modullar</v>
      </c>
      <c r="C635" t="str">
        <f>IFERROR(VLOOKUP(A635,'DATA MASTER'!A:O,4,0)," ")</f>
        <v>RB50</v>
      </c>
      <c r="D635" t="s">
        <v>205</v>
      </c>
      <c r="E635" t="s">
        <v>106</v>
      </c>
      <c r="F635" s="1">
        <v>8.8000000000000007</v>
      </c>
      <c r="G635" s="1">
        <v>99</v>
      </c>
      <c r="H635">
        <v>6.3E-2</v>
      </c>
      <c r="I635" s="16">
        <f>BNW[[#This Row],[Berat Satuan
(Kg)]]*BNW[[#This Row],[Qty
(Set)]]</f>
        <v>6.2370000000000001</v>
      </c>
      <c r="K635" s="1">
        <f>SUMIF(DATA_MASTER[NO. PON],BNW[[#This Row],[No.PON]],DATA_MASTER[Qty
(Unit)])</f>
        <v>1</v>
      </c>
      <c r="L635" s="16">
        <f>BNW[[#This Row],[TOTAL UNIT]]*BNW[[#This Row],[Total Berat Baut
(Kg)]]</f>
        <v>6.2370000000000001</v>
      </c>
      <c r="N635"/>
      <c r="O635" s="25"/>
    </row>
    <row r="636" spans="1:15" x14ac:dyDescent="0.3">
      <c r="A636" t="s">
        <v>1005</v>
      </c>
      <c r="B636" t="str">
        <f>IFERROR(VLOOKUP(A636,'DATA MASTER'!A:O,2,0)," ")</f>
        <v>Truss Modullar</v>
      </c>
      <c r="C636" t="str">
        <f>IFERROR(VLOOKUP(A636,'DATA MASTER'!A:O,4,0)," ")</f>
        <v>RB50</v>
      </c>
      <c r="D636" t="s">
        <v>206</v>
      </c>
      <c r="E636" t="s">
        <v>106</v>
      </c>
      <c r="F636" s="1">
        <v>8.8000000000000007</v>
      </c>
      <c r="G636" s="1">
        <v>1447</v>
      </c>
      <c r="H636">
        <v>5.9000000000000004E-2</v>
      </c>
      <c r="I636" s="16">
        <f>BNW[[#This Row],[Berat Satuan
(Kg)]]*BNW[[#This Row],[Qty
(Set)]]</f>
        <v>85.373000000000005</v>
      </c>
      <c r="K636" s="1">
        <f>SUMIF(DATA_MASTER[NO. PON],BNW[[#This Row],[No.PON]],DATA_MASTER[Qty
(Unit)])</f>
        <v>1</v>
      </c>
      <c r="L636" s="16">
        <f>BNW[[#This Row],[TOTAL UNIT]]*BNW[[#This Row],[Total Berat Baut
(Kg)]]</f>
        <v>85.373000000000005</v>
      </c>
      <c r="N636"/>
      <c r="O636" s="25"/>
    </row>
    <row r="637" spans="1:15" x14ac:dyDescent="0.3">
      <c r="A637" t="s">
        <v>1009</v>
      </c>
      <c r="B637" t="str">
        <f>IFERROR(VLOOKUP(A637,'DATA MASTER'!A:O,2,0)," ")</f>
        <v>Panel Bailey</v>
      </c>
      <c r="C637" t="str">
        <f>IFERROR(VLOOKUP(A637,'DATA MASTER'!A:O,4,0)," ")</f>
        <v>36 DSR2-EW</v>
      </c>
      <c r="D637" t="s">
        <v>133</v>
      </c>
      <c r="E637" t="s">
        <v>106</v>
      </c>
      <c r="F637" s="1">
        <v>8.8000000000000007</v>
      </c>
      <c r="G637" s="1">
        <v>384</v>
      </c>
      <c r="H637">
        <v>0.53</v>
      </c>
      <c r="I637" s="16">
        <f>BNW[[#This Row],[Berat Satuan
(Kg)]]*BNW[[#This Row],[Qty
(Set)]]</f>
        <v>203.52</v>
      </c>
      <c r="K637" s="1">
        <f>SUMIF(DATA_MASTER[NO. PON],BNW[[#This Row],[No.PON]],DATA_MASTER[Qty
(Unit)])</f>
        <v>1</v>
      </c>
      <c r="L637" s="16">
        <f>BNW[[#This Row],[TOTAL UNIT]]*BNW[[#This Row],[Total Berat Baut
(Kg)]]</f>
        <v>203.52</v>
      </c>
      <c r="O637" s="25"/>
    </row>
    <row r="638" spans="1:15" x14ac:dyDescent="0.3">
      <c r="A638" t="s">
        <v>1009</v>
      </c>
      <c r="B638" t="str">
        <f>IFERROR(VLOOKUP(A638,'DATA MASTER'!A:O,2,0)," ")</f>
        <v>Panel Bailey</v>
      </c>
      <c r="C638" t="str">
        <f>IFERROR(VLOOKUP(A638,'DATA MASTER'!A:O,4,0)," ")</f>
        <v>36 DSR2-EW</v>
      </c>
      <c r="D638" t="s">
        <v>134</v>
      </c>
      <c r="E638" t="s">
        <v>106</v>
      </c>
      <c r="F638" s="1">
        <v>8.8000000000000007</v>
      </c>
      <c r="G638" s="1">
        <v>204</v>
      </c>
      <c r="H638">
        <v>0.46</v>
      </c>
      <c r="I638" s="16">
        <f>BNW[[#This Row],[Berat Satuan
(Kg)]]*BNW[[#This Row],[Qty
(Set)]]</f>
        <v>93.84</v>
      </c>
      <c r="K638" s="1">
        <f>SUMIF(DATA_MASTER[NO. PON],BNW[[#This Row],[No.PON]],DATA_MASTER[Qty
(Unit)])</f>
        <v>1</v>
      </c>
      <c r="L638" s="16">
        <f>BNW[[#This Row],[TOTAL UNIT]]*BNW[[#This Row],[Total Berat Baut
(Kg)]]</f>
        <v>93.84</v>
      </c>
      <c r="N638"/>
      <c r="O638" s="25"/>
    </row>
    <row r="639" spans="1:15" x14ac:dyDescent="0.3">
      <c r="A639" t="s">
        <v>1009</v>
      </c>
      <c r="B639" t="str">
        <f>IFERROR(VLOOKUP(A639,'DATA MASTER'!A:O,2,0)," ")</f>
        <v>Panel Bailey</v>
      </c>
      <c r="C639" t="str">
        <f>IFERROR(VLOOKUP(A639,'DATA MASTER'!A:O,4,0)," ")</f>
        <v>36 DSR2-EW</v>
      </c>
      <c r="D639" t="s">
        <v>135</v>
      </c>
      <c r="E639" t="s">
        <v>106</v>
      </c>
      <c r="F639" s="1">
        <v>8.8000000000000007</v>
      </c>
      <c r="G639" s="1">
        <v>96</v>
      </c>
      <c r="H639">
        <v>0.43</v>
      </c>
      <c r="I639" s="16">
        <f>BNW[[#This Row],[Berat Satuan
(Kg)]]*BNW[[#This Row],[Qty
(Set)]]</f>
        <v>41.28</v>
      </c>
      <c r="K639" s="1">
        <f>SUMIF(DATA_MASTER[NO. PON],BNW[[#This Row],[No.PON]],DATA_MASTER[Qty
(Unit)])</f>
        <v>1</v>
      </c>
      <c r="L639" s="16">
        <f>BNW[[#This Row],[TOTAL UNIT]]*BNW[[#This Row],[Total Berat Baut
(Kg)]]</f>
        <v>41.28</v>
      </c>
      <c r="N639"/>
      <c r="O639" s="25"/>
    </row>
    <row r="640" spans="1:15" x14ac:dyDescent="0.3">
      <c r="A640" t="s">
        <v>1009</v>
      </c>
      <c r="B640" t="str">
        <f>IFERROR(VLOOKUP(A640,'DATA MASTER'!A:O,2,0)," ")</f>
        <v>Panel Bailey</v>
      </c>
      <c r="C640" t="str">
        <f>IFERROR(VLOOKUP(A640,'DATA MASTER'!A:O,4,0)," ")</f>
        <v>36 DSR2-EW</v>
      </c>
      <c r="D640" t="s">
        <v>136</v>
      </c>
      <c r="E640" t="s">
        <v>106</v>
      </c>
      <c r="F640" s="1">
        <v>8.8000000000000007</v>
      </c>
      <c r="G640" s="1">
        <v>56</v>
      </c>
      <c r="H640">
        <v>0.41</v>
      </c>
      <c r="I640" s="16">
        <f>BNW[[#This Row],[Berat Satuan
(Kg)]]*BNW[[#This Row],[Qty
(Set)]]</f>
        <v>22.959999999999997</v>
      </c>
      <c r="K640" s="1">
        <f>SUMIF(DATA_MASTER[NO. PON],BNW[[#This Row],[No.PON]],DATA_MASTER[Qty
(Unit)])</f>
        <v>1</v>
      </c>
      <c r="L640" s="16">
        <f>BNW[[#This Row],[TOTAL UNIT]]*BNW[[#This Row],[Total Berat Baut
(Kg)]]</f>
        <v>22.959999999999997</v>
      </c>
      <c r="N640"/>
      <c r="O640" s="25"/>
    </row>
    <row r="641" spans="1:15" x14ac:dyDescent="0.3">
      <c r="A641" t="s">
        <v>1009</v>
      </c>
      <c r="B641" t="str">
        <f>IFERROR(VLOOKUP(A641,'DATA MASTER'!A:O,2,0)," ")</f>
        <v>Panel Bailey</v>
      </c>
      <c r="C641" t="str">
        <f>IFERROR(VLOOKUP(A641,'DATA MASTER'!A:O,4,0)," ")</f>
        <v>36 DSR2-EW</v>
      </c>
      <c r="D641" t="s">
        <v>137</v>
      </c>
      <c r="E641" t="s">
        <v>106</v>
      </c>
      <c r="F641" s="1">
        <v>8.8000000000000007</v>
      </c>
      <c r="G641" s="1">
        <v>208</v>
      </c>
      <c r="H641">
        <v>0.47399999999999998</v>
      </c>
      <c r="I641" s="16">
        <f>BNW[[#This Row],[Berat Satuan
(Kg)]]*BNW[[#This Row],[Qty
(Set)]]</f>
        <v>98.591999999999999</v>
      </c>
      <c r="K641" s="1">
        <f>SUMIF(DATA_MASTER[NO. PON],BNW[[#This Row],[No.PON]],DATA_MASTER[Qty
(Unit)])</f>
        <v>1</v>
      </c>
      <c r="L641" s="16">
        <f>BNW[[#This Row],[TOTAL UNIT]]*BNW[[#This Row],[Total Berat Baut
(Kg)]]</f>
        <v>98.591999999999999</v>
      </c>
      <c r="N641"/>
      <c r="O641" s="25"/>
    </row>
    <row r="642" spans="1:15" x14ac:dyDescent="0.3">
      <c r="A642" t="s">
        <v>1009</v>
      </c>
      <c r="B642" t="str">
        <f>IFERROR(VLOOKUP(A642,'DATA MASTER'!A:O,2,0)," ")</f>
        <v>Panel Bailey</v>
      </c>
      <c r="C642" t="str">
        <f>IFERROR(VLOOKUP(A642,'DATA MASTER'!A:O,4,0)," ")</f>
        <v>36 DSR2-EW</v>
      </c>
      <c r="D642" t="s">
        <v>138</v>
      </c>
      <c r="E642" t="s">
        <v>106</v>
      </c>
      <c r="F642" s="1">
        <v>8.8000000000000007</v>
      </c>
      <c r="G642" s="1">
        <v>24</v>
      </c>
      <c r="H642">
        <v>0.29399999999999998</v>
      </c>
      <c r="I642" s="16">
        <f>BNW[[#This Row],[Berat Satuan
(Kg)]]*BNW[[#This Row],[Qty
(Set)]]</f>
        <v>7.0559999999999992</v>
      </c>
      <c r="K642" s="1">
        <f>SUMIF(DATA_MASTER[NO. PON],BNW[[#This Row],[No.PON]],DATA_MASTER[Qty
(Unit)])</f>
        <v>1</v>
      </c>
      <c r="L642" s="16">
        <f>BNW[[#This Row],[TOTAL UNIT]]*BNW[[#This Row],[Total Berat Baut
(Kg)]]</f>
        <v>7.0559999999999992</v>
      </c>
      <c r="N642"/>
      <c r="O642" s="25"/>
    </row>
    <row r="643" spans="1:15" x14ac:dyDescent="0.3">
      <c r="A643" t="s">
        <v>1009</v>
      </c>
      <c r="B643" t="str">
        <f>IFERROR(VLOOKUP(A643,'DATA MASTER'!A:O,2,0)," ")</f>
        <v>Panel Bailey</v>
      </c>
      <c r="C643" t="str">
        <f>IFERROR(VLOOKUP(A643,'DATA MASTER'!A:O,4,0)," ")</f>
        <v>36 DSR2-EW</v>
      </c>
      <c r="D643" t="s">
        <v>139</v>
      </c>
      <c r="E643" t="s">
        <v>106</v>
      </c>
      <c r="F643" s="1">
        <v>8.8000000000000007</v>
      </c>
      <c r="G643" s="1">
        <v>12</v>
      </c>
      <c r="H643">
        <v>0.29399999999999998</v>
      </c>
      <c r="I643" s="16">
        <f>BNW[[#This Row],[Berat Satuan
(Kg)]]*BNW[[#This Row],[Qty
(Set)]]</f>
        <v>3.5279999999999996</v>
      </c>
      <c r="K643" s="1">
        <f>SUMIF(DATA_MASTER[NO. PON],BNW[[#This Row],[No.PON]],DATA_MASTER[Qty
(Unit)])</f>
        <v>1</v>
      </c>
      <c r="L643" s="16">
        <f>BNW[[#This Row],[TOTAL UNIT]]*BNW[[#This Row],[Total Berat Baut
(Kg)]]</f>
        <v>3.5279999999999996</v>
      </c>
      <c r="N643"/>
      <c r="O643" s="25"/>
    </row>
    <row r="644" spans="1:15" x14ac:dyDescent="0.3">
      <c r="A644" t="s">
        <v>1009</v>
      </c>
      <c r="B644" t="str">
        <f>IFERROR(VLOOKUP(A644,'DATA MASTER'!A:O,2,0)," ")</f>
        <v>Panel Bailey</v>
      </c>
      <c r="C644" t="str">
        <f>IFERROR(VLOOKUP(A644,'DATA MASTER'!A:O,4,0)," ")</f>
        <v>36 DSR2-EW</v>
      </c>
      <c r="D644" t="s">
        <v>140</v>
      </c>
      <c r="E644" t="s">
        <v>106</v>
      </c>
      <c r="F644" s="1">
        <v>8.8000000000000007</v>
      </c>
      <c r="G644" s="1">
        <v>192</v>
      </c>
      <c r="H644">
        <v>0.24399999999999999</v>
      </c>
      <c r="I644" s="16">
        <f>BNW[[#This Row],[Berat Satuan
(Kg)]]*BNW[[#This Row],[Qty
(Set)]]</f>
        <v>46.847999999999999</v>
      </c>
      <c r="K644" s="1">
        <f>SUMIF(DATA_MASTER[NO. PON],BNW[[#This Row],[No.PON]],DATA_MASTER[Qty
(Unit)])</f>
        <v>1</v>
      </c>
      <c r="L644" s="16">
        <f>BNW[[#This Row],[TOTAL UNIT]]*BNW[[#This Row],[Total Berat Baut
(Kg)]]</f>
        <v>46.847999999999999</v>
      </c>
      <c r="N644"/>
      <c r="O644" s="25"/>
    </row>
    <row r="645" spans="1:15" x14ac:dyDescent="0.3">
      <c r="A645" t="s">
        <v>1009</v>
      </c>
      <c r="B645" t="str">
        <f>IFERROR(VLOOKUP(A645,'DATA MASTER'!A:O,2,0)," ")</f>
        <v>Panel Bailey</v>
      </c>
      <c r="C645" t="str">
        <f>IFERROR(VLOOKUP(A645,'DATA MASTER'!A:O,4,0)," ")</f>
        <v>36 DSR2-EW</v>
      </c>
      <c r="D645" t="s">
        <v>141</v>
      </c>
      <c r="E645" t="s">
        <v>106</v>
      </c>
      <c r="F645" s="1">
        <v>8.8000000000000007</v>
      </c>
      <c r="G645" s="1">
        <v>16</v>
      </c>
      <c r="H645">
        <v>0.14000000000000001</v>
      </c>
      <c r="I645" s="16">
        <f>BNW[[#This Row],[Berat Satuan
(Kg)]]*BNW[[#This Row],[Qty
(Set)]]</f>
        <v>2.2400000000000002</v>
      </c>
      <c r="K645" s="1">
        <f>SUMIF(DATA_MASTER[NO. PON],BNW[[#This Row],[No.PON]],DATA_MASTER[Qty
(Unit)])</f>
        <v>1</v>
      </c>
      <c r="L645" s="16">
        <f>BNW[[#This Row],[TOTAL UNIT]]*BNW[[#This Row],[Total Berat Baut
(Kg)]]</f>
        <v>2.2400000000000002</v>
      </c>
      <c r="N645"/>
      <c r="O645" s="25"/>
    </row>
    <row r="646" spans="1:15" x14ac:dyDescent="0.3">
      <c r="A646" t="s">
        <v>1009</v>
      </c>
      <c r="B646" t="str">
        <f>IFERROR(VLOOKUP(A646,'DATA MASTER'!A:O,2,0)," ")</f>
        <v>Panel Bailey</v>
      </c>
      <c r="C646" t="str">
        <f>IFERROR(VLOOKUP(A646,'DATA MASTER'!A:O,4,0)," ")</f>
        <v>36 DSR2-EW</v>
      </c>
      <c r="D646" t="s">
        <v>142</v>
      </c>
      <c r="E646" t="s">
        <v>106</v>
      </c>
      <c r="F646" s="1">
        <v>8.8000000000000007</v>
      </c>
      <c r="G646" s="1">
        <v>96</v>
      </c>
      <c r="H646">
        <v>0.13600000000000001</v>
      </c>
      <c r="I646" s="16">
        <f>BNW[[#This Row],[Berat Satuan
(Kg)]]*BNW[[#This Row],[Qty
(Set)]]</f>
        <v>13.056000000000001</v>
      </c>
      <c r="K646" s="1">
        <f>SUMIF(DATA_MASTER[NO. PON],BNW[[#This Row],[No.PON]],DATA_MASTER[Qty
(Unit)])</f>
        <v>1</v>
      </c>
      <c r="L646" s="16">
        <f>BNW[[#This Row],[TOTAL UNIT]]*BNW[[#This Row],[Total Berat Baut
(Kg)]]</f>
        <v>13.056000000000001</v>
      </c>
      <c r="N646"/>
      <c r="O646" s="25"/>
    </row>
    <row r="647" spans="1:15" x14ac:dyDescent="0.3">
      <c r="A647" t="s">
        <v>1144</v>
      </c>
      <c r="B647" t="str">
        <f>IFERROR(VLOOKUP(A647,'DATA MASTER'!A:O,2,0)," ")</f>
        <v>Girder</v>
      </c>
      <c r="C647" t="str">
        <f>IFERROR(VLOOKUP(A647,'DATA MASTER'!A:O,4,0)," ")</f>
        <v>AG18.8</v>
      </c>
      <c r="D647" t="s">
        <v>584</v>
      </c>
      <c r="E647" t="s">
        <v>786</v>
      </c>
      <c r="F647" s="1">
        <v>8.8000000000000007</v>
      </c>
      <c r="G647" s="1">
        <v>404</v>
      </c>
      <c r="H647">
        <v>0.79199999999999993</v>
      </c>
      <c r="I647" s="16">
        <f>BNW[[#This Row],[Berat Satuan
(Kg)]]*BNW[[#This Row],[Qty
(Set)]]</f>
        <v>319.96799999999996</v>
      </c>
      <c r="K647" s="1">
        <f>SUMIF(DATA_MASTER[NO. PON],BNW[[#This Row],[No.PON]],DATA_MASTER[Qty
(Unit)])</f>
        <v>1</v>
      </c>
      <c r="L647" s="16">
        <f>BNW[[#This Row],[TOTAL UNIT]]*BNW[[#This Row],[Total Berat Baut
(Kg)]]</f>
        <v>319.96799999999996</v>
      </c>
      <c r="O647" s="25"/>
    </row>
    <row r="648" spans="1:15" x14ac:dyDescent="0.3">
      <c r="A648" t="s">
        <v>1144</v>
      </c>
      <c r="B648" t="str">
        <f>IFERROR(VLOOKUP(A648,'DATA MASTER'!A:O,2,0)," ")</f>
        <v>Girder</v>
      </c>
      <c r="C648" t="str">
        <f>IFERROR(VLOOKUP(A648,'DATA MASTER'!A:O,4,0)," ")</f>
        <v>AG18.8</v>
      </c>
      <c r="D648" t="s">
        <v>738</v>
      </c>
      <c r="E648" t="s">
        <v>786</v>
      </c>
      <c r="F648" s="1">
        <v>8.8000000000000007</v>
      </c>
      <c r="G648" s="1">
        <v>347</v>
      </c>
      <c r="H648">
        <v>0.7619999999999999</v>
      </c>
      <c r="I648" s="16">
        <f>BNW[[#This Row],[Berat Satuan
(Kg)]]*BNW[[#This Row],[Qty
(Set)]]</f>
        <v>264.41399999999999</v>
      </c>
      <c r="K648" s="1">
        <f>SUMIF(DATA_MASTER[NO. PON],BNW[[#This Row],[No.PON]],DATA_MASTER[Qty
(Unit)])</f>
        <v>1</v>
      </c>
      <c r="L648" s="16">
        <f>BNW[[#This Row],[TOTAL UNIT]]*BNW[[#This Row],[Total Berat Baut
(Kg)]]</f>
        <v>264.41399999999999</v>
      </c>
      <c r="N648"/>
      <c r="O648" s="25"/>
    </row>
    <row r="649" spans="1:15" x14ac:dyDescent="0.3">
      <c r="A649" t="s">
        <v>1144</v>
      </c>
      <c r="B649" t="str">
        <f>IFERROR(VLOOKUP(A649,'DATA MASTER'!A:O,2,0)," ")</f>
        <v>Girder</v>
      </c>
      <c r="C649" t="str">
        <f>IFERROR(VLOOKUP(A649,'DATA MASTER'!A:O,4,0)," ")</f>
        <v>AG18.8</v>
      </c>
      <c r="D649" t="s">
        <v>77</v>
      </c>
      <c r="E649" t="s">
        <v>786</v>
      </c>
      <c r="F649" s="1">
        <v>8.8000000000000007</v>
      </c>
      <c r="G649" s="1">
        <v>404</v>
      </c>
      <c r="H649">
        <v>0.72199999999999998</v>
      </c>
      <c r="I649" s="16">
        <f>BNW[[#This Row],[Berat Satuan
(Kg)]]*BNW[[#This Row],[Qty
(Set)]]</f>
        <v>291.68799999999999</v>
      </c>
      <c r="K649" s="1">
        <f>SUMIF(DATA_MASTER[NO. PON],BNW[[#This Row],[No.PON]],DATA_MASTER[Qty
(Unit)])</f>
        <v>1</v>
      </c>
      <c r="L649" s="16">
        <f>BNW[[#This Row],[TOTAL UNIT]]*BNW[[#This Row],[Total Berat Baut
(Kg)]]</f>
        <v>291.68799999999999</v>
      </c>
      <c r="N649"/>
      <c r="O649" s="25"/>
    </row>
    <row r="650" spans="1:15" x14ac:dyDescent="0.3">
      <c r="A650" t="s">
        <v>1144</v>
      </c>
      <c r="B650" t="str">
        <f>IFERROR(VLOOKUP(A650,'DATA MASTER'!A:O,2,0)," ")</f>
        <v>Girder</v>
      </c>
      <c r="C650" t="str">
        <f>IFERROR(VLOOKUP(A650,'DATA MASTER'!A:O,4,0)," ")</f>
        <v>AG18.8</v>
      </c>
      <c r="D650" t="s">
        <v>79</v>
      </c>
      <c r="E650" t="s">
        <v>786</v>
      </c>
      <c r="F650" s="1">
        <v>8.8000000000000007</v>
      </c>
      <c r="G650" s="1">
        <v>693</v>
      </c>
      <c r="H650">
        <v>0.63200000000000001</v>
      </c>
      <c r="I650" s="16">
        <f>BNW[[#This Row],[Berat Satuan
(Kg)]]*BNW[[#This Row],[Qty
(Set)]]</f>
        <v>437.976</v>
      </c>
      <c r="K650" s="1">
        <f>SUMIF(DATA_MASTER[NO. PON],BNW[[#This Row],[No.PON]],DATA_MASTER[Qty
(Unit)])</f>
        <v>1</v>
      </c>
      <c r="L650" s="16">
        <f>BNW[[#This Row],[TOTAL UNIT]]*BNW[[#This Row],[Total Berat Baut
(Kg)]]</f>
        <v>437.976</v>
      </c>
      <c r="N650"/>
      <c r="O650" s="25"/>
    </row>
    <row r="651" spans="1:15" x14ac:dyDescent="0.3">
      <c r="A651" t="s">
        <v>1144</v>
      </c>
      <c r="B651" t="str">
        <f>IFERROR(VLOOKUP(A651,'DATA MASTER'!A:O,2,0)," ")</f>
        <v>Girder</v>
      </c>
      <c r="C651" t="str">
        <f>IFERROR(VLOOKUP(A651,'DATA MASTER'!A:O,4,0)," ")</f>
        <v>AG18.8</v>
      </c>
      <c r="D651" t="s">
        <v>81</v>
      </c>
      <c r="E651" t="s">
        <v>106</v>
      </c>
      <c r="F651" s="1">
        <v>8.8000000000000007</v>
      </c>
      <c r="G651" s="1">
        <v>445</v>
      </c>
      <c r="H651">
        <v>0.26400000000000001</v>
      </c>
      <c r="I651" s="16">
        <f>BNW[[#This Row],[Berat Satuan
(Kg)]]*BNW[[#This Row],[Qty
(Set)]]</f>
        <v>117.48</v>
      </c>
      <c r="K651" s="1">
        <f>SUMIF(DATA_MASTER[NO. PON],BNW[[#This Row],[No.PON]],DATA_MASTER[Qty
(Unit)])</f>
        <v>1</v>
      </c>
      <c r="L651" s="16">
        <f>BNW[[#This Row],[TOTAL UNIT]]*BNW[[#This Row],[Total Berat Baut
(Kg)]]</f>
        <v>117.48</v>
      </c>
      <c r="N651"/>
      <c r="O651" s="25"/>
    </row>
    <row r="652" spans="1:15" x14ac:dyDescent="0.3">
      <c r="A652" t="s">
        <v>1144</v>
      </c>
      <c r="B652" t="str">
        <f>IFERROR(VLOOKUP(A652,'DATA MASTER'!A:O,2,0)," ")</f>
        <v>Girder</v>
      </c>
      <c r="C652" t="str">
        <f>IFERROR(VLOOKUP(A652,'DATA MASTER'!A:O,4,0)," ")</f>
        <v>AG18.8</v>
      </c>
      <c r="D652" t="s">
        <v>202</v>
      </c>
      <c r="E652" t="s">
        <v>106</v>
      </c>
      <c r="F652" s="1">
        <v>8.8000000000000007</v>
      </c>
      <c r="G652" s="1">
        <v>17</v>
      </c>
      <c r="H652">
        <v>0.15400000000000003</v>
      </c>
      <c r="I652" s="16">
        <f>BNW[[#This Row],[Berat Satuan
(Kg)]]*BNW[[#This Row],[Qty
(Set)]]</f>
        <v>2.6180000000000003</v>
      </c>
      <c r="K652" s="1">
        <f>SUMIF(DATA_MASTER[NO. PON],BNW[[#This Row],[No.PON]],DATA_MASTER[Qty
(Unit)])</f>
        <v>1</v>
      </c>
      <c r="L652" s="16">
        <f>BNW[[#This Row],[TOTAL UNIT]]*BNW[[#This Row],[Total Berat Baut
(Kg)]]</f>
        <v>2.6180000000000003</v>
      </c>
      <c r="N652"/>
      <c r="O652" s="25"/>
    </row>
    <row r="653" spans="1:15" x14ac:dyDescent="0.3">
      <c r="A653" t="s">
        <v>1144</v>
      </c>
      <c r="B653" t="str">
        <f>IFERROR(VLOOKUP(A653,'DATA MASTER'!A:O,2,0)," ")</f>
        <v>Girder</v>
      </c>
      <c r="C653" t="str">
        <f>IFERROR(VLOOKUP(A653,'DATA MASTER'!A:O,4,0)," ")</f>
        <v>AG18.8</v>
      </c>
      <c r="D653" t="s">
        <v>83</v>
      </c>
      <c r="E653" t="s">
        <v>106</v>
      </c>
      <c r="F653" s="1">
        <v>8.8000000000000007</v>
      </c>
      <c r="G653" s="1">
        <v>9</v>
      </c>
      <c r="H653">
        <v>8.1000000000000003E-2</v>
      </c>
      <c r="I653" s="16">
        <f>BNW[[#This Row],[Berat Satuan
(Kg)]]*BNW[[#This Row],[Qty
(Set)]]</f>
        <v>0.72899999999999998</v>
      </c>
      <c r="K653" s="1">
        <f>SUMIF(DATA_MASTER[NO. PON],BNW[[#This Row],[No.PON]],DATA_MASTER[Qty
(Unit)])</f>
        <v>1</v>
      </c>
      <c r="L653" s="16">
        <f>BNW[[#This Row],[TOTAL UNIT]]*BNW[[#This Row],[Total Berat Baut
(Kg)]]</f>
        <v>0.72899999999999998</v>
      </c>
      <c r="N653"/>
      <c r="O653" s="25"/>
    </row>
    <row r="654" spans="1:15" x14ac:dyDescent="0.3">
      <c r="A654" t="s">
        <v>1144</v>
      </c>
      <c r="B654" t="str">
        <f>IFERROR(VLOOKUP(A654,'DATA MASTER'!A:O,2,0)," ")</f>
        <v>Girder</v>
      </c>
      <c r="C654" t="str">
        <f>IFERROR(VLOOKUP(A654,'DATA MASTER'!A:O,4,0)," ")</f>
        <v>AG18.8</v>
      </c>
      <c r="D654" t="s">
        <v>477</v>
      </c>
      <c r="E654" t="s">
        <v>106</v>
      </c>
      <c r="F654" s="1">
        <v>8.8000000000000007</v>
      </c>
      <c r="G654" s="1">
        <v>520</v>
      </c>
      <c r="H654">
        <v>6.8000000000000005E-2</v>
      </c>
      <c r="I654" s="16">
        <f>BNW[[#This Row],[Berat Satuan
(Kg)]]*BNW[[#This Row],[Qty
(Set)]]</f>
        <v>35.36</v>
      </c>
      <c r="K654" s="1">
        <f>SUMIF(DATA_MASTER[NO. PON],BNW[[#This Row],[No.PON]],DATA_MASTER[Qty
(Unit)])</f>
        <v>1</v>
      </c>
      <c r="L654" s="16">
        <f>BNW[[#This Row],[TOTAL UNIT]]*BNW[[#This Row],[Total Berat Baut
(Kg)]]</f>
        <v>35.36</v>
      </c>
      <c r="N654"/>
      <c r="O654" s="25"/>
    </row>
    <row r="655" spans="1:15" x14ac:dyDescent="0.3">
      <c r="A655" t="s">
        <v>1144</v>
      </c>
      <c r="B655" t="str">
        <f>IFERROR(VLOOKUP(A655,'DATA MASTER'!A:O,2,0)," ")</f>
        <v>Girder</v>
      </c>
      <c r="C655" t="str">
        <f>IFERROR(VLOOKUP(A655,'DATA MASTER'!A:O,4,0)," ")</f>
        <v>AG18.8</v>
      </c>
      <c r="D655" t="s">
        <v>207</v>
      </c>
      <c r="E655" t="s">
        <v>106</v>
      </c>
      <c r="F655" s="1">
        <v>8.8000000000000007</v>
      </c>
      <c r="G655" s="1">
        <v>124</v>
      </c>
      <c r="H655">
        <v>0.04</v>
      </c>
      <c r="I655" s="16">
        <f>BNW[[#This Row],[Berat Satuan
(Kg)]]*BNW[[#This Row],[Qty
(Set)]]</f>
        <v>4.96</v>
      </c>
      <c r="K655" s="1">
        <f>SUMIF(DATA_MASTER[NO. PON],BNW[[#This Row],[No.PON]],DATA_MASTER[Qty
(Unit)])</f>
        <v>1</v>
      </c>
      <c r="L655" s="16">
        <f>BNW[[#This Row],[TOTAL UNIT]]*BNW[[#This Row],[Total Berat Baut
(Kg)]]</f>
        <v>4.96</v>
      </c>
      <c r="N655"/>
      <c r="O655" s="25"/>
    </row>
    <row r="656" spans="1:15" x14ac:dyDescent="0.3">
      <c r="A656" t="s">
        <v>1126</v>
      </c>
      <c r="B656" t="str">
        <f>IFERROR(VLOOKUP(A656,'DATA MASTER'!A:O,2,0)," ")</f>
        <v>Truss Modullar</v>
      </c>
      <c r="C656" t="str">
        <f>IFERROR(VLOOKUP(A656,'DATA MASTER'!A:O,4,0)," ")</f>
        <v>RB40</v>
      </c>
      <c r="D656" t="s">
        <v>281</v>
      </c>
      <c r="E656" t="s">
        <v>786</v>
      </c>
      <c r="F656" s="1">
        <v>8.8000000000000007</v>
      </c>
      <c r="G656" s="1">
        <v>58</v>
      </c>
      <c r="H656">
        <v>0.40700000000000003</v>
      </c>
      <c r="I656" s="16">
        <f>BNW[[#This Row],[Berat Satuan
(Kg)]]*BNW[[#This Row],[Qty
(Set)]]</f>
        <v>23.606000000000002</v>
      </c>
      <c r="K656" s="1">
        <f>SUMIF(DATA_MASTER[NO. PON],BNW[[#This Row],[No.PON]],DATA_MASTER[Qty
(Unit)])</f>
        <v>1</v>
      </c>
      <c r="L656" s="16">
        <f>BNW[[#This Row],[TOTAL UNIT]]*BNW[[#This Row],[Total Berat Baut
(Kg)]]</f>
        <v>23.606000000000002</v>
      </c>
      <c r="O656" s="25"/>
    </row>
    <row r="657" spans="1:15" x14ac:dyDescent="0.3">
      <c r="A657" t="s">
        <v>1126</v>
      </c>
      <c r="B657" t="str">
        <f>IFERROR(VLOOKUP(A657,'DATA MASTER'!A:O,2,0)," ")</f>
        <v>Truss Modullar</v>
      </c>
      <c r="C657" t="str">
        <f>IFERROR(VLOOKUP(A657,'DATA MASTER'!A:O,4,0)," ")</f>
        <v>RB40</v>
      </c>
      <c r="D657" t="s">
        <v>282</v>
      </c>
      <c r="E657" t="s">
        <v>786</v>
      </c>
      <c r="F657" s="1">
        <v>8.8000000000000007</v>
      </c>
      <c r="G657" s="1">
        <v>206</v>
      </c>
      <c r="H657">
        <v>0.38700000000000001</v>
      </c>
      <c r="I657" s="16">
        <f>BNW[[#This Row],[Berat Satuan
(Kg)]]*BNW[[#This Row],[Qty
(Set)]]</f>
        <v>79.722000000000008</v>
      </c>
      <c r="K657" s="1">
        <f>SUMIF(DATA_MASTER[NO. PON],BNW[[#This Row],[No.PON]],DATA_MASTER[Qty
(Unit)])</f>
        <v>1</v>
      </c>
      <c r="L657" s="16">
        <f>BNW[[#This Row],[TOTAL UNIT]]*BNW[[#This Row],[Total Berat Baut
(Kg)]]</f>
        <v>79.722000000000008</v>
      </c>
      <c r="N657"/>
      <c r="O657" s="25"/>
    </row>
    <row r="658" spans="1:15" x14ac:dyDescent="0.3">
      <c r="A658" t="s">
        <v>1126</v>
      </c>
      <c r="B658" t="str">
        <f>IFERROR(VLOOKUP(A658,'DATA MASTER'!A:O,2,0)," ")</f>
        <v>Truss Modullar</v>
      </c>
      <c r="C658" t="str">
        <f>IFERROR(VLOOKUP(A658,'DATA MASTER'!A:O,4,0)," ")</f>
        <v>RB40</v>
      </c>
      <c r="D658" t="s">
        <v>85</v>
      </c>
      <c r="E658" t="s">
        <v>786</v>
      </c>
      <c r="F658" s="1">
        <v>8.8000000000000007</v>
      </c>
      <c r="G658" s="1">
        <v>231</v>
      </c>
      <c r="H658">
        <v>0.36699999999999999</v>
      </c>
      <c r="I658" s="16">
        <f>BNW[[#This Row],[Berat Satuan
(Kg)]]*BNW[[#This Row],[Qty
(Set)]]</f>
        <v>84.777000000000001</v>
      </c>
      <c r="K658" s="1">
        <f>SUMIF(DATA_MASTER[NO. PON],BNW[[#This Row],[No.PON]],DATA_MASTER[Qty
(Unit)])</f>
        <v>1</v>
      </c>
      <c r="L658" s="16">
        <f>BNW[[#This Row],[TOTAL UNIT]]*BNW[[#This Row],[Total Berat Baut
(Kg)]]</f>
        <v>84.777000000000001</v>
      </c>
      <c r="N658"/>
      <c r="O658" s="25"/>
    </row>
    <row r="659" spans="1:15" x14ac:dyDescent="0.3">
      <c r="A659" t="s">
        <v>1126</v>
      </c>
      <c r="B659" t="str">
        <f>IFERROR(VLOOKUP(A659,'DATA MASTER'!A:O,2,0)," ")</f>
        <v>Truss Modullar</v>
      </c>
      <c r="C659" t="str">
        <f>IFERROR(VLOOKUP(A659,'DATA MASTER'!A:O,4,0)," ")</f>
        <v>RB40</v>
      </c>
      <c r="D659" t="s">
        <v>86</v>
      </c>
      <c r="E659" t="s">
        <v>786</v>
      </c>
      <c r="F659" s="1">
        <v>8.8000000000000007</v>
      </c>
      <c r="G659" s="1">
        <v>1525</v>
      </c>
      <c r="H659">
        <v>0.35700000000000004</v>
      </c>
      <c r="I659" s="16">
        <f>BNW[[#This Row],[Berat Satuan
(Kg)]]*BNW[[#This Row],[Qty
(Set)]]</f>
        <v>544.42500000000007</v>
      </c>
      <c r="K659" s="1">
        <f>SUMIF(DATA_MASTER[NO. PON],BNW[[#This Row],[No.PON]],DATA_MASTER[Qty
(Unit)])</f>
        <v>1</v>
      </c>
      <c r="L659" s="16">
        <f>BNW[[#This Row],[TOTAL UNIT]]*BNW[[#This Row],[Total Berat Baut
(Kg)]]</f>
        <v>544.42500000000007</v>
      </c>
      <c r="N659"/>
      <c r="O659" s="25"/>
    </row>
    <row r="660" spans="1:15" x14ac:dyDescent="0.3">
      <c r="A660" t="s">
        <v>1126</v>
      </c>
      <c r="B660" t="str">
        <f>IFERROR(VLOOKUP(A660,'DATA MASTER'!A:O,2,0)," ")</f>
        <v>Truss Modullar</v>
      </c>
      <c r="C660" t="str">
        <f>IFERROR(VLOOKUP(A660,'DATA MASTER'!A:O,4,0)," ")</f>
        <v>RB40</v>
      </c>
      <c r="D660" t="s">
        <v>283</v>
      </c>
      <c r="E660" t="s">
        <v>786</v>
      </c>
      <c r="F660" s="1">
        <v>8.8000000000000007</v>
      </c>
      <c r="G660" s="1">
        <v>952</v>
      </c>
      <c r="H660">
        <v>0.34700000000000003</v>
      </c>
      <c r="I660" s="16">
        <f>BNW[[#This Row],[Berat Satuan
(Kg)]]*BNW[[#This Row],[Qty
(Set)]]</f>
        <v>330.34400000000005</v>
      </c>
      <c r="K660" s="1">
        <f>SUMIF(DATA_MASTER[NO. PON],BNW[[#This Row],[No.PON]],DATA_MASTER[Qty
(Unit)])</f>
        <v>1</v>
      </c>
      <c r="L660" s="16">
        <f>BNW[[#This Row],[TOTAL UNIT]]*BNW[[#This Row],[Total Berat Baut
(Kg)]]</f>
        <v>330.34400000000005</v>
      </c>
      <c r="N660"/>
      <c r="O660" s="25"/>
    </row>
    <row r="661" spans="1:15" x14ac:dyDescent="0.3">
      <c r="A661" t="s">
        <v>1126</v>
      </c>
      <c r="B661" t="str">
        <f>IFERROR(VLOOKUP(A661,'DATA MASTER'!A:O,2,0)," ")</f>
        <v>Truss Modullar</v>
      </c>
      <c r="C661" t="str">
        <f>IFERROR(VLOOKUP(A661,'DATA MASTER'!A:O,4,0)," ")</f>
        <v>RB40</v>
      </c>
      <c r="D661" t="s">
        <v>80</v>
      </c>
      <c r="E661" t="s">
        <v>786</v>
      </c>
      <c r="F661" s="1">
        <v>8.8000000000000007</v>
      </c>
      <c r="G661" s="1">
        <v>1747</v>
      </c>
      <c r="H661">
        <v>0.32700000000000001</v>
      </c>
      <c r="I661" s="16">
        <f>BNW[[#This Row],[Berat Satuan
(Kg)]]*BNW[[#This Row],[Qty
(Set)]]</f>
        <v>571.26900000000001</v>
      </c>
      <c r="K661" s="1">
        <f>SUMIF(DATA_MASTER[NO. PON],BNW[[#This Row],[No.PON]],DATA_MASTER[Qty
(Unit)])</f>
        <v>1</v>
      </c>
      <c r="L661" s="16">
        <f>BNW[[#This Row],[TOTAL UNIT]]*BNW[[#This Row],[Total Berat Baut
(Kg)]]</f>
        <v>571.26900000000001</v>
      </c>
      <c r="N661"/>
      <c r="O661" s="25"/>
    </row>
    <row r="662" spans="1:15" x14ac:dyDescent="0.3">
      <c r="A662" t="s">
        <v>1126</v>
      </c>
      <c r="B662" t="str">
        <f>IFERROR(VLOOKUP(A662,'DATA MASTER'!A:O,2,0)," ")</f>
        <v>Truss Modullar</v>
      </c>
      <c r="C662" t="str">
        <f>IFERROR(VLOOKUP(A662,'DATA MASTER'!A:O,4,0)," ")</f>
        <v>RB40</v>
      </c>
      <c r="D662" t="s">
        <v>81</v>
      </c>
      <c r="E662" t="s">
        <v>786</v>
      </c>
      <c r="F662" s="1">
        <v>8.8000000000000007</v>
      </c>
      <c r="G662" s="1">
        <v>1434</v>
      </c>
      <c r="H662">
        <v>0.317</v>
      </c>
      <c r="I662" s="16">
        <f>BNW[[#This Row],[Berat Satuan
(Kg)]]*BNW[[#This Row],[Qty
(Set)]]</f>
        <v>454.57800000000003</v>
      </c>
      <c r="K662" s="1">
        <f>SUMIF(DATA_MASTER[NO. PON],BNW[[#This Row],[No.PON]],DATA_MASTER[Qty
(Unit)])</f>
        <v>1</v>
      </c>
      <c r="L662" s="16">
        <f>BNW[[#This Row],[TOTAL UNIT]]*BNW[[#This Row],[Total Berat Baut
(Kg)]]</f>
        <v>454.57800000000003</v>
      </c>
      <c r="N662"/>
      <c r="O662" s="25"/>
    </row>
    <row r="663" spans="1:15" x14ac:dyDescent="0.3">
      <c r="A663" t="s">
        <v>1126</v>
      </c>
      <c r="B663" t="str">
        <f>IFERROR(VLOOKUP(A663,'DATA MASTER'!A:O,2,0)," ")</f>
        <v>Truss Modullar</v>
      </c>
      <c r="C663" t="str">
        <f>IFERROR(VLOOKUP(A663,'DATA MASTER'!A:O,4,0)," ")</f>
        <v>RB40</v>
      </c>
      <c r="D663" t="s">
        <v>82</v>
      </c>
      <c r="E663" t="s">
        <v>786</v>
      </c>
      <c r="F663" s="1">
        <v>8.8000000000000007</v>
      </c>
      <c r="G663" s="1">
        <v>91</v>
      </c>
      <c r="H663">
        <v>0.307</v>
      </c>
      <c r="I663" s="16">
        <f>BNW[[#This Row],[Berat Satuan
(Kg)]]*BNW[[#This Row],[Qty
(Set)]]</f>
        <v>27.937000000000001</v>
      </c>
      <c r="K663" s="1">
        <f>SUMIF(DATA_MASTER[NO. PON],BNW[[#This Row],[No.PON]],DATA_MASTER[Qty
(Unit)])</f>
        <v>1</v>
      </c>
      <c r="L663" s="16">
        <f>BNW[[#This Row],[TOTAL UNIT]]*BNW[[#This Row],[Total Berat Baut
(Kg)]]</f>
        <v>27.937000000000001</v>
      </c>
      <c r="N663"/>
      <c r="O663" s="25"/>
    </row>
    <row r="664" spans="1:15" x14ac:dyDescent="0.3">
      <c r="A664" t="s">
        <v>1126</v>
      </c>
      <c r="B664" t="str">
        <f>IFERROR(VLOOKUP(A664,'DATA MASTER'!A:O,2,0)," ")</f>
        <v>Truss Modullar</v>
      </c>
      <c r="C664" t="str">
        <f>IFERROR(VLOOKUP(A664,'DATA MASTER'!A:O,4,0)," ")</f>
        <v>RB40</v>
      </c>
      <c r="D664" t="s">
        <v>284</v>
      </c>
      <c r="E664" t="s">
        <v>106</v>
      </c>
      <c r="F664" s="1">
        <v>8.8000000000000007</v>
      </c>
      <c r="G664" s="1">
        <v>25</v>
      </c>
      <c r="H664">
        <v>8.6000000000000007E-2</v>
      </c>
      <c r="I664" s="16">
        <f>BNW[[#This Row],[Berat Satuan
(Kg)]]*BNW[[#This Row],[Qty
(Set)]]</f>
        <v>2.1500000000000004</v>
      </c>
      <c r="K664" s="1">
        <f>SUMIF(DATA_MASTER[NO. PON],BNW[[#This Row],[No.PON]],DATA_MASTER[Qty
(Unit)])</f>
        <v>1</v>
      </c>
      <c r="L664" s="16">
        <f>BNW[[#This Row],[TOTAL UNIT]]*BNW[[#This Row],[Total Berat Baut
(Kg)]]</f>
        <v>2.1500000000000004</v>
      </c>
      <c r="N664"/>
      <c r="O664" s="25"/>
    </row>
    <row r="665" spans="1:15" x14ac:dyDescent="0.3">
      <c r="A665" t="s">
        <v>1126</v>
      </c>
      <c r="B665" t="str">
        <f>IFERROR(VLOOKUP(A665,'DATA MASTER'!A:O,2,0)," ")</f>
        <v>Truss Modullar</v>
      </c>
      <c r="C665" t="str">
        <f>IFERROR(VLOOKUP(A665,'DATA MASTER'!A:O,4,0)," ")</f>
        <v>RB40</v>
      </c>
      <c r="D665" t="s">
        <v>89</v>
      </c>
      <c r="E665" t="s">
        <v>106</v>
      </c>
      <c r="F665" s="1">
        <v>8.8000000000000007</v>
      </c>
      <c r="G665" s="1">
        <v>425</v>
      </c>
      <c r="H665">
        <v>6.8000000000000005E-2</v>
      </c>
      <c r="I665" s="16">
        <f>BNW[[#This Row],[Berat Satuan
(Kg)]]*BNW[[#This Row],[Qty
(Set)]]</f>
        <v>28.900000000000002</v>
      </c>
      <c r="K665" s="1">
        <f>SUMIF(DATA_MASTER[NO. PON],BNW[[#This Row],[No.PON]],DATA_MASTER[Qty
(Unit)])</f>
        <v>1</v>
      </c>
      <c r="L665" s="16">
        <f>BNW[[#This Row],[TOTAL UNIT]]*BNW[[#This Row],[Total Berat Baut
(Kg)]]</f>
        <v>28.900000000000002</v>
      </c>
      <c r="N665"/>
      <c r="O665" s="25"/>
    </row>
    <row r="666" spans="1:15" x14ac:dyDescent="0.3">
      <c r="A666" t="s">
        <v>1126</v>
      </c>
      <c r="B666" t="str">
        <f>IFERROR(VLOOKUP(A666,'DATA MASTER'!A:O,2,0)," ")</f>
        <v>Truss Modullar</v>
      </c>
      <c r="C666" t="str">
        <f>IFERROR(VLOOKUP(A666,'DATA MASTER'!A:O,4,0)," ")</f>
        <v>RB40</v>
      </c>
      <c r="D666" t="s">
        <v>205</v>
      </c>
      <c r="E666" t="s">
        <v>106</v>
      </c>
      <c r="F666" s="1">
        <v>8.8000000000000007</v>
      </c>
      <c r="G666" s="1">
        <v>112</v>
      </c>
      <c r="H666">
        <v>6.3E-2</v>
      </c>
      <c r="I666" s="16">
        <f>BNW[[#This Row],[Berat Satuan
(Kg)]]*BNW[[#This Row],[Qty
(Set)]]</f>
        <v>7.056</v>
      </c>
      <c r="K666" s="1">
        <f>SUMIF(DATA_MASTER[NO. PON],BNW[[#This Row],[No.PON]],DATA_MASTER[Qty
(Unit)])</f>
        <v>1</v>
      </c>
      <c r="L666" s="16">
        <f>BNW[[#This Row],[TOTAL UNIT]]*BNW[[#This Row],[Total Berat Baut
(Kg)]]</f>
        <v>7.056</v>
      </c>
      <c r="N666"/>
      <c r="O666" s="25"/>
    </row>
    <row r="667" spans="1:15" x14ac:dyDescent="0.3">
      <c r="A667" t="s">
        <v>1126</v>
      </c>
      <c r="B667" t="str">
        <f>IFERROR(VLOOKUP(A667,'DATA MASTER'!A:O,2,0)," ")</f>
        <v>Truss Modullar</v>
      </c>
      <c r="C667" t="str">
        <f>IFERROR(VLOOKUP(A667,'DATA MASTER'!A:O,4,0)," ")</f>
        <v>RB40</v>
      </c>
      <c r="D667" t="s">
        <v>206</v>
      </c>
      <c r="E667" t="s">
        <v>106</v>
      </c>
      <c r="F667" s="1">
        <v>8.8000000000000007</v>
      </c>
      <c r="G667" s="1">
        <v>1158</v>
      </c>
      <c r="H667">
        <v>5.9000000000000004E-2</v>
      </c>
      <c r="I667" s="16">
        <f>BNW[[#This Row],[Berat Satuan
(Kg)]]*BNW[[#This Row],[Qty
(Set)]]</f>
        <v>68.322000000000003</v>
      </c>
      <c r="K667" s="1">
        <f>SUMIF(DATA_MASTER[NO. PON],BNW[[#This Row],[No.PON]],DATA_MASTER[Qty
(Unit)])</f>
        <v>1</v>
      </c>
      <c r="L667" s="16">
        <f>BNW[[#This Row],[TOTAL UNIT]]*BNW[[#This Row],[Total Berat Baut
(Kg)]]</f>
        <v>68.322000000000003</v>
      </c>
      <c r="N667"/>
      <c r="O667" s="25"/>
    </row>
    <row r="668" spans="1:15" x14ac:dyDescent="0.3">
      <c r="A668" t="s">
        <v>1130</v>
      </c>
      <c r="B668" t="str">
        <f>IFERROR(VLOOKUP(A668,'DATA MASTER'!A:O,2,0)," ")</f>
        <v>Truss Modullar</v>
      </c>
      <c r="C668" t="str">
        <f>IFERROR(VLOOKUP(A668,'DATA MASTER'!A:O,4,0)," ")</f>
        <v>RB30</v>
      </c>
      <c r="D668" t="s">
        <v>282</v>
      </c>
      <c r="E668" t="s">
        <v>786</v>
      </c>
      <c r="F668" s="1">
        <v>8.8000000000000007</v>
      </c>
      <c r="G668" s="1">
        <v>136</v>
      </c>
      <c r="H668">
        <v>0.38700000000000001</v>
      </c>
      <c r="I668" s="16">
        <f>BNW[[#This Row],[Berat Satuan
(Kg)]]*BNW[[#This Row],[Qty
(Set)]]</f>
        <v>52.632000000000005</v>
      </c>
      <c r="K668" s="1">
        <f>SUMIF(DATA_MASTER[NO. PON],BNW[[#This Row],[No.PON]],DATA_MASTER[Qty
(Unit)])</f>
        <v>1</v>
      </c>
      <c r="L668" s="16">
        <f>BNW[[#This Row],[TOTAL UNIT]]*BNW[[#This Row],[Total Berat Baut
(Kg)]]</f>
        <v>52.632000000000005</v>
      </c>
      <c r="O668" s="25"/>
    </row>
    <row r="669" spans="1:15" x14ac:dyDescent="0.3">
      <c r="A669" t="s">
        <v>1130</v>
      </c>
      <c r="B669" t="str">
        <f>IFERROR(VLOOKUP(A669,'DATA MASTER'!A:O,2,0)," ")</f>
        <v>Truss Modullar</v>
      </c>
      <c r="C669" t="str">
        <f>IFERROR(VLOOKUP(A669,'DATA MASTER'!A:O,4,0)," ")</f>
        <v>RB30</v>
      </c>
      <c r="D669" t="s">
        <v>85</v>
      </c>
      <c r="E669" t="s">
        <v>786</v>
      </c>
      <c r="F669" s="1">
        <v>8.8000000000000007</v>
      </c>
      <c r="G669" s="1">
        <v>211</v>
      </c>
      <c r="H669">
        <v>0.36699999999999999</v>
      </c>
      <c r="I669" s="16">
        <f>BNW[[#This Row],[Berat Satuan
(Kg)]]*BNW[[#This Row],[Qty
(Set)]]</f>
        <v>77.436999999999998</v>
      </c>
      <c r="K669" s="1">
        <f>SUMIF(DATA_MASTER[NO. PON],BNW[[#This Row],[No.PON]],DATA_MASTER[Qty
(Unit)])</f>
        <v>1</v>
      </c>
      <c r="L669" s="16">
        <f>BNW[[#This Row],[TOTAL UNIT]]*BNW[[#This Row],[Total Berat Baut
(Kg)]]</f>
        <v>77.436999999999998</v>
      </c>
      <c r="N669"/>
      <c r="O669" s="25"/>
    </row>
    <row r="670" spans="1:15" x14ac:dyDescent="0.3">
      <c r="A670" t="s">
        <v>1130</v>
      </c>
      <c r="B670" t="str">
        <f>IFERROR(VLOOKUP(A670,'DATA MASTER'!A:O,2,0)," ")</f>
        <v>Truss Modullar</v>
      </c>
      <c r="C670" t="str">
        <f>IFERROR(VLOOKUP(A670,'DATA MASTER'!A:O,4,0)," ")</f>
        <v>RB30</v>
      </c>
      <c r="D670" t="s">
        <v>86</v>
      </c>
      <c r="E670" t="s">
        <v>786</v>
      </c>
      <c r="F670" s="1">
        <v>8.8000000000000007</v>
      </c>
      <c r="G670" s="1">
        <v>198</v>
      </c>
      <c r="H670">
        <v>0.35700000000000004</v>
      </c>
      <c r="I670" s="16">
        <f>BNW[[#This Row],[Berat Satuan
(Kg)]]*BNW[[#This Row],[Qty
(Set)]]</f>
        <v>70.686000000000007</v>
      </c>
      <c r="K670" s="1">
        <f>SUMIF(DATA_MASTER[NO. PON],BNW[[#This Row],[No.PON]],DATA_MASTER[Qty
(Unit)])</f>
        <v>1</v>
      </c>
      <c r="L670" s="16">
        <f>BNW[[#This Row],[TOTAL UNIT]]*BNW[[#This Row],[Total Berat Baut
(Kg)]]</f>
        <v>70.686000000000007</v>
      </c>
      <c r="N670"/>
      <c r="O670" s="25"/>
    </row>
    <row r="671" spans="1:15" x14ac:dyDescent="0.3">
      <c r="A671" t="s">
        <v>1130</v>
      </c>
      <c r="B671" t="str">
        <f>IFERROR(VLOOKUP(A671,'DATA MASTER'!A:O,2,0)," ")</f>
        <v>Truss Modullar</v>
      </c>
      <c r="C671" t="str">
        <f>IFERROR(VLOOKUP(A671,'DATA MASTER'!A:O,4,0)," ")</f>
        <v>RB30</v>
      </c>
      <c r="D671" t="s">
        <v>283</v>
      </c>
      <c r="E671" t="s">
        <v>786</v>
      </c>
      <c r="F671" s="1">
        <v>8.8000000000000007</v>
      </c>
      <c r="G671" s="1">
        <v>1154</v>
      </c>
      <c r="H671">
        <v>0.34700000000000003</v>
      </c>
      <c r="I671" s="16">
        <f>BNW[[#This Row],[Berat Satuan
(Kg)]]*BNW[[#This Row],[Qty
(Set)]]</f>
        <v>400.43800000000005</v>
      </c>
      <c r="K671" s="1">
        <f>SUMIF(DATA_MASTER[NO. PON],BNW[[#This Row],[No.PON]],DATA_MASTER[Qty
(Unit)])</f>
        <v>1</v>
      </c>
      <c r="L671" s="16">
        <f>BNW[[#This Row],[TOTAL UNIT]]*BNW[[#This Row],[Total Berat Baut
(Kg)]]</f>
        <v>400.43800000000005</v>
      </c>
      <c r="N671"/>
      <c r="O671" s="25"/>
    </row>
    <row r="672" spans="1:15" x14ac:dyDescent="0.3">
      <c r="A672" t="s">
        <v>1130</v>
      </c>
      <c r="B672" t="str">
        <f>IFERROR(VLOOKUP(A672,'DATA MASTER'!A:O,2,0)," ")</f>
        <v>Truss Modullar</v>
      </c>
      <c r="C672" t="str">
        <f>IFERROR(VLOOKUP(A672,'DATA MASTER'!A:O,4,0)," ")</f>
        <v>RB30</v>
      </c>
      <c r="D672" t="s">
        <v>80</v>
      </c>
      <c r="E672" t="s">
        <v>786</v>
      </c>
      <c r="F672" s="1">
        <v>8.8000000000000007</v>
      </c>
      <c r="G672" s="1">
        <v>1424</v>
      </c>
      <c r="H672">
        <v>0.32700000000000001</v>
      </c>
      <c r="I672" s="16">
        <f>BNW[[#This Row],[Berat Satuan
(Kg)]]*BNW[[#This Row],[Qty
(Set)]]</f>
        <v>465.64800000000002</v>
      </c>
      <c r="K672" s="1">
        <f>SUMIF(DATA_MASTER[NO. PON],BNW[[#This Row],[No.PON]],DATA_MASTER[Qty
(Unit)])</f>
        <v>1</v>
      </c>
      <c r="L672" s="16">
        <f>BNW[[#This Row],[TOTAL UNIT]]*BNW[[#This Row],[Total Berat Baut
(Kg)]]</f>
        <v>465.64800000000002</v>
      </c>
      <c r="N672"/>
      <c r="O672" s="25"/>
    </row>
    <row r="673" spans="1:15" x14ac:dyDescent="0.3">
      <c r="A673" t="s">
        <v>1130</v>
      </c>
      <c r="B673" t="str">
        <f>IFERROR(VLOOKUP(A673,'DATA MASTER'!A:O,2,0)," ")</f>
        <v>Truss Modullar</v>
      </c>
      <c r="C673" t="str">
        <f>IFERROR(VLOOKUP(A673,'DATA MASTER'!A:O,4,0)," ")</f>
        <v>RB30</v>
      </c>
      <c r="D673" t="s">
        <v>81</v>
      </c>
      <c r="E673" t="s">
        <v>786</v>
      </c>
      <c r="F673" s="1">
        <v>8.8000000000000007</v>
      </c>
      <c r="G673" s="1">
        <v>1220</v>
      </c>
      <c r="H673">
        <v>0.317</v>
      </c>
      <c r="I673" s="16">
        <f>BNW[[#This Row],[Berat Satuan
(Kg)]]*BNW[[#This Row],[Qty
(Set)]]</f>
        <v>386.74</v>
      </c>
      <c r="K673" s="1">
        <f>SUMIF(DATA_MASTER[NO. PON],BNW[[#This Row],[No.PON]],DATA_MASTER[Qty
(Unit)])</f>
        <v>1</v>
      </c>
      <c r="L673" s="16">
        <f>BNW[[#This Row],[TOTAL UNIT]]*BNW[[#This Row],[Total Berat Baut
(Kg)]]</f>
        <v>386.74</v>
      </c>
      <c r="N673"/>
      <c r="O673" s="25"/>
    </row>
    <row r="674" spans="1:15" x14ac:dyDescent="0.3">
      <c r="A674" t="s">
        <v>1130</v>
      </c>
      <c r="B674" t="str">
        <f>IFERROR(VLOOKUP(A674,'DATA MASTER'!A:O,2,0)," ")</f>
        <v>Truss Modullar</v>
      </c>
      <c r="C674" t="str">
        <f>IFERROR(VLOOKUP(A674,'DATA MASTER'!A:O,4,0)," ")</f>
        <v>RB30</v>
      </c>
      <c r="D674" t="s">
        <v>82</v>
      </c>
      <c r="E674" t="s">
        <v>786</v>
      </c>
      <c r="F674" s="1">
        <v>8.8000000000000007</v>
      </c>
      <c r="G674" s="1">
        <v>145</v>
      </c>
      <c r="H674">
        <v>0.307</v>
      </c>
      <c r="I674" s="16">
        <f>BNW[[#This Row],[Berat Satuan
(Kg)]]*BNW[[#This Row],[Qty
(Set)]]</f>
        <v>44.515000000000001</v>
      </c>
      <c r="K674" s="1">
        <f>SUMIF(DATA_MASTER[NO. PON],BNW[[#This Row],[No.PON]],DATA_MASTER[Qty
(Unit)])</f>
        <v>1</v>
      </c>
      <c r="L674" s="16">
        <f>BNW[[#This Row],[TOTAL UNIT]]*BNW[[#This Row],[Total Berat Baut
(Kg)]]</f>
        <v>44.515000000000001</v>
      </c>
      <c r="N674"/>
      <c r="O674" s="25"/>
    </row>
    <row r="675" spans="1:15" x14ac:dyDescent="0.3">
      <c r="A675" t="s">
        <v>1130</v>
      </c>
      <c r="B675" t="str">
        <f>IFERROR(VLOOKUP(A675,'DATA MASTER'!A:O,2,0)," ")</f>
        <v>Truss Modullar</v>
      </c>
      <c r="C675" t="str">
        <f>IFERROR(VLOOKUP(A675,'DATA MASTER'!A:O,4,0)," ")</f>
        <v>RB30</v>
      </c>
      <c r="D675" t="s">
        <v>284</v>
      </c>
      <c r="E675" t="s">
        <v>106</v>
      </c>
      <c r="F675" s="1">
        <v>8.8000000000000007</v>
      </c>
      <c r="G675" s="1">
        <v>25</v>
      </c>
      <c r="H675">
        <v>8.6000000000000007E-2</v>
      </c>
      <c r="I675" s="16">
        <f>BNW[[#This Row],[Berat Satuan
(Kg)]]*BNW[[#This Row],[Qty
(Set)]]</f>
        <v>2.1500000000000004</v>
      </c>
      <c r="K675" s="1">
        <f>SUMIF(DATA_MASTER[NO. PON],BNW[[#This Row],[No.PON]],DATA_MASTER[Qty
(Unit)])</f>
        <v>1</v>
      </c>
      <c r="L675" s="16">
        <f>BNW[[#This Row],[TOTAL UNIT]]*BNW[[#This Row],[Total Berat Baut
(Kg)]]</f>
        <v>2.1500000000000004</v>
      </c>
      <c r="N675"/>
      <c r="O675" s="25"/>
    </row>
    <row r="676" spans="1:15" x14ac:dyDescent="0.3">
      <c r="A676" t="s">
        <v>1130</v>
      </c>
      <c r="B676" t="str">
        <f>IFERROR(VLOOKUP(A676,'DATA MASTER'!A:O,2,0)," ")</f>
        <v>Truss Modullar</v>
      </c>
      <c r="C676" t="str">
        <f>IFERROR(VLOOKUP(A676,'DATA MASTER'!A:O,4,0)," ")</f>
        <v>RB30</v>
      </c>
      <c r="D676" t="s">
        <v>478</v>
      </c>
      <c r="E676" t="s">
        <v>106</v>
      </c>
      <c r="F676" s="1">
        <v>8.8000000000000007</v>
      </c>
      <c r="G676" s="1">
        <v>433</v>
      </c>
      <c r="H676">
        <v>7.2000000000000008E-2</v>
      </c>
      <c r="I676" s="16">
        <f>BNW[[#This Row],[Berat Satuan
(Kg)]]*BNW[[#This Row],[Qty
(Set)]]</f>
        <v>31.176000000000002</v>
      </c>
      <c r="K676" s="1">
        <f>SUMIF(DATA_MASTER[NO. PON],BNW[[#This Row],[No.PON]],DATA_MASTER[Qty
(Unit)])</f>
        <v>1</v>
      </c>
      <c r="L676" s="16">
        <f>BNW[[#This Row],[TOTAL UNIT]]*BNW[[#This Row],[Total Berat Baut
(Kg)]]</f>
        <v>31.176000000000002</v>
      </c>
      <c r="N676"/>
      <c r="O676" s="25"/>
    </row>
    <row r="677" spans="1:15" x14ac:dyDescent="0.3">
      <c r="A677" t="s">
        <v>1130</v>
      </c>
      <c r="B677" t="str">
        <f>IFERROR(VLOOKUP(A677,'DATA MASTER'!A:O,2,0)," ")</f>
        <v>Truss Modullar</v>
      </c>
      <c r="C677" t="str">
        <f>IFERROR(VLOOKUP(A677,'DATA MASTER'!A:O,4,0)," ")</f>
        <v>RB30</v>
      </c>
      <c r="D677" t="s">
        <v>89</v>
      </c>
      <c r="E677" t="s">
        <v>106</v>
      </c>
      <c r="F677" s="1">
        <v>8.8000000000000007</v>
      </c>
      <c r="G677" s="1">
        <v>17</v>
      </c>
      <c r="H677">
        <v>6.8000000000000005E-2</v>
      </c>
      <c r="I677" s="16">
        <f>BNW[[#This Row],[Berat Satuan
(Kg)]]*BNW[[#This Row],[Qty
(Set)]]</f>
        <v>1.1560000000000001</v>
      </c>
      <c r="K677" s="1">
        <f>SUMIF(DATA_MASTER[NO. PON],BNW[[#This Row],[No.PON]],DATA_MASTER[Qty
(Unit)])</f>
        <v>1</v>
      </c>
      <c r="L677" s="16">
        <f>BNW[[#This Row],[TOTAL UNIT]]*BNW[[#This Row],[Total Berat Baut
(Kg)]]</f>
        <v>1.1560000000000001</v>
      </c>
      <c r="N677"/>
      <c r="O677" s="25"/>
    </row>
    <row r="678" spans="1:15" x14ac:dyDescent="0.3">
      <c r="A678" t="s">
        <v>1130</v>
      </c>
      <c r="B678" t="str">
        <f>IFERROR(VLOOKUP(A678,'DATA MASTER'!A:O,2,0)," ")</f>
        <v>Truss Modullar</v>
      </c>
      <c r="C678" t="str">
        <f>IFERROR(VLOOKUP(A678,'DATA MASTER'!A:O,4,0)," ")</f>
        <v>RB30</v>
      </c>
      <c r="D678" t="s">
        <v>205</v>
      </c>
      <c r="E678" t="s">
        <v>106</v>
      </c>
      <c r="F678" s="1">
        <v>8.8000000000000007</v>
      </c>
      <c r="G678" s="1">
        <v>948</v>
      </c>
      <c r="H678">
        <v>6.3E-2</v>
      </c>
      <c r="I678" s="16">
        <f>BNW[[#This Row],[Berat Satuan
(Kg)]]*BNW[[#This Row],[Qty
(Set)]]</f>
        <v>59.724000000000004</v>
      </c>
      <c r="K678" s="1">
        <f>SUMIF(DATA_MASTER[NO. PON],BNW[[#This Row],[No.PON]],DATA_MASTER[Qty
(Unit)])</f>
        <v>1</v>
      </c>
      <c r="L678" s="16">
        <f>BNW[[#This Row],[TOTAL UNIT]]*BNW[[#This Row],[Total Berat Baut
(Kg)]]</f>
        <v>59.724000000000004</v>
      </c>
      <c r="N678"/>
      <c r="O678" s="25"/>
    </row>
    <row r="679" spans="1:15" x14ac:dyDescent="0.3">
      <c r="A679" t="s">
        <v>1130</v>
      </c>
      <c r="B679" t="str">
        <f>IFERROR(VLOOKUP(A679,'DATA MASTER'!A:O,2,0)," ")</f>
        <v>Truss Modullar</v>
      </c>
      <c r="C679" t="str">
        <f>IFERROR(VLOOKUP(A679,'DATA MASTER'!A:O,4,0)," ")</f>
        <v>RB30</v>
      </c>
      <c r="D679" t="s">
        <v>206</v>
      </c>
      <c r="E679" t="s">
        <v>106</v>
      </c>
      <c r="F679" s="1">
        <v>8.8000000000000007</v>
      </c>
      <c r="G679" s="1">
        <v>5</v>
      </c>
      <c r="H679">
        <v>5.9000000000000004E-2</v>
      </c>
      <c r="I679" s="16">
        <f>BNW[[#This Row],[Berat Satuan
(Kg)]]*BNW[[#This Row],[Qty
(Set)]]</f>
        <v>0.29500000000000004</v>
      </c>
      <c r="K679" s="1">
        <f>SUMIF(DATA_MASTER[NO. PON],BNW[[#This Row],[No.PON]],DATA_MASTER[Qty
(Unit)])</f>
        <v>1</v>
      </c>
      <c r="L679" s="16">
        <f>BNW[[#This Row],[TOTAL UNIT]]*BNW[[#This Row],[Total Berat Baut
(Kg)]]</f>
        <v>0.29500000000000004</v>
      </c>
      <c r="N679"/>
      <c r="O679" s="25"/>
    </row>
    <row r="680" spans="1:15" x14ac:dyDescent="0.3">
      <c r="A680" t="s">
        <v>1157</v>
      </c>
      <c r="B680" t="str">
        <f>IFERROR(VLOOKUP(A680,'DATA MASTER'!A:O,2,0)," ")</f>
        <v>STRUKTUR ATAP</v>
      </c>
      <c r="C680" t="str">
        <f>IFERROR(VLOOKUP(A680,'DATA MASTER'!A:O,4,0)," ")</f>
        <v>ATAP ASRAMA HAJI</v>
      </c>
      <c r="D680" t="s">
        <v>202</v>
      </c>
      <c r="E680" t="s">
        <v>106</v>
      </c>
      <c r="F680" s="1">
        <v>8.8000000000000007</v>
      </c>
      <c r="G680" s="1">
        <v>64</v>
      </c>
      <c r="H680">
        <v>0.15400000000000003</v>
      </c>
      <c r="I680" s="16">
        <f>BNW[[#This Row],[Berat Satuan
(Kg)]]*BNW[[#This Row],[Qty
(Set)]]</f>
        <v>9.8560000000000016</v>
      </c>
      <c r="K680" s="1">
        <f>SUMIF(DATA_MASTER[NO. PON],BNW[[#This Row],[No.PON]],DATA_MASTER[Qty
(Unit)])</f>
        <v>1</v>
      </c>
      <c r="L680" s="16">
        <f>BNW[[#This Row],[TOTAL UNIT]]*BNW[[#This Row],[Total Berat Baut
(Kg)]]</f>
        <v>9.8560000000000016</v>
      </c>
      <c r="O680" s="25"/>
    </row>
    <row r="681" spans="1:15" x14ac:dyDescent="0.3">
      <c r="A681" t="s">
        <v>1157</v>
      </c>
      <c r="B681" t="str">
        <f>IFERROR(VLOOKUP(A681,'DATA MASTER'!A:O,2,0)," ")</f>
        <v>STRUKTUR ATAP</v>
      </c>
      <c r="C681" t="str">
        <f>IFERROR(VLOOKUP(A681,'DATA MASTER'!A:O,4,0)," ")</f>
        <v>ATAP ASRAMA HAJI</v>
      </c>
      <c r="D681" t="s">
        <v>81</v>
      </c>
      <c r="E681" t="s">
        <v>106</v>
      </c>
      <c r="F681" s="1">
        <v>8.8000000000000007</v>
      </c>
      <c r="G681" s="1">
        <v>416</v>
      </c>
      <c r="H681">
        <v>0.317</v>
      </c>
      <c r="I681" s="16">
        <f>BNW[[#This Row],[Berat Satuan
(Kg)]]*BNW[[#This Row],[Qty
(Set)]]</f>
        <v>131.87200000000001</v>
      </c>
      <c r="K681" s="1">
        <f>SUMIF(DATA_MASTER[NO. PON],BNW[[#This Row],[No.PON]],DATA_MASTER[Qty
(Unit)])</f>
        <v>1</v>
      </c>
      <c r="L681" s="16">
        <f>BNW[[#This Row],[TOTAL UNIT]]*BNW[[#This Row],[Total Berat Baut
(Kg)]]</f>
        <v>131.87200000000001</v>
      </c>
      <c r="N681"/>
      <c r="O681" s="25"/>
    </row>
    <row r="682" spans="1:15" x14ac:dyDescent="0.3">
      <c r="A682" t="s">
        <v>1157</v>
      </c>
      <c r="B682" t="str">
        <f>IFERROR(VLOOKUP(A682,'DATA MASTER'!A:O,2,0)," ")</f>
        <v>STRUKTUR ATAP</v>
      </c>
      <c r="C682" t="str">
        <f>IFERROR(VLOOKUP(A682,'DATA MASTER'!A:O,4,0)," ")</f>
        <v>ATAP ASRAMA HAJI</v>
      </c>
      <c r="D682" t="s">
        <v>205</v>
      </c>
      <c r="E682" t="s">
        <v>106</v>
      </c>
      <c r="F682" s="1">
        <v>8.8000000000000007</v>
      </c>
      <c r="G682" s="1">
        <v>480</v>
      </c>
      <c r="H682">
        <v>6.3E-2</v>
      </c>
      <c r="I682" s="16">
        <f>BNW[[#This Row],[Berat Satuan
(Kg)]]*BNW[[#This Row],[Qty
(Set)]]</f>
        <v>30.240000000000002</v>
      </c>
      <c r="K682" s="1">
        <f>SUMIF(DATA_MASTER[NO. PON],BNW[[#This Row],[No.PON]],DATA_MASTER[Qty
(Unit)])</f>
        <v>1</v>
      </c>
      <c r="L682" s="16">
        <f>BNW[[#This Row],[TOTAL UNIT]]*BNW[[#This Row],[Total Berat Baut
(Kg)]]</f>
        <v>30.240000000000002</v>
      </c>
      <c r="N682"/>
      <c r="O682" s="25"/>
    </row>
    <row r="683" spans="1:15" x14ac:dyDescent="0.3">
      <c r="A683" t="s">
        <v>1170</v>
      </c>
      <c r="B683" t="str">
        <f>IFERROR(VLOOKUP(A683,'DATA MASTER'!A:O,2,0)," ")</f>
        <v>Panel Bailey</v>
      </c>
      <c r="C683" t="str">
        <f>IFERROR(VLOOKUP(A683,'DATA MASTER'!A:O,4,0)," ")</f>
        <v>21 SSR-EW</v>
      </c>
      <c r="D683" t="s">
        <v>133</v>
      </c>
      <c r="E683" t="s">
        <v>106</v>
      </c>
      <c r="F683" s="1" t="s">
        <v>296</v>
      </c>
      <c r="G683" s="1">
        <v>112</v>
      </c>
      <c r="H683">
        <v>0.79</v>
      </c>
      <c r="I683" s="16">
        <f>BNW[[#This Row],[Berat Satuan
(Kg)]]*BNW[[#This Row],[Qty
(Set)]]</f>
        <v>88.48</v>
      </c>
      <c r="K683" s="1">
        <f>SUMIF(DATA_MASTER[NO. PON],BNW[[#This Row],[No.PON]],DATA_MASTER[Qty
(Unit)])</f>
        <v>1</v>
      </c>
      <c r="L683" s="16">
        <f>BNW[[#This Row],[TOTAL UNIT]]*BNW[[#This Row],[Total Berat Baut
(Kg)]]</f>
        <v>88.48</v>
      </c>
      <c r="O683" s="25"/>
    </row>
    <row r="684" spans="1:15" x14ac:dyDescent="0.3">
      <c r="A684" t="s">
        <v>1170</v>
      </c>
      <c r="B684" t="str">
        <f>IFERROR(VLOOKUP(A684,'DATA MASTER'!A:O,2,0)," ")</f>
        <v>Panel Bailey</v>
      </c>
      <c r="C684" t="str">
        <f>IFERROR(VLOOKUP(A684,'DATA MASTER'!A:O,4,0)," ")</f>
        <v>21 SSR-EW</v>
      </c>
      <c r="D684" t="s">
        <v>134</v>
      </c>
      <c r="E684" t="s">
        <v>106</v>
      </c>
      <c r="F684" s="1">
        <v>8.8000000000000007</v>
      </c>
      <c r="G684" s="1">
        <v>7</v>
      </c>
      <c r="H684">
        <v>0.46</v>
      </c>
      <c r="I684" s="16">
        <f>BNW[[#This Row],[Berat Satuan
(Kg)]]*BNW[[#This Row],[Qty
(Set)]]</f>
        <v>3.22</v>
      </c>
      <c r="K684" s="1">
        <f>SUMIF(DATA_MASTER[NO. PON],BNW[[#This Row],[No.PON]],DATA_MASTER[Qty
(Unit)])</f>
        <v>1</v>
      </c>
      <c r="L684" s="16">
        <f>BNW[[#This Row],[TOTAL UNIT]]*BNW[[#This Row],[Total Berat Baut
(Kg)]]</f>
        <v>3.22</v>
      </c>
      <c r="N684"/>
      <c r="O684" s="25"/>
    </row>
    <row r="685" spans="1:15" x14ac:dyDescent="0.3">
      <c r="A685" t="s">
        <v>1170</v>
      </c>
      <c r="B685" t="str">
        <f>IFERROR(VLOOKUP(A685,'DATA MASTER'!A:O,2,0)," ")</f>
        <v>Panel Bailey</v>
      </c>
      <c r="C685" t="str">
        <f>IFERROR(VLOOKUP(A685,'DATA MASTER'!A:O,4,0)," ")</f>
        <v>21 SSR-EW</v>
      </c>
      <c r="D685" t="s">
        <v>135</v>
      </c>
      <c r="E685" t="s">
        <v>106</v>
      </c>
      <c r="F685" s="1">
        <v>8.8000000000000007</v>
      </c>
      <c r="G685" s="1">
        <v>56</v>
      </c>
      <c r="H685">
        <v>0.43</v>
      </c>
      <c r="I685" s="16">
        <f>BNW[[#This Row],[Berat Satuan
(Kg)]]*BNW[[#This Row],[Qty
(Set)]]</f>
        <v>24.08</v>
      </c>
      <c r="K685" s="1">
        <f>SUMIF(DATA_MASTER[NO. PON],BNW[[#This Row],[No.PON]],DATA_MASTER[Qty
(Unit)])</f>
        <v>1</v>
      </c>
      <c r="L685" s="16">
        <f>BNW[[#This Row],[TOTAL UNIT]]*BNW[[#This Row],[Total Berat Baut
(Kg)]]</f>
        <v>24.08</v>
      </c>
      <c r="N685"/>
      <c r="O685" s="25"/>
    </row>
    <row r="686" spans="1:15" x14ac:dyDescent="0.3">
      <c r="A686" t="s">
        <v>1170</v>
      </c>
      <c r="B686" t="str">
        <f>IFERROR(VLOOKUP(A686,'DATA MASTER'!A:O,2,0)," ")</f>
        <v>Panel Bailey</v>
      </c>
      <c r="C686" t="str">
        <f>IFERROR(VLOOKUP(A686,'DATA MASTER'!A:O,4,0)," ")</f>
        <v>21 SSR-EW</v>
      </c>
      <c r="D686" t="s">
        <v>136</v>
      </c>
      <c r="E686" t="s">
        <v>106</v>
      </c>
      <c r="F686" s="1">
        <v>8.8000000000000007</v>
      </c>
      <c r="G686" s="1">
        <v>36</v>
      </c>
      <c r="H686">
        <v>0.41</v>
      </c>
      <c r="I686" s="16">
        <f>BNW[[#This Row],[Berat Satuan
(Kg)]]*BNW[[#This Row],[Qty
(Set)]]</f>
        <v>14.76</v>
      </c>
      <c r="K686" s="1">
        <f>SUMIF(DATA_MASTER[NO. PON],BNW[[#This Row],[No.PON]],DATA_MASTER[Qty
(Unit)])</f>
        <v>1</v>
      </c>
      <c r="L686" s="16">
        <f>BNW[[#This Row],[TOTAL UNIT]]*BNW[[#This Row],[Total Berat Baut
(Kg)]]</f>
        <v>14.76</v>
      </c>
      <c r="N686"/>
      <c r="O686" s="25"/>
    </row>
    <row r="687" spans="1:15" x14ac:dyDescent="0.3">
      <c r="A687" t="s">
        <v>1170</v>
      </c>
      <c r="B687" t="str">
        <f>IFERROR(VLOOKUP(A687,'DATA MASTER'!A:O,2,0)," ")</f>
        <v>Panel Bailey</v>
      </c>
      <c r="C687" t="str">
        <f>IFERROR(VLOOKUP(A687,'DATA MASTER'!A:O,4,0)," ")</f>
        <v>21 SSR-EW</v>
      </c>
      <c r="D687" t="s">
        <v>137</v>
      </c>
      <c r="E687" t="s">
        <v>106</v>
      </c>
      <c r="F687" s="1">
        <v>8.8000000000000007</v>
      </c>
      <c r="G687" s="1">
        <v>128</v>
      </c>
      <c r="H687">
        <v>0.47399999999999998</v>
      </c>
      <c r="I687" s="16">
        <f>BNW[[#This Row],[Berat Satuan
(Kg)]]*BNW[[#This Row],[Qty
(Set)]]</f>
        <v>60.671999999999997</v>
      </c>
      <c r="K687" s="1">
        <f>SUMIF(DATA_MASTER[NO. PON],BNW[[#This Row],[No.PON]],DATA_MASTER[Qty
(Unit)])</f>
        <v>1</v>
      </c>
      <c r="L687" s="16">
        <f>BNW[[#This Row],[TOTAL UNIT]]*BNW[[#This Row],[Total Berat Baut
(Kg)]]</f>
        <v>60.671999999999997</v>
      </c>
      <c r="N687"/>
      <c r="O687" s="25"/>
    </row>
    <row r="688" spans="1:15" x14ac:dyDescent="0.3">
      <c r="A688" t="s">
        <v>1170</v>
      </c>
      <c r="B688" t="str">
        <f>IFERROR(VLOOKUP(A688,'DATA MASTER'!A:O,2,0)," ")</f>
        <v>Panel Bailey</v>
      </c>
      <c r="C688" t="str">
        <f>IFERROR(VLOOKUP(A688,'DATA MASTER'!A:O,4,0)," ")</f>
        <v>21 SSR-EW</v>
      </c>
      <c r="D688" t="s">
        <v>294</v>
      </c>
      <c r="E688" t="s">
        <v>106</v>
      </c>
      <c r="F688" s="1">
        <v>8.8000000000000007</v>
      </c>
      <c r="G688" s="1">
        <v>16</v>
      </c>
      <c r="H688">
        <v>0.35400000000000004</v>
      </c>
      <c r="I688" s="16">
        <f>BNW[[#This Row],[Berat Satuan
(Kg)]]*BNW[[#This Row],[Qty
(Set)]]</f>
        <v>5.6640000000000006</v>
      </c>
      <c r="K688" s="1">
        <f>SUMIF(DATA_MASTER[NO. PON],BNW[[#This Row],[No.PON]],DATA_MASTER[Qty
(Unit)])</f>
        <v>1</v>
      </c>
      <c r="L688" s="16">
        <f>BNW[[#This Row],[TOTAL UNIT]]*BNW[[#This Row],[Total Berat Baut
(Kg)]]</f>
        <v>5.6640000000000006</v>
      </c>
      <c r="N688"/>
      <c r="O688" s="25"/>
    </row>
    <row r="689" spans="1:15" x14ac:dyDescent="0.3">
      <c r="A689" t="s">
        <v>1170</v>
      </c>
      <c r="B689" t="str">
        <f>IFERROR(VLOOKUP(A689,'DATA MASTER'!A:O,2,0)," ")</f>
        <v>Panel Bailey</v>
      </c>
      <c r="C689" t="str">
        <f>IFERROR(VLOOKUP(A689,'DATA MASTER'!A:O,4,0)," ")</f>
        <v>21 SSR-EW</v>
      </c>
      <c r="D689" t="s">
        <v>295</v>
      </c>
      <c r="E689" t="s">
        <v>106</v>
      </c>
      <c r="F689" s="1">
        <v>8.8000000000000007</v>
      </c>
      <c r="G689" s="1">
        <v>16</v>
      </c>
      <c r="H689">
        <v>0.33400000000000002</v>
      </c>
      <c r="I689" s="16">
        <f>BNW[[#This Row],[Berat Satuan
(Kg)]]*BNW[[#This Row],[Qty
(Set)]]</f>
        <v>5.3440000000000003</v>
      </c>
      <c r="K689" s="1">
        <f>SUMIF(DATA_MASTER[NO. PON],BNW[[#This Row],[No.PON]],DATA_MASTER[Qty
(Unit)])</f>
        <v>1</v>
      </c>
      <c r="L689" s="16">
        <f>BNW[[#This Row],[TOTAL UNIT]]*BNW[[#This Row],[Total Berat Baut
(Kg)]]</f>
        <v>5.3440000000000003</v>
      </c>
      <c r="N689"/>
      <c r="O689" s="25"/>
    </row>
    <row r="690" spans="1:15" x14ac:dyDescent="0.3">
      <c r="A690" t="s">
        <v>1170</v>
      </c>
      <c r="B690" t="str">
        <f>IFERROR(VLOOKUP(A690,'DATA MASTER'!A:O,2,0)," ")</f>
        <v>Panel Bailey</v>
      </c>
      <c r="C690" t="str">
        <f>IFERROR(VLOOKUP(A690,'DATA MASTER'!A:O,4,0)," ")</f>
        <v>21 SSR-EW</v>
      </c>
      <c r="D690" t="s">
        <v>138</v>
      </c>
      <c r="E690" t="s">
        <v>106</v>
      </c>
      <c r="F690" s="1">
        <v>8.8000000000000007</v>
      </c>
      <c r="G690" s="1">
        <v>16</v>
      </c>
      <c r="H690">
        <v>0.29399999999999998</v>
      </c>
      <c r="I690" s="16">
        <f>BNW[[#This Row],[Berat Satuan
(Kg)]]*BNW[[#This Row],[Qty
(Set)]]</f>
        <v>4.7039999999999997</v>
      </c>
      <c r="K690" s="1">
        <f>SUMIF(DATA_MASTER[NO. PON],BNW[[#This Row],[No.PON]],DATA_MASTER[Qty
(Unit)])</f>
        <v>1</v>
      </c>
      <c r="L690" s="16">
        <f>BNW[[#This Row],[TOTAL UNIT]]*BNW[[#This Row],[Total Berat Baut
(Kg)]]</f>
        <v>4.7039999999999997</v>
      </c>
      <c r="N690"/>
      <c r="O690" s="25"/>
    </row>
    <row r="691" spans="1:15" x14ac:dyDescent="0.3">
      <c r="A691" t="s">
        <v>1170</v>
      </c>
      <c r="B691" t="str">
        <f>IFERROR(VLOOKUP(A691,'DATA MASTER'!A:O,2,0)," ")</f>
        <v>Panel Bailey</v>
      </c>
      <c r="C691" t="str">
        <f>IFERROR(VLOOKUP(A691,'DATA MASTER'!A:O,4,0)," ")</f>
        <v>21 SSR-EW</v>
      </c>
      <c r="D691" t="s">
        <v>139</v>
      </c>
      <c r="E691" t="s">
        <v>106</v>
      </c>
      <c r="F691" s="1">
        <v>8.8000000000000007</v>
      </c>
      <c r="G691" s="1">
        <v>7</v>
      </c>
      <c r="H691">
        <v>0.29399999999999998</v>
      </c>
      <c r="I691" s="16">
        <f>BNW[[#This Row],[Berat Satuan
(Kg)]]*BNW[[#This Row],[Qty
(Set)]]</f>
        <v>2.0579999999999998</v>
      </c>
      <c r="K691" s="1">
        <f>SUMIF(DATA_MASTER[NO. PON],BNW[[#This Row],[No.PON]],DATA_MASTER[Qty
(Unit)])</f>
        <v>1</v>
      </c>
      <c r="L691" s="16">
        <f>BNW[[#This Row],[TOTAL UNIT]]*BNW[[#This Row],[Total Berat Baut
(Kg)]]</f>
        <v>2.0579999999999998</v>
      </c>
      <c r="N691"/>
      <c r="O691" s="25"/>
    </row>
    <row r="692" spans="1:15" x14ac:dyDescent="0.3">
      <c r="A692" t="s">
        <v>1170</v>
      </c>
      <c r="B692" t="str">
        <f>IFERROR(VLOOKUP(A692,'DATA MASTER'!A:O,2,0)," ")</f>
        <v>Panel Bailey</v>
      </c>
      <c r="C692" t="str">
        <f>IFERROR(VLOOKUP(A692,'DATA MASTER'!A:O,4,0)," ")</f>
        <v>21 SSR-EW</v>
      </c>
      <c r="D692" t="s">
        <v>140</v>
      </c>
      <c r="E692" t="s">
        <v>106</v>
      </c>
      <c r="F692" s="1">
        <v>8.8000000000000007</v>
      </c>
      <c r="G692" s="1">
        <v>56</v>
      </c>
      <c r="H692">
        <v>0.24399999999999999</v>
      </c>
      <c r="I692" s="16">
        <f>BNW[[#This Row],[Berat Satuan
(Kg)]]*BNW[[#This Row],[Qty
(Set)]]</f>
        <v>13.664</v>
      </c>
      <c r="K692" s="1">
        <f>SUMIF(DATA_MASTER[NO. PON],BNW[[#This Row],[No.PON]],DATA_MASTER[Qty
(Unit)])</f>
        <v>1</v>
      </c>
      <c r="L692" s="16">
        <f>BNW[[#This Row],[TOTAL UNIT]]*BNW[[#This Row],[Total Berat Baut
(Kg)]]</f>
        <v>13.664</v>
      </c>
      <c r="N692"/>
      <c r="O692" s="25"/>
    </row>
    <row r="693" spans="1:15" x14ac:dyDescent="0.3">
      <c r="A693" t="s">
        <v>1170</v>
      </c>
      <c r="B693" t="str">
        <f>IFERROR(VLOOKUP(A693,'DATA MASTER'!A:O,2,0)," ")</f>
        <v>Panel Bailey</v>
      </c>
      <c r="C693" t="str">
        <f>IFERROR(VLOOKUP(A693,'DATA MASTER'!A:O,4,0)," ")</f>
        <v>21 SSR-EW</v>
      </c>
      <c r="D693" t="s">
        <v>141</v>
      </c>
      <c r="E693" t="s">
        <v>106</v>
      </c>
      <c r="F693" s="1">
        <v>8.8000000000000007</v>
      </c>
      <c r="G693" s="1">
        <v>8</v>
      </c>
      <c r="H693">
        <v>0.13600000000000001</v>
      </c>
      <c r="I693" s="16">
        <f>BNW[[#This Row],[Berat Satuan
(Kg)]]*BNW[[#This Row],[Qty
(Set)]]</f>
        <v>1.0880000000000001</v>
      </c>
      <c r="K693" s="1">
        <f>SUMIF(DATA_MASTER[NO. PON],BNW[[#This Row],[No.PON]],DATA_MASTER[Qty
(Unit)])</f>
        <v>1</v>
      </c>
      <c r="L693" s="16">
        <f>BNW[[#This Row],[TOTAL UNIT]]*BNW[[#This Row],[Total Berat Baut
(Kg)]]</f>
        <v>1.0880000000000001</v>
      </c>
      <c r="N693"/>
      <c r="O693" s="25"/>
    </row>
    <row r="694" spans="1:15" x14ac:dyDescent="0.3">
      <c r="A694" t="s">
        <v>1170</v>
      </c>
      <c r="B694" t="str">
        <f>IFERROR(VLOOKUP(A694,'DATA MASTER'!A:O,2,0)," ")</f>
        <v>Panel Bailey</v>
      </c>
      <c r="C694" t="str">
        <f>IFERROR(VLOOKUP(A694,'DATA MASTER'!A:O,4,0)," ")</f>
        <v>21 SSR-EW</v>
      </c>
      <c r="D694" t="s">
        <v>142</v>
      </c>
      <c r="E694" t="s">
        <v>106</v>
      </c>
      <c r="F694" s="1">
        <v>8.8000000000000007</v>
      </c>
      <c r="G694" s="1">
        <v>56</v>
      </c>
      <c r="H694">
        <v>0.13600000000000001</v>
      </c>
      <c r="I694" s="16">
        <f>BNW[[#This Row],[Berat Satuan
(Kg)]]*BNW[[#This Row],[Qty
(Set)]]</f>
        <v>7.6160000000000005</v>
      </c>
      <c r="K694" s="1">
        <f>SUMIF(DATA_MASTER[NO. PON],BNW[[#This Row],[No.PON]],DATA_MASTER[Qty
(Unit)])</f>
        <v>1</v>
      </c>
      <c r="L694" s="16">
        <f>BNW[[#This Row],[TOTAL UNIT]]*BNW[[#This Row],[Total Berat Baut
(Kg)]]</f>
        <v>7.6160000000000005</v>
      </c>
      <c r="N694"/>
      <c r="O694" s="25"/>
    </row>
    <row r="695" spans="1:15" x14ac:dyDescent="0.3">
      <c r="A695" t="s">
        <v>1203</v>
      </c>
      <c r="B695" t="str">
        <f>IFERROR(VLOOKUP(A695,'DATA MASTER'!A:O,2,0)," ")</f>
        <v>Panel Bailey</v>
      </c>
      <c r="C695" t="str">
        <f>IFERROR(VLOOKUP(A695,'DATA MASTER'!A:O,4,0)," ")</f>
        <v>30 DSR2-EW</v>
      </c>
      <c r="D695" t="s">
        <v>133</v>
      </c>
      <c r="E695" t="s">
        <v>106</v>
      </c>
      <c r="F695" s="1">
        <v>8.8000000000000007</v>
      </c>
      <c r="G695" s="1">
        <v>320</v>
      </c>
      <c r="H695">
        <v>0.53</v>
      </c>
      <c r="I695" s="16">
        <f>BNW[[#This Row],[Berat Satuan
(Kg)]]*BNW[[#This Row],[Qty
(Set)]]</f>
        <v>169.60000000000002</v>
      </c>
      <c r="K695" s="1">
        <f>SUMIF(DATA_MASTER[NO. PON],BNW[[#This Row],[No.PON]],DATA_MASTER[Qty
(Unit)])</f>
        <v>1</v>
      </c>
      <c r="L695" s="16">
        <f>BNW[[#This Row],[TOTAL UNIT]]*BNW[[#This Row],[Total Berat Baut
(Kg)]]</f>
        <v>169.60000000000002</v>
      </c>
      <c r="N695"/>
      <c r="O695" s="25"/>
    </row>
    <row r="696" spans="1:15" x14ac:dyDescent="0.3">
      <c r="A696" t="s">
        <v>1203</v>
      </c>
      <c r="B696" t="str">
        <f>IFERROR(VLOOKUP(A696,'DATA MASTER'!A:O,2,0)," ")</f>
        <v>Panel Bailey</v>
      </c>
      <c r="C696" t="str">
        <f>IFERROR(VLOOKUP(A696,'DATA MASTER'!A:O,4,0)," ")</f>
        <v>30 DSR2-EW</v>
      </c>
      <c r="D696" t="s">
        <v>134</v>
      </c>
      <c r="E696" t="s">
        <v>106</v>
      </c>
      <c r="F696" s="1">
        <v>8.8000000000000007</v>
      </c>
      <c r="G696" s="1">
        <v>170</v>
      </c>
      <c r="H696">
        <v>0.46</v>
      </c>
      <c r="I696" s="16">
        <f>BNW[[#This Row],[Berat Satuan
(Kg)]]*BNW[[#This Row],[Qty
(Set)]]</f>
        <v>78.2</v>
      </c>
      <c r="K696" s="1">
        <f>SUMIF(DATA_MASTER[NO. PON],BNW[[#This Row],[No.PON]],DATA_MASTER[Qty
(Unit)])</f>
        <v>1</v>
      </c>
      <c r="L696" s="16">
        <f>BNW[[#This Row],[TOTAL UNIT]]*BNW[[#This Row],[Total Berat Baut
(Kg)]]</f>
        <v>78.2</v>
      </c>
      <c r="N696"/>
      <c r="O696" s="25"/>
    </row>
    <row r="697" spans="1:15" x14ac:dyDescent="0.3">
      <c r="A697" t="s">
        <v>1203</v>
      </c>
      <c r="B697" t="str">
        <f>IFERROR(VLOOKUP(A697,'DATA MASTER'!A:O,2,0)," ")</f>
        <v>Panel Bailey</v>
      </c>
      <c r="C697" t="str">
        <f>IFERROR(VLOOKUP(A697,'DATA MASTER'!A:O,4,0)," ")</f>
        <v>30 DSR2-EW</v>
      </c>
      <c r="D697" t="s">
        <v>135</v>
      </c>
      <c r="E697" t="s">
        <v>106</v>
      </c>
      <c r="F697" s="1">
        <v>8.8000000000000007</v>
      </c>
      <c r="G697" s="1">
        <v>80</v>
      </c>
      <c r="H697">
        <v>0.43</v>
      </c>
      <c r="I697" s="16">
        <f>BNW[[#This Row],[Berat Satuan
(Kg)]]*BNW[[#This Row],[Qty
(Set)]]</f>
        <v>34.4</v>
      </c>
      <c r="K697" s="1">
        <f>SUMIF(DATA_MASTER[NO. PON],BNW[[#This Row],[No.PON]],DATA_MASTER[Qty
(Unit)])</f>
        <v>1</v>
      </c>
      <c r="L697" s="16">
        <f>BNW[[#This Row],[TOTAL UNIT]]*BNW[[#This Row],[Total Berat Baut
(Kg)]]</f>
        <v>34.4</v>
      </c>
      <c r="N697"/>
      <c r="O697" s="25"/>
    </row>
    <row r="698" spans="1:15" x14ac:dyDescent="0.3">
      <c r="A698" t="s">
        <v>1203</v>
      </c>
      <c r="B698" t="str">
        <f>IFERROR(VLOOKUP(A698,'DATA MASTER'!A:O,2,0)," ")</f>
        <v>Panel Bailey</v>
      </c>
      <c r="C698" t="str">
        <f>IFERROR(VLOOKUP(A698,'DATA MASTER'!A:O,4,0)," ")</f>
        <v>30 DSR2-EW</v>
      </c>
      <c r="D698" t="s">
        <v>136</v>
      </c>
      <c r="E698" t="s">
        <v>106</v>
      </c>
      <c r="F698" s="1">
        <v>8.8000000000000007</v>
      </c>
      <c r="G698" s="1">
        <v>48</v>
      </c>
      <c r="H698">
        <v>0.41</v>
      </c>
      <c r="I698" s="16">
        <f>BNW[[#This Row],[Berat Satuan
(Kg)]]*BNW[[#This Row],[Qty
(Set)]]</f>
        <v>19.68</v>
      </c>
      <c r="K698" s="1">
        <f>SUMIF(DATA_MASTER[NO. PON],BNW[[#This Row],[No.PON]],DATA_MASTER[Qty
(Unit)])</f>
        <v>1</v>
      </c>
      <c r="L698" s="16">
        <f>BNW[[#This Row],[TOTAL UNIT]]*BNW[[#This Row],[Total Berat Baut
(Kg)]]</f>
        <v>19.68</v>
      </c>
      <c r="N698"/>
      <c r="O698" s="25"/>
    </row>
    <row r="699" spans="1:15" x14ac:dyDescent="0.3">
      <c r="A699" t="s">
        <v>1203</v>
      </c>
      <c r="B699" t="str">
        <f>IFERROR(VLOOKUP(A699,'DATA MASTER'!A:O,2,0)," ")</f>
        <v>Panel Bailey</v>
      </c>
      <c r="C699" t="str">
        <f>IFERROR(VLOOKUP(A699,'DATA MASTER'!A:O,4,0)," ")</f>
        <v>30 DSR2-EW</v>
      </c>
      <c r="D699" t="s">
        <v>137</v>
      </c>
      <c r="E699" t="s">
        <v>106</v>
      </c>
      <c r="F699" s="1">
        <v>8.8000000000000007</v>
      </c>
      <c r="G699" s="1">
        <v>176</v>
      </c>
      <c r="H699">
        <v>0.47399999999999998</v>
      </c>
      <c r="I699" s="16">
        <f>BNW[[#This Row],[Berat Satuan
(Kg)]]*BNW[[#This Row],[Qty
(Set)]]</f>
        <v>83.423999999999992</v>
      </c>
      <c r="K699" s="1">
        <f>SUMIF(DATA_MASTER[NO. PON],BNW[[#This Row],[No.PON]],DATA_MASTER[Qty
(Unit)])</f>
        <v>1</v>
      </c>
      <c r="L699" s="16">
        <f>BNW[[#This Row],[TOTAL UNIT]]*BNW[[#This Row],[Total Berat Baut
(Kg)]]</f>
        <v>83.423999999999992</v>
      </c>
      <c r="N699"/>
      <c r="O699" s="25"/>
    </row>
    <row r="700" spans="1:15" x14ac:dyDescent="0.3">
      <c r="A700" t="s">
        <v>1203</v>
      </c>
      <c r="B700" t="str">
        <f>IFERROR(VLOOKUP(A700,'DATA MASTER'!A:O,2,0)," ")</f>
        <v>Panel Bailey</v>
      </c>
      <c r="C700" t="str">
        <f>IFERROR(VLOOKUP(A700,'DATA MASTER'!A:O,4,0)," ")</f>
        <v>30 DSR2-EW</v>
      </c>
      <c r="D700" t="s">
        <v>138</v>
      </c>
      <c r="E700" t="s">
        <v>106</v>
      </c>
      <c r="F700" s="1">
        <v>8.8000000000000007</v>
      </c>
      <c r="G700" s="1">
        <v>24</v>
      </c>
      <c r="H700">
        <v>0.29399999999999998</v>
      </c>
      <c r="I700" s="16">
        <f>BNW[[#This Row],[Berat Satuan
(Kg)]]*BNW[[#This Row],[Qty
(Set)]]</f>
        <v>7.0559999999999992</v>
      </c>
      <c r="K700" s="1">
        <f>SUMIF(DATA_MASTER[NO. PON],BNW[[#This Row],[No.PON]],DATA_MASTER[Qty
(Unit)])</f>
        <v>1</v>
      </c>
      <c r="L700" s="16">
        <f>BNW[[#This Row],[TOTAL UNIT]]*BNW[[#This Row],[Total Berat Baut
(Kg)]]</f>
        <v>7.0559999999999992</v>
      </c>
      <c r="N700"/>
      <c r="O700" s="25"/>
    </row>
    <row r="701" spans="1:15" x14ac:dyDescent="0.3">
      <c r="A701" t="s">
        <v>1203</v>
      </c>
      <c r="B701" t="str">
        <f>IFERROR(VLOOKUP(A701,'DATA MASTER'!A:O,2,0)," ")</f>
        <v>Panel Bailey</v>
      </c>
      <c r="C701" t="str">
        <f>IFERROR(VLOOKUP(A701,'DATA MASTER'!A:O,4,0)," ")</f>
        <v>30 DSR2-EW</v>
      </c>
      <c r="D701" t="s">
        <v>139</v>
      </c>
      <c r="E701" t="s">
        <v>106</v>
      </c>
      <c r="F701" s="1">
        <v>8.8000000000000007</v>
      </c>
      <c r="G701" s="1">
        <v>10</v>
      </c>
      <c r="H701">
        <v>0.29399999999999998</v>
      </c>
      <c r="I701" s="16">
        <f>BNW[[#This Row],[Berat Satuan
(Kg)]]*BNW[[#This Row],[Qty
(Set)]]</f>
        <v>2.94</v>
      </c>
      <c r="K701" s="1">
        <f>SUMIF(DATA_MASTER[NO. PON],BNW[[#This Row],[No.PON]],DATA_MASTER[Qty
(Unit)])</f>
        <v>1</v>
      </c>
      <c r="L701" s="16">
        <f>BNW[[#This Row],[TOTAL UNIT]]*BNW[[#This Row],[Total Berat Baut
(Kg)]]</f>
        <v>2.94</v>
      </c>
      <c r="N701"/>
      <c r="O701" s="25"/>
    </row>
    <row r="702" spans="1:15" x14ac:dyDescent="0.3">
      <c r="A702" t="s">
        <v>1203</v>
      </c>
      <c r="B702" t="str">
        <f>IFERROR(VLOOKUP(A702,'DATA MASTER'!A:O,2,0)," ")</f>
        <v>Panel Bailey</v>
      </c>
      <c r="C702" t="str">
        <f>IFERROR(VLOOKUP(A702,'DATA MASTER'!A:O,4,0)," ")</f>
        <v>30 DSR2-EW</v>
      </c>
      <c r="D702" t="s">
        <v>140</v>
      </c>
      <c r="E702" t="s">
        <v>106</v>
      </c>
      <c r="F702" s="1">
        <v>8.8000000000000007</v>
      </c>
      <c r="G702" s="1">
        <v>160</v>
      </c>
      <c r="H702">
        <v>0.24399999999999999</v>
      </c>
      <c r="I702" s="16">
        <f>BNW[[#This Row],[Berat Satuan
(Kg)]]*BNW[[#This Row],[Qty
(Set)]]</f>
        <v>39.04</v>
      </c>
      <c r="K702" s="1">
        <f>SUMIF(DATA_MASTER[NO. PON],BNW[[#This Row],[No.PON]],DATA_MASTER[Qty
(Unit)])</f>
        <v>1</v>
      </c>
      <c r="L702" s="16">
        <f>BNW[[#This Row],[TOTAL UNIT]]*BNW[[#This Row],[Total Berat Baut
(Kg)]]</f>
        <v>39.04</v>
      </c>
      <c r="N702"/>
      <c r="O702" s="25"/>
    </row>
    <row r="703" spans="1:15" x14ac:dyDescent="0.3">
      <c r="A703" t="s">
        <v>1203</v>
      </c>
      <c r="B703" t="str">
        <f>IFERROR(VLOOKUP(A703,'DATA MASTER'!A:O,2,0)," ")</f>
        <v>Panel Bailey</v>
      </c>
      <c r="C703" t="str">
        <f>IFERROR(VLOOKUP(A703,'DATA MASTER'!A:O,4,0)," ")</f>
        <v>30 DSR2-EW</v>
      </c>
      <c r="D703" t="s">
        <v>141</v>
      </c>
      <c r="E703" t="s">
        <v>106</v>
      </c>
      <c r="F703" s="1">
        <v>8.8000000000000007</v>
      </c>
      <c r="G703" s="1">
        <v>16</v>
      </c>
      <c r="H703">
        <v>0.14000000000000001</v>
      </c>
      <c r="I703" s="16">
        <f>BNW[[#This Row],[Berat Satuan
(Kg)]]*BNW[[#This Row],[Qty
(Set)]]</f>
        <v>2.2400000000000002</v>
      </c>
      <c r="K703" s="1">
        <f>SUMIF(DATA_MASTER[NO. PON],BNW[[#This Row],[No.PON]],DATA_MASTER[Qty
(Unit)])</f>
        <v>1</v>
      </c>
      <c r="L703" s="16">
        <f>BNW[[#This Row],[TOTAL UNIT]]*BNW[[#This Row],[Total Berat Baut
(Kg)]]</f>
        <v>2.2400000000000002</v>
      </c>
      <c r="N703"/>
      <c r="O703" s="25"/>
    </row>
    <row r="704" spans="1:15" x14ac:dyDescent="0.3">
      <c r="A704" t="s">
        <v>1203</v>
      </c>
      <c r="B704" t="str">
        <f>IFERROR(VLOOKUP(A704,'DATA MASTER'!A:O,2,0)," ")</f>
        <v>Panel Bailey</v>
      </c>
      <c r="C704" t="str">
        <f>IFERROR(VLOOKUP(A704,'DATA MASTER'!A:O,4,0)," ")</f>
        <v>30 DSR2-EW</v>
      </c>
      <c r="D704" t="s">
        <v>142</v>
      </c>
      <c r="E704" t="s">
        <v>106</v>
      </c>
      <c r="F704" s="1">
        <v>8.8000000000000007</v>
      </c>
      <c r="G704" s="1">
        <v>80</v>
      </c>
      <c r="H704">
        <v>0.13600000000000001</v>
      </c>
      <c r="I704" s="16">
        <f>BNW[[#This Row],[Berat Satuan
(Kg)]]*BNW[[#This Row],[Qty
(Set)]]</f>
        <v>10.88</v>
      </c>
      <c r="K704" s="1">
        <f>SUMIF(DATA_MASTER[NO. PON],BNW[[#This Row],[No.PON]],DATA_MASTER[Qty
(Unit)])</f>
        <v>1</v>
      </c>
      <c r="L704" s="16">
        <f>BNW[[#This Row],[TOTAL UNIT]]*BNW[[#This Row],[Total Berat Baut
(Kg)]]</f>
        <v>10.88</v>
      </c>
      <c r="N704"/>
      <c r="O704" s="25"/>
    </row>
    <row r="705" spans="1:15" x14ac:dyDescent="0.3">
      <c r="A705" t="s">
        <v>1181</v>
      </c>
      <c r="B705" t="str">
        <f>IFERROR(VLOOKUP(A705,'DATA MASTER'!A:O,2,0)," ")</f>
        <v>Jembatan Pendekat</v>
      </c>
      <c r="C705" t="str">
        <f>IFERROR(VLOOKUP(A705,'DATA MASTER'!A:O,4,0)," ")</f>
        <v>SPAN 22.82 M</v>
      </c>
      <c r="D705" t="s">
        <v>78</v>
      </c>
      <c r="E705" t="s">
        <v>106</v>
      </c>
      <c r="F705" s="1">
        <v>8.8000000000000007</v>
      </c>
      <c r="G705" s="1">
        <v>347</v>
      </c>
      <c r="H705">
        <v>0.53</v>
      </c>
      <c r="I705" s="16">
        <f>BNW[[#This Row],[Berat Satuan
(Kg)]]*BNW[[#This Row],[Qty
(Set)]]</f>
        <v>183.91</v>
      </c>
      <c r="K705" s="1">
        <f>SUMIF(DATA_MASTER[NO. PON],BNW[[#This Row],[No.PON]],DATA_MASTER[Qty
(Unit)])</f>
        <v>1</v>
      </c>
      <c r="L705" s="16">
        <f>BNW[[#This Row],[TOTAL UNIT]]*BNW[[#This Row],[Total Berat Baut
(Kg)]]</f>
        <v>183.91</v>
      </c>
      <c r="O705" s="25"/>
    </row>
    <row r="706" spans="1:15" x14ac:dyDescent="0.3">
      <c r="A706" t="s">
        <v>1181</v>
      </c>
      <c r="B706" t="str">
        <f>IFERROR(VLOOKUP(A706,'DATA MASTER'!A:O,2,0)," ")</f>
        <v>Jembatan Pendekat</v>
      </c>
      <c r="C706" t="str">
        <f>IFERROR(VLOOKUP(A706,'DATA MASTER'!A:O,4,0)," ")</f>
        <v>SPAN 22.82 M</v>
      </c>
      <c r="D706" t="s">
        <v>79</v>
      </c>
      <c r="E706" t="s">
        <v>106</v>
      </c>
      <c r="F706" s="1">
        <v>8.8000000000000007</v>
      </c>
      <c r="G706" s="1">
        <v>124</v>
      </c>
      <c r="H706">
        <v>0.48</v>
      </c>
      <c r="I706" s="16">
        <f>BNW[[#This Row],[Berat Satuan
(Kg)]]*BNW[[#This Row],[Qty
(Set)]]</f>
        <v>59.519999999999996</v>
      </c>
      <c r="K706" s="1">
        <f>SUMIF(DATA_MASTER[NO. PON],BNW[[#This Row],[No.PON]],DATA_MASTER[Qty
(Unit)])</f>
        <v>1</v>
      </c>
      <c r="L706" s="16">
        <f>BNW[[#This Row],[TOTAL UNIT]]*BNW[[#This Row],[Total Berat Baut
(Kg)]]</f>
        <v>59.519999999999996</v>
      </c>
      <c r="N706"/>
      <c r="O706" s="25"/>
    </row>
    <row r="707" spans="1:15" x14ac:dyDescent="0.3">
      <c r="A707" t="s">
        <v>1181</v>
      </c>
      <c r="B707" t="str">
        <f>IFERROR(VLOOKUP(A707,'DATA MASTER'!A:O,2,0)," ")</f>
        <v>Jembatan Pendekat</v>
      </c>
      <c r="C707" t="str">
        <f>IFERROR(VLOOKUP(A707,'DATA MASTER'!A:O,4,0)," ")</f>
        <v>SPAN 22.82 M</v>
      </c>
      <c r="D707" t="s">
        <v>88</v>
      </c>
      <c r="E707" t="s">
        <v>106</v>
      </c>
      <c r="F707" s="1">
        <v>8.8000000000000007</v>
      </c>
      <c r="G707" s="1">
        <v>396</v>
      </c>
      <c r="H707">
        <v>0.13600000000000001</v>
      </c>
      <c r="I707" s="16">
        <f>BNW[[#This Row],[Berat Satuan
(Kg)]]*BNW[[#This Row],[Qty
(Set)]]</f>
        <v>53.856000000000002</v>
      </c>
      <c r="K707" s="1">
        <f>SUMIF(DATA_MASTER[NO. PON],BNW[[#This Row],[No.PON]],DATA_MASTER[Qty
(Unit)])</f>
        <v>1</v>
      </c>
      <c r="L707" s="16">
        <f>BNW[[#This Row],[TOTAL UNIT]]*BNW[[#This Row],[Total Berat Baut
(Kg)]]</f>
        <v>53.856000000000002</v>
      </c>
      <c r="N707"/>
      <c r="O707" s="25"/>
    </row>
    <row r="708" spans="1:15" x14ac:dyDescent="0.3">
      <c r="A708" t="s">
        <v>1181</v>
      </c>
      <c r="B708" t="str">
        <f>IFERROR(VLOOKUP(A708,'DATA MASTER'!A:O,2,0)," ")</f>
        <v>Jembatan Pendekat</v>
      </c>
      <c r="C708" t="str">
        <f>IFERROR(VLOOKUP(A708,'DATA MASTER'!A:O,4,0)," ")</f>
        <v>SPAN 22.82 M</v>
      </c>
      <c r="D708" t="s">
        <v>203</v>
      </c>
      <c r="E708" t="s">
        <v>106</v>
      </c>
      <c r="F708" s="1">
        <v>8.8000000000000007</v>
      </c>
      <c r="G708" s="1">
        <v>264</v>
      </c>
      <c r="H708">
        <v>0.129</v>
      </c>
      <c r="I708" s="16">
        <f>BNW[[#This Row],[Berat Satuan
(Kg)]]*BNW[[#This Row],[Qty
(Set)]]</f>
        <v>34.055999999999997</v>
      </c>
      <c r="K708" s="1">
        <f>SUMIF(DATA_MASTER[NO. PON],BNW[[#This Row],[No.PON]],DATA_MASTER[Qty
(Unit)])</f>
        <v>1</v>
      </c>
      <c r="L708" s="16">
        <f>BNW[[#This Row],[TOTAL UNIT]]*BNW[[#This Row],[Total Berat Baut
(Kg)]]</f>
        <v>34.055999999999997</v>
      </c>
      <c r="N708"/>
      <c r="O708" s="25"/>
    </row>
    <row r="709" spans="1:15" x14ac:dyDescent="0.3">
      <c r="A709" t="s">
        <v>1181</v>
      </c>
      <c r="B709" t="str">
        <f>IFERROR(VLOOKUP(A709,'DATA MASTER'!A:O,2,0)," ")</f>
        <v>Jembatan Pendekat</v>
      </c>
      <c r="C709" t="str">
        <f>IFERROR(VLOOKUP(A709,'DATA MASTER'!A:O,4,0)," ")</f>
        <v>SPAN 22.82 M</v>
      </c>
      <c r="D709" t="s">
        <v>89</v>
      </c>
      <c r="E709" t="s">
        <v>106</v>
      </c>
      <c r="F709" s="1">
        <v>8.8000000000000007</v>
      </c>
      <c r="G709" s="1">
        <v>50</v>
      </c>
      <c r="H709">
        <v>6.8000000000000005E-2</v>
      </c>
      <c r="I709" s="16">
        <f>BNW[[#This Row],[Berat Satuan
(Kg)]]*BNW[[#This Row],[Qty
(Set)]]</f>
        <v>3.4000000000000004</v>
      </c>
      <c r="K709" s="1">
        <f>SUMIF(DATA_MASTER[NO. PON],BNW[[#This Row],[No.PON]],DATA_MASTER[Qty
(Unit)])</f>
        <v>1</v>
      </c>
      <c r="L709" s="16">
        <f>BNW[[#This Row],[TOTAL UNIT]]*BNW[[#This Row],[Total Berat Baut
(Kg)]]</f>
        <v>3.4000000000000004</v>
      </c>
      <c r="N709"/>
      <c r="O709" s="25"/>
    </row>
    <row r="710" spans="1:15" x14ac:dyDescent="0.3">
      <c r="A710" t="s">
        <v>1179</v>
      </c>
      <c r="B710" t="str">
        <f>IFERROR(VLOOKUP(A710,'DATA MASTER'!A:O,2,0)," ")</f>
        <v>Jembatan Pendekat</v>
      </c>
      <c r="C710" t="str">
        <f>IFERROR(VLOOKUP(A710,'DATA MASTER'!A:O,4,0)," ")</f>
        <v>SPAN 11.87 M</v>
      </c>
      <c r="D710" t="s">
        <v>1215</v>
      </c>
      <c r="E710" t="s">
        <v>106</v>
      </c>
      <c r="F710" s="1">
        <v>8.8000000000000007</v>
      </c>
      <c r="G710" s="1">
        <v>25</v>
      </c>
      <c r="H710">
        <v>0.22900000000000001</v>
      </c>
      <c r="I710" s="16">
        <f>BNW[[#This Row],[Berat Satuan
(Kg)]]*BNW[[#This Row],[Qty
(Set)]]</f>
        <v>5.7250000000000005</v>
      </c>
      <c r="K710" s="1">
        <f>SUMIF(DATA_MASTER[NO. PON],BNW[[#This Row],[No.PON]],DATA_MASTER[Qty
(Unit)])</f>
        <v>2</v>
      </c>
      <c r="L710" s="16">
        <f>BNW[[#This Row],[TOTAL UNIT]]*BNW[[#This Row],[Total Berat Baut
(Kg)]]</f>
        <v>11.450000000000001</v>
      </c>
      <c r="O710" s="25"/>
    </row>
    <row r="711" spans="1:15" x14ac:dyDescent="0.3">
      <c r="A711" t="s">
        <v>1179</v>
      </c>
      <c r="B711" t="str">
        <f>IFERROR(VLOOKUP(A711,'DATA MASTER'!A:O,2,0)," ")</f>
        <v>Jembatan Pendekat</v>
      </c>
      <c r="C711" t="str">
        <f>IFERROR(VLOOKUP(A711,'DATA MASTER'!A:O,4,0)," ")</f>
        <v>SPAN 11.87 M</v>
      </c>
      <c r="D711" t="s">
        <v>88</v>
      </c>
      <c r="E711" t="s">
        <v>106</v>
      </c>
      <c r="F711" s="1">
        <v>8.8000000000000007</v>
      </c>
      <c r="G711" s="1">
        <v>25</v>
      </c>
      <c r="H711">
        <v>0.13600000000000001</v>
      </c>
      <c r="I711" s="16">
        <f>BNW[[#This Row],[Berat Satuan
(Kg)]]*BNW[[#This Row],[Qty
(Set)]]</f>
        <v>3.4000000000000004</v>
      </c>
      <c r="K711" s="1">
        <f>SUMIF(DATA_MASTER[NO. PON],BNW[[#This Row],[No.PON]],DATA_MASTER[Qty
(Unit)])</f>
        <v>2</v>
      </c>
      <c r="L711" s="16">
        <f>BNW[[#This Row],[TOTAL UNIT]]*BNW[[#This Row],[Total Berat Baut
(Kg)]]</f>
        <v>6.8000000000000007</v>
      </c>
      <c r="N711"/>
      <c r="O711" s="25"/>
    </row>
    <row r="712" spans="1:15" x14ac:dyDescent="0.3">
      <c r="A712" t="s">
        <v>1179</v>
      </c>
      <c r="B712" t="str">
        <f>IFERROR(VLOOKUP(A712,'DATA MASTER'!A:O,2,0)," ")</f>
        <v>Jembatan Pendekat</v>
      </c>
      <c r="C712" t="str">
        <f>IFERROR(VLOOKUP(A712,'DATA MASTER'!A:O,4,0)," ")</f>
        <v>SPAN 11.87 M</v>
      </c>
      <c r="D712" t="s">
        <v>203</v>
      </c>
      <c r="E712" t="s">
        <v>106</v>
      </c>
      <c r="F712" s="1">
        <v>8.8000000000000007</v>
      </c>
      <c r="G712" s="1">
        <v>165</v>
      </c>
      <c r="H712">
        <v>0.129</v>
      </c>
      <c r="I712" s="16">
        <f>BNW[[#This Row],[Berat Satuan
(Kg)]]*BNW[[#This Row],[Qty
(Set)]]</f>
        <v>21.285</v>
      </c>
      <c r="K712" s="1">
        <f>SUMIF(DATA_MASTER[NO. PON],BNW[[#This Row],[No.PON]],DATA_MASTER[Qty
(Unit)])</f>
        <v>2</v>
      </c>
      <c r="L712" s="16">
        <f>BNW[[#This Row],[TOTAL UNIT]]*BNW[[#This Row],[Total Berat Baut
(Kg)]]</f>
        <v>42.57</v>
      </c>
      <c r="N712"/>
      <c r="O712" s="25"/>
    </row>
    <row r="713" spans="1:15" x14ac:dyDescent="0.3">
      <c r="A713" t="s">
        <v>1179</v>
      </c>
      <c r="B713" t="str">
        <f>IFERROR(VLOOKUP(A713,'DATA MASTER'!A:O,2,0)," ")</f>
        <v>Jembatan Pendekat</v>
      </c>
      <c r="C713" t="str">
        <f>IFERROR(VLOOKUP(A713,'DATA MASTER'!A:O,4,0)," ")</f>
        <v>SPAN 11.87 M</v>
      </c>
      <c r="D713" t="s">
        <v>89</v>
      </c>
      <c r="E713" t="s">
        <v>106</v>
      </c>
      <c r="F713" s="1">
        <v>8.8000000000000007</v>
      </c>
      <c r="G713" s="1">
        <v>21</v>
      </c>
      <c r="H713">
        <v>6.8000000000000005E-2</v>
      </c>
      <c r="I713" s="16">
        <f>BNW[[#This Row],[Berat Satuan
(Kg)]]*BNW[[#This Row],[Qty
(Set)]]</f>
        <v>1.4280000000000002</v>
      </c>
      <c r="K713" s="1">
        <f>SUMIF(DATA_MASTER[NO. PON],BNW[[#This Row],[No.PON]],DATA_MASTER[Qty
(Unit)])</f>
        <v>2</v>
      </c>
      <c r="L713" s="16">
        <f>BNW[[#This Row],[TOTAL UNIT]]*BNW[[#This Row],[Total Berat Baut
(Kg)]]</f>
        <v>2.8560000000000003</v>
      </c>
      <c r="N713"/>
      <c r="O713" s="25"/>
    </row>
    <row r="714" spans="1:15" x14ac:dyDescent="0.3">
      <c r="A714" t="s">
        <v>1180</v>
      </c>
      <c r="B714" t="str">
        <f>IFERROR(VLOOKUP(A714,'DATA MASTER'!A:O,2,0)," ")</f>
        <v>Jembatan Pendekat</v>
      </c>
      <c r="C714" t="str">
        <f>IFERROR(VLOOKUP(A714,'DATA MASTER'!A:O,4,0)," ")</f>
        <v>SPAN 14.20 M</v>
      </c>
      <c r="D714" t="s">
        <v>785</v>
      </c>
      <c r="E714" t="s">
        <v>106</v>
      </c>
      <c r="F714" s="1">
        <v>8.8000000000000007</v>
      </c>
      <c r="G714" s="1">
        <v>174</v>
      </c>
      <c r="H714">
        <v>0.16900000000000001</v>
      </c>
      <c r="I714" s="16">
        <f>BNW[[#This Row],[Berat Satuan
(Kg)]]*BNW[[#This Row],[Qty
(Set)]]</f>
        <v>29.406000000000002</v>
      </c>
      <c r="K714" s="1">
        <f>SUMIF(DATA_MASTER[NO. PON],BNW[[#This Row],[No.PON]],DATA_MASTER[Qty
(Unit)])</f>
        <v>1</v>
      </c>
      <c r="L714" s="16">
        <f>BNW[[#This Row],[TOTAL UNIT]]*BNW[[#This Row],[Total Berat Baut
(Kg)]]</f>
        <v>29.406000000000002</v>
      </c>
      <c r="O714" s="25"/>
    </row>
    <row r="715" spans="1:15" x14ac:dyDescent="0.3">
      <c r="A715" t="s">
        <v>1180</v>
      </c>
      <c r="B715" t="str">
        <f>IFERROR(VLOOKUP(A715,'DATA MASTER'!A:O,2,0)," ")</f>
        <v>Jembatan Pendekat</v>
      </c>
      <c r="C715" t="str">
        <f>IFERROR(VLOOKUP(A715,'DATA MASTER'!A:O,4,0)," ")</f>
        <v>SPAN 14.20 M</v>
      </c>
      <c r="D715" t="s">
        <v>623</v>
      </c>
      <c r="E715" t="s">
        <v>106</v>
      </c>
      <c r="F715" s="1">
        <v>8.8000000000000007</v>
      </c>
      <c r="G715" s="1">
        <v>112</v>
      </c>
      <c r="H715">
        <v>0.159</v>
      </c>
      <c r="I715" s="16">
        <f>BNW[[#This Row],[Berat Satuan
(Kg)]]*BNW[[#This Row],[Qty
(Set)]]</f>
        <v>17.808</v>
      </c>
      <c r="K715" s="1">
        <f>SUMIF(DATA_MASTER[NO. PON],BNW[[#This Row],[No.PON]],DATA_MASTER[Qty
(Unit)])</f>
        <v>1</v>
      </c>
      <c r="L715" s="16">
        <f>BNW[[#This Row],[TOTAL UNIT]]*BNW[[#This Row],[Total Berat Baut
(Kg)]]</f>
        <v>17.808</v>
      </c>
      <c r="N715"/>
      <c r="O715" s="25"/>
    </row>
    <row r="716" spans="1:15" x14ac:dyDescent="0.3">
      <c r="A716" t="s">
        <v>1180</v>
      </c>
      <c r="B716" t="str">
        <f>IFERROR(VLOOKUP(A716,'DATA MASTER'!A:O,2,0)," ")</f>
        <v>Jembatan Pendekat</v>
      </c>
      <c r="C716" t="str">
        <f>IFERROR(VLOOKUP(A716,'DATA MASTER'!A:O,4,0)," ")</f>
        <v>SPAN 14.20 M</v>
      </c>
      <c r="D716" t="s">
        <v>88</v>
      </c>
      <c r="E716" t="s">
        <v>106</v>
      </c>
      <c r="F716" s="1">
        <v>8.8000000000000007</v>
      </c>
      <c r="G716" s="1">
        <v>33</v>
      </c>
      <c r="H716">
        <v>0.13600000000000001</v>
      </c>
      <c r="I716" s="16">
        <f>BNW[[#This Row],[Berat Satuan
(Kg)]]*BNW[[#This Row],[Qty
(Set)]]</f>
        <v>4.4880000000000004</v>
      </c>
      <c r="K716" s="1">
        <f>SUMIF(DATA_MASTER[NO. PON],BNW[[#This Row],[No.PON]],DATA_MASTER[Qty
(Unit)])</f>
        <v>1</v>
      </c>
      <c r="L716" s="16">
        <f>BNW[[#This Row],[TOTAL UNIT]]*BNW[[#This Row],[Total Berat Baut
(Kg)]]</f>
        <v>4.4880000000000004</v>
      </c>
      <c r="N716"/>
      <c r="O716" s="25"/>
    </row>
    <row r="717" spans="1:15" x14ac:dyDescent="0.3">
      <c r="A717" t="s">
        <v>1180</v>
      </c>
      <c r="B717" t="str">
        <f>IFERROR(VLOOKUP(A717,'DATA MASTER'!A:O,2,0)," ")</f>
        <v>Jembatan Pendekat</v>
      </c>
      <c r="C717" t="str">
        <f>IFERROR(VLOOKUP(A717,'DATA MASTER'!A:O,4,0)," ")</f>
        <v>SPAN 14.20 M</v>
      </c>
      <c r="D717" t="s">
        <v>203</v>
      </c>
      <c r="E717" t="s">
        <v>106</v>
      </c>
      <c r="F717" s="1">
        <v>8.8000000000000007</v>
      </c>
      <c r="G717" s="1">
        <v>141</v>
      </c>
      <c r="H717">
        <v>0.129</v>
      </c>
      <c r="I717" s="16">
        <f>BNW[[#This Row],[Berat Satuan
(Kg)]]*BNW[[#This Row],[Qty
(Set)]]</f>
        <v>18.189</v>
      </c>
      <c r="K717" s="1">
        <f>SUMIF(DATA_MASTER[NO. PON],BNW[[#This Row],[No.PON]],DATA_MASTER[Qty
(Unit)])</f>
        <v>1</v>
      </c>
      <c r="L717" s="16">
        <f>BNW[[#This Row],[TOTAL UNIT]]*BNW[[#This Row],[Total Berat Baut
(Kg)]]</f>
        <v>18.189</v>
      </c>
      <c r="N717"/>
      <c r="O717" s="25"/>
    </row>
    <row r="718" spans="1:15" x14ac:dyDescent="0.3">
      <c r="A718" t="s">
        <v>1220</v>
      </c>
      <c r="B718" t="str">
        <f>IFERROR(VLOOKUP(A718,'DATA MASTER'!A:O,2,0)," ")</f>
        <v>Panel Bailey</v>
      </c>
      <c r="C718" t="str">
        <f>IFERROR(VLOOKUP(A718,'DATA MASTER'!A:O,4,0)," ")</f>
        <v>18 SSR - EW</v>
      </c>
      <c r="D718" t="s">
        <v>133</v>
      </c>
      <c r="E718" t="s">
        <v>441</v>
      </c>
      <c r="F718" s="1" t="s">
        <v>296</v>
      </c>
      <c r="G718" s="1">
        <v>96</v>
      </c>
      <c r="H718">
        <v>0.53</v>
      </c>
      <c r="I718" s="16">
        <f>BNW[[#This Row],[Berat Satuan
(Kg)]]*BNW[[#This Row],[Qty
(Set)]]</f>
        <v>50.88</v>
      </c>
      <c r="K718" s="1">
        <f>SUMIF(DATA_MASTER[NO. PON],BNW[[#This Row],[No.PON]],DATA_MASTER[Qty
(Unit)])</f>
        <v>1</v>
      </c>
      <c r="L718" s="16">
        <f>BNW[[#This Row],[TOTAL UNIT]]*BNW[[#This Row],[Total Berat Baut
(Kg)]]</f>
        <v>50.88</v>
      </c>
      <c r="O718" s="25"/>
    </row>
    <row r="719" spans="1:15" x14ac:dyDescent="0.3">
      <c r="A719" t="s">
        <v>1220</v>
      </c>
      <c r="B719" t="str">
        <f>IFERROR(VLOOKUP(A719,'DATA MASTER'!A:O,2,0)," ")</f>
        <v>Panel Bailey</v>
      </c>
      <c r="C719" t="str">
        <f>IFERROR(VLOOKUP(A719,'DATA MASTER'!A:O,4,0)," ")</f>
        <v>18 SSR - EW</v>
      </c>
      <c r="D719" t="s">
        <v>134</v>
      </c>
      <c r="E719" t="s">
        <v>106</v>
      </c>
      <c r="F719" s="1">
        <v>8.8000000000000007</v>
      </c>
      <c r="G719" s="1">
        <v>6</v>
      </c>
      <c r="H719">
        <v>0.46</v>
      </c>
      <c r="I719" s="16">
        <f>BNW[[#This Row],[Berat Satuan
(Kg)]]*BNW[[#This Row],[Qty
(Set)]]</f>
        <v>2.7600000000000002</v>
      </c>
      <c r="K719" s="1">
        <f>SUMIF(DATA_MASTER[NO. PON],BNW[[#This Row],[No.PON]],DATA_MASTER[Qty
(Unit)])</f>
        <v>1</v>
      </c>
      <c r="L719" s="16">
        <f>BNW[[#This Row],[TOTAL UNIT]]*BNW[[#This Row],[Total Berat Baut
(Kg)]]</f>
        <v>2.7600000000000002</v>
      </c>
      <c r="N719"/>
      <c r="O719" s="25"/>
    </row>
    <row r="720" spans="1:15" x14ac:dyDescent="0.3">
      <c r="A720" t="s">
        <v>1220</v>
      </c>
      <c r="B720" t="str">
        <f>IFERROR(VLOOKUP(A720,'DATA MASTER'!A:O,2,0)," ")</f>
        <v>Panel Bailey</v>
      </c>
      <c r="C720" t="str">
        <f>IFERROR(VLOOKUP(A720,'DATA MASTER'!A:O,4,0)," ")</f>
        <v>18 SSR - EW</v>
      </c>
      <c r="D720" t="s">
        <v>135</v>
      </c>
      <c r="E720" t="s">
        <v>106</v>
      </c>
      <c r="F720" s="1">
        <v>8.8000000000000007</v>
      </c>
      <c r="G720" s="1">
        <v>48</v>
      </c>
      <c r="H720">
        <v>0.43</v>
      </c>
      <c r="I720" s="16">
        <f>BNW[[#This Row],[Berat Satuan
(Kg)]]*BNW[[#This Row],[Qty
(Set)]]</f>
        <v>20.64</v>
      </c>
      <c r="K720" s="1">
        <f>SUMIF(DATA_MASTER[NO. PON],BNW[[#This Row],[No.PON]],DATA_MASTER[Qty
(Unit)])</f>
        <v>1</v>
      </c>
      <c r="L720" s="16">
        <f>BNW[[#This Row],[TOTAL UNIT]]*BNW[[#This Row],[Total Berat Baut
(Kg)]]</f>
        <v>20.64</v>
      </c>
      <c r="N720"/>
      <c r="O720" s="25"/>
    </row>
    <row r="721" spans="1:15" x14ac:dyDescent="0.3">
      <c r="A721" t="s">
        <v>1220</v>
      </c>
      <c r="B721" t="str">
        <f>IFERROR(VLOOKUP(A721,'DATA MASTER'!A:O,2,0)," ")</f>
        <v>Panel Bailey</v>
      </c>
      <c r="C721" t="str">
        <f>IFERROR(VLOOKUP(A721,'DATA MASTER'!A:O,4,0)," ")</f>
        <v>18 SSR - EW</v>
      </c>
      <c r="D721" t="s">
        <v>136</v>
      </c>
      <c r="E721" t="s">
        <v>106</v>
      </c>
      <c r="F721" s="1">
        <v>8.8000000000000007</v>
      </c>
      <c r="G721" s="1">
        <v>32</v>
      </c>
      <c r="H721">
        <v>0.41</v>
      </c>
      <c r="I721" s="16">
        <f>BNW[[#This Row],[Berat Satuan
(Kg)]]*BNW[[#This Row],[Qty
(Set)]]</f>
        <v>13.12</v>
      </c>
      <c r="K721" s="1">
        <f>SUMIF(DATA_MASTER[NO. PON],BNW[[#This Row],[No.PON]],DATA_MASTER[Qty
(Unit)])</f>
        <v>1</v>
      </c>
      <c r="L721" s="16">
        <f>BNW[[#This Row],[TOTAL UNIT]]*BNW[[#This Row],[Total Berat Baut
(Kg)]]</f>
        <v>13.12</v>
      </c>
      <c r="N721"/>
      <c r="O721" s="25"/>
    </row>
    <row r="722" spans="1:15" x14ac:dyDescent="0.3">
      <c r="A722" t="s">
        <v>1220</v>
      </c>
      <c r="B722" t="str">
        <f>IFERROR(VLOOKUP(A722,'DATA MASTER'!A:O,2,0)," ")</f>
        <v>Panel Bailey</v>
      </c>
      <c r="C722" t="str">
        <f>IFERROR(VLOOKUP(A722,'DATA MASTER'!A:O,4,0)," ")</f>
        <v>18 SSR - EW</v>
      </c>
      <c r="D722" t="s">
        <v>137</v>
      </c>
      <c r="E722" t="s">
        <v>106</v>
      </c>
      <c r="F722" s="1">
        <v>8.8000000000000007</v>
      </c>
      <c r="G722" s="1">
        <v>112</v>
      </c>
      <c r="H722">
        <v>0.47399999999999998</v>
      </c>
      <c r="I722" s="16">
        <f>BNW[[#This Row],[Berat Satuan
(Kg)]]*BNW[[#This Row],[Qty
(Set)]]</f>
        <v>53.087999999999994</v>
      </c>
      <c r="K722" s="1">
        <f>SUMIF(DATA_MASTER[NO. PON],BNW[[#This Row],[No.PON]],DATA_MASTER[Qty
(Unit)])</f>
        <v>1</v>
      </c>
      <c r="L722" s="16">
        <f>BNW[[#This Row],[TOTAL UNIT]]*BNW[[#This Row],[Total Berat Baut
(Kg)]]</f>
        <v>53.087999999999994</v>
      </c>
      <c r="N722"/>
      <c r="O722" s="25"/>
    </row>
    <row r="723" spans="1:15" x14ac:dyDescent="0.3">
      <c r="A723" t="s">
        <v>1220</v>
      </c>
      <c r="B723" t="str">
        <f>IFERROR(VLOOKUP(A723,'DATA MASTER'!A:O,2,0)," ")</f>
        <v>Panel Bailey</v>
      </c>
      <c r="C723" t="str">
        <f>IFERROR(VLOOKUP(A723,'DATA MASTER'!A:O,4,0)," ")</f>
        <v>18 SSR - EW</v>
      </c>
      <c r="D723" t="s">
        <v>294</v>
      </c>
      <c r="E723" t="s">
        <v>106</v>
      </c>
      <c r="F723" s="1">
        <v>8.8000000000000007</v>
      </c>
      <c r="G723" s="1">
        <v>14</v>
      </c>
      <c r="H723">
        <v>0.35400000000000004</v>
      </c>
      <c r="I723" s="16">
        <f>BNW[[#This Row],[Berat Satuan
(Kg)]]*BNW[[#This Row],[Qty
(Set)]]</f>
        <v>4.9560000000000004</v>
      </c>
      <c r="K723" s="1">
        <f>SUMIF(DATA_MASTER[NO. PON],BNW[[#This Row],[No.PON]],DATA_MASTER[Qty
(Unit)])</f>
        <v>1</v>
      </c>
      <c r="L723" s="16">
        <f>BNW[[#This Row],[TOTAL UNIT]]*BNW[[#This Row],[Total Berat Baut
(Kg)]]</f>
        <v>4.9560000000000004</v>
      </c>
      <c r="N723"/>
      <c r="O723" s="25"/>
    </row>
    <row r="724" spans="1:15" x14ac:dyDescent="0.3">
      <c r="A724" t="s">
        <v>1220</v>
      </c>
      <c r="B724" t="str">
        <f>IFERROR(VLOOKUP(A724,'DATA MASTER'!A:O,2,0)," ")</f>
        <v>Panel Bailey</v>
      </c>
      <c r="C724" t="str">
        <f>IFERROR(VLOOKUP(A724,'DATA MASTER'!A:O,4,0)," ")</f>
        <v>18 SSR - EW</v>
      </c>
      <c r="D724" t="s">
        <v>295</v>
      </c>
      <c r="E724" t="s">
        <v>106</v>
      </c>
      <c r="F724" s="1">
        <v>8.8000000000000007</v>
      </c>
      <c r="G724" s="1">
        <v>14</v>
      </c>
      <c r="H724">
        <v>0.33400000000000002</v>
      </c>
      <c r="I724" s="16">
        <f>BNW[[#This Row],[Berat Satuan
(Kg)]]*BNW[[#This Row],[Qty
(Set)]]</f>
        <v>4.6760000000000002</v>
      </c>
      <c r="K724" s="1">
        <f>SUMIF(DATA_MASTER[NO. PON],BNW[[#This Row],[No.PON]],DATA_MASTER[Qty
(Unit)])</f>
        <v>1</v>
      </c>
      <c r="L724" s="16">
        <f>BNW[[#This Row],[TOTAL UNIT]]*BNW[[#This Row],[Total Berat Baut
(Kg)]]</f>
        <v>4.6760000000000002</v>
      </c>
      <c r="N724"/>
      <c r="O724" s="25"/>
    </row>
    <row r="725" spans="1:15" x14ac:dyDescent="0.3">
      <c r="A725" t="s">
        <v>1220</v>
      </c>
      <c r="B725" t="str">
        <f>IFERROR(VLOOKUP(A725,'DATA MASTER'!A:O,2,0)," ")</f>
        <v>Panel Bailey</v>
      </c>
      <c r="C725" t="str">
        <f>IFERROR(VLOOKUP(A725,'DATA MASTER'!A:O,4,0)," ")</f>
        <v>18 SSR - EW</v>
      </c>
      <c r="D725" t="s">
        <v>138</v>
      </c>
      <c r="E725" t="s">
        <v>106</v>
      </c>
      <c r="F725" s="1">
        <v>8.8000000000000007</v>
      </c>
      <c r="G725" s="1">
        <v>16</v>
      </c>
      <c r="H725">
        <v>0.29399999999999998</v>
      </c>
      <c r="I725" s="16">
        <f>BNW[[#This Row],[Berat Satuan
(Kg)]]*BNW[[#This Row],[Qty
(Set)]]</f>
        <v>4.7039999999999997</v>
      </c>
      <c r="K725" s="1">
        <f>SUMIF(DATA_MASTER[NO. PON],BNW[[#This Row],[No.PON]],DATA_MASTER[Qty
(Unit)])</f>
        <v>1</v>
      </c>
      <c r="L725" s="16">
        <f>BNW[[#This Row],[TOTAL UNIT]]*BNW[[#This Row],[Total Berat Baut
(Kg)]]</f>
        <v>4.7039999999999997</v>
      </c>
      <c r="N725"/>
      <c r="O725" s="25"/>
    </row>
    <row r="726" spans="1:15" x14ac:dyDescent="0.3">
      <c r="A726" t="s">
        <v>1220</v>
      </c>
      <c r="B726" t="str">
        <f>IFERROR(VLOOKUP(A726,'DATA MASTER'!A:O,2,0)," ")</f>
        <v>Panel Bailey</v>
      </c>
      <c r="C726" t="str">
        <f>IFERROR(VLOOKUP(A726,'DATA MASTER'!A:O,4,0)," ")</f>
        <v>18 SSR - EW</v>
      </c>
      <c r="D726" t="s">
        <v>139</v>
      </c>
      <c r="E726" t="s">
        <v>106</v>
      </c>
      <c r="F726" s="1">
        <v>8.8000000000000007</v>
      </c>
      <c r="G726" s="1">
        <v>6</v>
      </c>
      <c r="H726">
        <v>0.29399999999999998</v>
      </c>
      <c r="I726" s="16">
        <f>BNW[[#This Row],[Berat Satuan
(Kg)]]*BNW[[#This Row],[Qty
(Set)]]</f>
        <v>1.7639999999999998</v>
      </c>
      <c r="K726" s="1">
        <f>SUMIF(DATA_MASTER[NO. PON],BNW[[#This Row],[No.PON]],DATA_MASTER[Qty
(Unit)])</f>
        <v>1</v>
      </c>
      <c r="L726" s="16">
        <f>BNW[[#This Row],[TOTAL UNIT]]*BNW[[#This Row],[Total Berat Baut
(Kg)]]</f>
        <v>1.7639999999999998</v>
      </c>
      <c r="N726"/>
      <c r="O726" s="25"/>
    </row>
    <row r="727" spans="1:15" x14ac:dyDescent="0.3">
      <c r="A727" t="s">
        <v>1220</v>
      </c>
      <c r="B727" t="str">
        <f>IFERROR(VLOOKUP(A727,'DATA MASTER'!A:O,2,0)," ")</f>
        <v>Panel Bailey</v>
      </c>
      <c r="C727" t="str">
        <f>IFERROR(VLOOKUP(A727,'DATA MASTER'!A:O,4,0)," ")</f>
        <v>18 SSR - EW</v>
      </c>
      <c r="D727" t="s">
        <v>140</v>
      </c>
      <c r="E727" t="s">
        <v>106</v>
      </c>
      <c r="F727" s="1">
        <v>8.8000000000000007</v>
      </c>
      <c r="G727" s="1">
        <v>48</v>
      </c>
      <c r="H727">
        <v>0.24399999999999999</v>
      </c>
      <c r="I727" s="16">
        <f>BNW[[#This Row],[Berat Satuan
(Kg)]]*BNW[[#This Row],[Qty
(Set)]]</f>
        <v>11.712</v>
      </c>
      <c r="K727" s="1">
        <f>SUMIF(DATA_MASTER[NO. PON],BNW[[#This Row],[No.PON]],DATA_MASTER[Qty
(Unit)])</f>
        <v>1</v>
      </c>
      <c r="L727" s="16">
        <f>BNW[[#This Row],[TOTAL UNIT]]*BNW[[#This Row],[Total Berat Baut
(Kg)]]</f>
        <v>11.712</v>
      </c>
      <c r="N727"/>
      <c r="O727" s="25"/>
    </row>
    <row r="728" spans="1:15" x14ac:dyDescent="0.3">
      <c r="A728" t="s">
        <v>1220</v>
      </c>
      <c r="B728" t="str">
        <f>IFERROR(VLOOKUP(A728,'DATA MASTER'!A:O,2,0)," ")</f>
        <v>Panel Bailey</v>
      </c>
      <c r="C728" t="str">
        <f>IFERROR(VLOOKUP(A728,'DATA MASTER'!A:O,4,0)," ")</f>
        <v>18 SSR - EW</v>
      </c>
      <c r="D728" t="s">
        <v>141</v>
      </c>
      <c r="E728" t="s">
        <v>106</v>
      </c>
      <c r="F728" s="1">
        <v>8.8000000000000007</v>
      </c>
      <c r="G728" s="1">
        <v>8</v>
      </c>
      <c r="H728">
        <v>0.13600000000000001</v>
      </c>
      <c r="I728" s="16">
        <f>BNW[[#This Row],[Berat Satuan
(Kg)]]*BNW[[#This Row],[Qty
(Set)]]</f>
        <v>1.0880000000000001</v>
      </c>
      <c r="K728" s="1">
        <f>SUMIF(DATA_MASTER[NO. PON],BNW[[#This Row],[No.PON]],DATA_MASTER[Qty
(Unit)])</f>
        <v>1</v>
      </c>
      <c r="L728" s="16">
        <f>BNW[[#This Row],[TOTAL UNIT]]*BNW[[#This Row],[Total Berat Baut
(Kg)]]</f>
        <v>1.0880000000000001</v>
      </c>
      <c r="N728"/>
      <c r="O728" s="25"/>
    </row>
    <row r="729" spans="1:15" x14ac:dyDescent="0.3">
      <c r="A729" t="s">
        <v>1220</v>
      </c>
      <c r="B729" t="str">
        <f>IFERROR(VLOOKUP(A729,'DATA MASTER'!A:O,2,0)," ")</f>
        <v>Panel Bailey</v>
      </c>
      <c r="C729" t="str">
        <f>IFERROR(VLOOKUP(A729,'DATA MASTER'!A:O,4,0)," ")</f>
        <v>18 SSR - EW</v>
      </c>
      <c r="D729" t="s">
        <v>142</v>
      </c>
      <c r="E729" t="s">
        <v>106</v>
      </c>
      <c r="F729" s="1">
        <v>8.8000000000000007</v>
      </c>
      <c r="G729" s="1">
        <v>48</v>
      </c>
      <c r="H729">
        <v>0.13600000000000001</v>
      </c>
      <c r="I729" s="16">
        <f>BNW[[#This Row],[Berat Satuan
(Kg)]]*BNW[[#This Row],[Qty
(Set)]]</f>
        <v>6.5280000000000005</v>
      </c>
      <c r="K729" s="1">
        <f>SUMIF(DATA_MASTER[NO. PON],BNW[[#This Row],[No.PON]],DATA_MASTER[Qty
(Unit)])</f>
        <v>1</v>
      </c>
      <c r="L729" s="16">
        <f>BNW[[#This Row],[TOTAL UNIT]]*BNW[[#This Row],[Total Berat Baut
(Kg)]]</f>
        <v>6.5280000000000005</v>
      </c>
      <c r="N729"/>
      <c r="O729" s="25"/>
    </row>
    <row r="730" spans="1:15" x14ac:dyDescent="0.3">
      <c r="A730" t="s">
        <v>1221</v>
      </c>
      <c r="B730" t="str">
        <f>IFERROR(VLOOKUP(A730,'DATA MASTER'!A:O,2,0)," ")</f>
        <v>Panel Bailey</v>
      </c>
      <c r="C730" t="str">
        <f>IFERROR(VLOOKUP(A730,'DATA MASTER'!A:O,4,0)," ")</f>
        <v>12 SSR-EW</v>
      </c>
      <c r="D730" t="s">
        <v>133</v>
      </c>
      <c r="E730" t="s">
        <v>441</v>
      </c>
      <c r="F730" s="1" t="s">
        <v>296</v>
      </c>
      <c r="G730" s="1">
        <v>64</v>
      </c>
      <c r="H730">
        <v>0.53</v>
      </c>
      <c r="I730" s="16">
        <f>BNW[[#This Row],[Berat Satuan
(Kg)]]*BNW[[#This Row],[Qty
(Set)]]</f>
        <v>33.92</v>
      </c>
      <c r="K730" s="1">
        <f>SUMIF(DATA_MASTER[NO. PON],BNW[[#This Row],[No.PON]],DATA_MASTER[Qty
(Unit)])</f>
        <v>1</v>
      </c>
      <c r="L730" s="16">
        <f>BNW[[#This Row],[TOTAL UNIT]]*BNW[[#This Row],[Total Berat Baut
(Kg)]]</f>
        <v>33.92</v>
      </c>
      <c r="O730" s="25"/>
    </row>
    <row r="731" spans="1:15" x14ac:dyDescent="0.3">
      <c r="A731" t="s">
        <v>1221</v>
      </c>
      <c r="B731" t="str">
        <f>IFERROR(VLOOKUP(A731,'DATA MASTER'!A:O,2,0)," ")</f>
        <v>Panel Bailey</v>
      </c>
      <c r="C731" t="str">
        <f>IFERROR(VLOOKUP(A731,'DATA MASTER'!A:O,4,0)," ")</f>
        <v>12 SSR-EW</v>
      </c>
      <c r="D731" t="s">
        <v>134</v>
      </c>
      <c r="E731" t="s">
        <v>106</v>
      </c>
      <c r="F731" s="1">
        <v>8.8000000000000007</v>
      </c>
      <c r="G731" s="1">
        <v>4</v>
      </c>
      <c r="H731">
        <v>0.46</v>
      </c>
      <c r="I731" s="16">
        <f>BNW[[#This Row],[Berat Satuan
(Kg)]]*BNW[[#This Row],[Qty
(Set)]]</f>
        <v>1.84</v>
      </c>
      <c r="K731" s="1">
        <f>SUMIF(DATA_MASTER[NO. PON],BNW[[#This Row],[No.PON]],DATA_MASTER[Qty
(Unit)])</f>
        <v>1</v>
      </c>
      <c r="L731" s="16">
        <f>BNW[[#This Row],[TOTAL UNIT]]*BNW[[#This Row],[Total Berat Baut
(Kg)]]</f>
        <v>1.84</v>
      </c>
      <c r="N731"/>
      <c r="O731" s="25"/>
    </row>
    <row r="732" spans="1:15" x14ac:dyDescent="0.3">
      <c r="A732" t="s">
        <v>1221</v>
      </c>
      <c r="B732" t="str">
        <f>IFERROR(VLOOKUP(A732,'DATA MASTER'!A:O,2,0)," ")</f>
        <v>Panel Bailey</v>
      </c>
      <c r="C732" t="str">
        <f>IFERROR(VLOOKUP(A732,'DATA MASTER'!A:O,4,0)," ")</f>
        <v>12 SSR-EW</v>
      </c>
      <c r="D732" t="s">
        <v>135</v>
      </c>
      <c r="E732" t="s">
        <v>106</v>
      </c>
      <c r="F732" s="1">
        <v>8.8000000000000007</v>
      </c>
      <c r="G732" s="1">
        <v>32</v>
      </c>
      <c r="H732">
        <v>0.43</v>
      </c>
      <c r="I732" s="16">
        <f>BNW[[#This Row],[Berat Satuan
(Kg)]]*BNW[[#This Row],[Qty
(Set)]]</f>
        <v>13.76</v>
      </c>
      <c r="K732" s="1">
        <f>SUMIF(DATA_MASTER[NO. PON],BNW[[#This Row],[No.PON]],DATA_MASTER[Qty
(Unit)])</f>
        <v>1</v>
      </c>
      <c r="L732" s="16">
        <f>BNW[[#This Row],[TOTAL UNIT]]*BNW[[#This Row],[Total Berat Baut
(Kg)]]</f>
        <v>13.76</v>
      </c>
      <c r="N732"/>
      <c r="O732" s="25"/>
    </row>
    <row r="733" spans="1:15" x14ac:dyDescent="0.3">
      <c r="A733" t="s">
        <v>1221</v>
      </c>
      <c r="B733" t="str">
        <f>IFERROR(VLOOKUP(A733,'DATA MASTER'!A:O,2,0)," ")</f>
        <v>Panel Bailey</v>
      </c>
      <c r="C733" t="str">
        <f>IFERROR(VLOOKUP(A733,'DATA MASTER'!A:O,4,0)," ")</f>
        <v>12 SSR-EW</v>
      </c>
      <c r="D733" t="s">
        <v>136</v>
      </c>
      <c r="E733" t="s">
        <v>106</v>
      </c>
      <c r="F733" s="1">
        <v>8.8000000000000007</v>
      </c>
      <c r="G733" s="1">
        <v>24</v>
      </c>
      <c r="H733">
        <v>0.41</v>
      </c>
      <c r="I733" s="16">
        <f>BNW[[#This Row],[Berat Satuan
(Kg)]]*BNW[[#This Row],[Qty
(Set)]]</f>
        <v>9.84</v>
      </c>
      <c r="K733" s="1">
        <f>SUMIF(DATA_MASTER[NO. PON],BNW[[#This Row],[No.PON]],DATA_MASTER[Qty
(Unit)])</f>
        <v>1</v>
      </c>
      <c r="L733" s="16">
        <f>BNW[[#This Row],[TOTAL UNIT]]*BNW[[#This Row],[Total Berat Baut
(Kg)]]</f>
        <v>9.84</v>
      </c>
      <c r="N733"/>
      <c r="O733" s="25"/>
    </row>
    <row r="734" spans="1:15" x14ac:dyDescent="0.3">
      <c r="A734" t="s">
        <v>1221</v>
      </c>
      <c r="B734" t="str">
        <f>IFERROR(VLOOKUP(A734,'DATA MASTER'!A:O,2,0)," ")</f>
        <v>Panel Bailey</v>
      </c>
      <c r="C734" t="str">
        <f>IFERROR(VLOOKUP(A734,'DATA MASTER'!A:O,4,0)," ")</f>
        <v>12 SSR-EW</v>
      </c>
      <c r="D734" t="s">
        <v>137</v>
      </c>
      <c r="E734" t="s">
        <v>106</v>
      </c>
      <c r="F734" s="1">
        <v>8.8000000000000007</v>
      </c>
      <c r="G734" s="1">
        <v>80</v>
      </c>
      <c r="H734">
        <v>0.47399999999999998</v>
      </c>
      <c r="I734" s="16">
        <f>BNW[[#This Row],[Berat Satuan
(Kg)]]*BNW[[#This Row],[Qty
(Set)]]</f>
        <v>37.92</v>
      </c>
      <c r="K734" s="1">
        <f>SUMIF(DATA_MASTER[NO. PON],BNW[[#This Row],[No.PON]],DATA_MASTER[Qty
(Unit)])</f>
        <v>1</v>
      </c>
      <c r="L734" s="16">
        <f>BNW[[#This Row],[TOTAL UNIT]]*BNW[[#This Row],[Total Berat Baut
(Kg)]]</f>
        <v>37.92</v>
      </c>
      <c r="N734"/>
      <c r="O734" s="25"/>
    </row>
    <row r="735" spans="1:15" x14ac:dyDescent="0.3">
      <c r="A735" t="s">
        <v>1221</v>
      </c>
      <c r="B735" t="str">
        <f>IFERROR(VLOOKUP(A735,'DATA MASTER'!A:O,2,0)," ")</f>
        <v>Panel Bailey</v>
      </c>
      <c r="C735" t="str">
        <f>IFERROR(VLOOKUP(A735,'DATA MASTER'!A:O,4,0)," ")</f>
        <v>12 SSR-EW</v>
      </c>
      <c r="D735" t="s">
        <v>294</v>
      </c>
      <c r="E735" t="s">
        <v>106</v>
      </c>
      <c r="F735" s="1">
        <v>8.8000000000000007</v>
      </c>
      <c r="G735" s="1">
        <v>10</v>
      </c>
      <c r="H735">
        <v>0.35400000000000004</v>
      </c>
      <c r="I735" s="16">
        <f>BNW[[#This Row],[Berat Satuan
(Kg)]]*BNW[[#This Row],[Qty
(Set)]]</f>
        <v>3.5400000000000005</v>
      </c>
      <c r="K735" s="1">
        <f>SUMIF(DATA_MASTER[NO. PON],BNW[[#This Row],[No.PON]],DATA_MASTER[Qty
(Unit)])</f>
        <v>1</v>
      </c>
      <c r="L735" s="16">
        <f>BNW[[#This Row],[TOTAL UNIT]]*BNW[[#This Row],[Total Berat Baut
(Kg)]]</f>
        <v>3.5400000000000005</v>
      </c>
      <c r="N735"/>
      <c r="O735" s="25"/>
    </row>
    <row r="736" spans="1:15" x14ac:dyDescent="0.3">
      <c r="A736" t="s">
        <v>1221</v>
      </c>
      <c r="B736" t="str">
        <f>IFERROR(VLOOKUP(A736,'DATA MASTER'!A:O,2,0)," ")</f>
        <v>Panel Bailey</v>
      </c>
      <c r="C736" t="str">
        <f>IFERROR(VLOOKUP(A736,'DATA MASTER'!A:O,4,0)," ")</f>
        <v>12 SSR-EW</v>
      </c>
      <c r="D736" t="s">
        <v>295</v>
      </c>
      <c r="E736" t="s">
        <v>106</v>
      </c>
      <c r="F736" s="1">
        <v>8.8000000000000007</v>
      </c>
      <c r="G736" s="1">
        <v>10</v>
      </c>
      <c r="H736">
        <v>0.33400000000000002</v>
      </c>
      <c r="I736" s="16">
        <f>BNW[[#This Row],[Berat Satuan
(Kg)]]*BNW[[#This Row],[Qty
(Set)]]</f>
        <v>3.3400000000000003</v>
      </c>
      <c r="K736" s="1">
        <f>SUMIF(DATA_MASTER[NO. PON],BNW[[#This Row],[No.PON]],DATA_MASTER[Qty
(Unit)])</f>
        <v>1</v>
      </c>
      <c r="L736" s="16">
        <f>BNW[[#This Row],[TOTAL UNIT]]*BNW[[#This Row],[Total Berat Baut
(Kg)]]</f>
        <v>3.3400000000000003</v>
      </c>
      <c r="N736"/>
      <c r="O736" s="25"/>
    </row>
    <row r="737" spans="1:15" x14ac:dyDescent="0.3">
      <c r="A737" t="s">
        <v>1221</v>
      </c>
      <c r="B737" t="str">
        <f>IFERROR(VLOOKUP(A737,'DATA MASTER'!A:O,2,0)," ")</f>
        <v>Panel Bailey</v>
      </c>
      <c r="C737" t="str">
        <f>IFERROR(VLOOKUP(A737,'DATA MASTER'!A:O,4,0)," ")</f>
        <v>12 SSR-EW</v>
      </c>
      <c r="D737" t="s">
        <v>138</v>
      </c>
      <c r="E737" t="s">
        <v>106</v>
      </c>
      <c r="F737" s="1">
        <v>8.8000000000000007</v>
      </c>
      <c r="G737" s="1">
        <v>16</v>
      </c>
      <c r="H737">
        <v>0.29399999999999998</v>
      </c>
      <c r="I737" s="16">
        <f>BNW[[#This Row],[Berat Satuan
(Kg)]]*BNW[[#This Row],[Qty
(Set)]]</f>
        <v>4.7039999999999997</v>
      </c>
      <c r="K737" s="1">
        <f>SUMIF(DATA_MASTER[NO. PON],BNW[[#This Row],[No.PON]],DATA_MASTER[Qty
(Unit)])</f>
        <v>1</v>
      </c>
      <c r="L737" s="16">
        <f>BNW[[#This Row],[TOTAL UNIT]]*BNW[[#This Row],[Total Berat Baut
(Kg)]]</f>
        <v>4.7039999999999997</v>
      </c>
      <c r="N737"/>
      <c r="O737" s="25"/>
    </row>
    <row r="738" spans="1:15" x14ac:dyDescent="0.3">
      <c r="A738" t="s">
        <v>1221</v>
      </c>
      <c r="B738" t="str">
        <f>IFERROR(VLOOKUP(A738,'DATA MASTER'!A:O,2,0)," ")</f>
        <v>Panel Bailey</v>
      </c>
      <c r="C738" t="str">
        <f>IFERROR(VLOOKUP(A738,'DATA MASTER'!A:O,4,0)," ")</f>
        <v>12 SSR-EW</v>
      </c>
      <c r="D738" t="s">
        <v>139</v>
      </c>
      <c r="E738" t="s">
        <v>106</v>
      </c>
      <c r="F738" s="1">
        <v>8.8000000000000007</v>
      </c>
      <c r="G738" s="1">
        <v>4</v>
      </c>
      <c r="H738">
        <v>0.29399999999999998</v>
      </c>
      <c r="I738" s="16">
        <f>BNW[[#This Row],[Berat Satuan
(Kg)]]*BNW[[#This Row],[Qty
(Set)]]</f>
        <v>1.1759999999999999</v>
      </c>
      <c r="K738" s="1">
        <f>SUMIF(DATA_MASTER[NO. PON],BNW[[#This Row],[No.PON]],DATA_MASTER[Qty
(Unit)])</f>
        <v>1</v>
      </c>
      <c r="L738" s="16">
        <f>BNW[[#This Row],[TOTAL UNIT]]*BNW[[#This Row],[Total Berat Baut
(Kg)]]</f>
        <v>1.1759999999999999</v>
      </c>
      <c r="N738"/>
      <c r="O738" s="25"/>
    </row>
    <row r="739" spans="1:15" x14ac:dyDescent="0.3">
      <c r="A739" t="s">
        <v>1221</v>
      </c>
      <c r="B739" t="str">
        <f>IFERROR(VLOOKUP(A739,'DATA MASTER'!A:O,2,0)," ")</f>
        <v>Panel Bailey</v>
      </c>
      <c r="C739" t="str">
        <f>IFERROR(VLOOKUP(A739,'DATA MASTER'!A:O,4,0)," ")</f>
        <v>12 SSR-EW</v>
      </c>
      <c r="D739" t="s">
        <v>140</v>
      </c>
      <c r="E739" t="s">
        <v>106</v>
      </c>
      <c r="F739" s="1">
        <v>8.8000000000000007</v>
      </c>
      <c r="G739" s="1">
        <v>32</v>
      </c>
      <c r="H739">
        <v>0.24399999999999999</v>
      </c>
      <c r="I739" s="16">
        <f>BNW[[#This Row],[Berat Satuan
(Kg)]]*BNW[[#This Row],[Qty
(Set)]]</f>
        <v>7.8079999999999998</v>
      </c>
      <c r="K739" s="1">
        <f>SUMIF(DATA_MASTER[NO. PON],BNW[[#This Row],[No.PON]],DATA_MASTER[Qty
(Unit)])</f>
        <v>1</v>
      </c>
      <c r="L739" s="16">
        <f>BNW[[#This Row],[TOTAL UNIT]]*BNW[[#This Row],[Total Berat Baut
(Kg)]]</f>
        <v>7.8079999999999998</v>
      </c>
      <c r="N739"/>
      <c r="O739" s="25"/>
    </row>
    <row r="740" spans="1:15" x14ac:dyDescent="0.3">
      <c r="A740" t="s">
        <v>1221</v>
      </c>
      <c r="B740" t="str">
        <f>IFERROR(VLOOKUP(A740,'DATA MASTER'!A:O,2,0)," ")</f>
        <v>Panel Bailey</v>
      </c>
      <c r="C740" t="str">
        <f>IFERROR(VLOOKUP(A740,'DATA MASTER'!A:O,4,0)," ")</f>
        <v>12 SSR-EW</v>
      </c>
      <c r="D740" t="s">
        <v>141</v>
      </c>
      <c r="E740" t="s">
        <v>106</v>
      </c>
      <c r="F740" s="1">
        <v>8.8000000000000007</v>
      </c>
      <c r="G740" s="1">
        <v>8</v>
      </c>
      <c r="H740">
        <v>0.13600000000000001</v>
      </c>
      <c r="I740" s="16">
        <f>BNW[[#This Row],[Berat Satuan
(Kg)]]*BNW[[#This Row],[Qty
(Set)]]</f>
        <v>1.0880000000000001</v>
      </c>
      <c r="K740" s="1">
        <f>SUMIF(DATA_MASTER[NO. PON],BNW[[#This Row],[No.PON]],DATA_MASTER[Qty
(Unit)])</f>
        <v>1</v>
      </c>
      <c r="L740" s="16">
        <f>BNW[[#This Row],[TOTAL UNIT]]*BNW[[#This Row],[Total Berat Baut
(Kg)]]</f>
        <v>1.0880000000000001</v>
      </c>
      <c r="N740"/>
      <c r="O740" s="25"/>
    </row>
    <row r="741" spans="1:15" x14ac:dyDescent="0.3">
      <c r="A741" t="s">
        <v>1221</v>
      </c>
      <c r="B741" t="str">
        <f>IFERROR(VLOOKUP(A741,'DATA MASTER'!A:O,2,0)," ")</f>
        <v>Panel Bailey</v>
      </c>
      <c r="C741" t="str">
        <f>IFERROR(VLOOKUP(A741,'DATA MASTER'!A:O,4,0)," ")</f>
        <v>12 SSR-EW</v>
      </c>
      <c r="D741" t="s">
        <v>142</v>
      </c>
      <c r="E741" t="s">
        <v>106</v>
      </c>
      <c r="F741" s="1">
        <v>8.8000000000000007</v>
      </c>
      <c r="G741" s="1">
        <v>32</v>
      </c>
      <c r="H741">
        <v>0.13600000000000001</v>
      </c>
      <c r="I741" s="16">
        <f>BNW[[#This Row],[Berat Satuan
(Kg)]]*BNW[[#This Row],[Qty
(Set)]]</f>
        <v>4.3520000000000003</v>
      </c>
      <c r="K741" s="1">
        <f>SUMIF(DATA_MASTER[NO. PON],BNW[[#This Row],[No.PON]],DATA_MASTER[Qty
(Unit)])</f>
        <v>1</v>
      </c>
      <c r="L741" s="16">
        <f>BNW[[#This Row],[TOTAL UNIT]]*BNW[[#This Row],[Total Berat Baut
(Kg)]]</f>
        <v>4.3520000000000003</v>
      </c>
      <c r="N741"/>
      <c r="O741" s="25"/>
    </row>
    <row r="742" spans="1:15" x14ac:dyDescent="0.3">
      <c r="A742" t="s">
        <v>1224</v>
      </c>
      <c r="B742" t="str">
        <f>IFERROR(VLOOKUP(A742,'DATA MASTER'!A:O,2,0)," ")</f>
        <v>Truss Modullar</v>
      </c>
      <c r="C742" t="str">
        <f>IFERROR(VLOOKUP(A742,'DATA MASTER'!A:O,4,0)," ")</f>
        <v>RC45+15</v>
      </c>
      <c r="D742" t="s">
        <v>86</v>
      </c>
      <c r="E742" t="s">
        <v>441</v>
      </c>
      <c r="F742" s="1">
        <v>8.8000000000000007</v>
      </c>
      <c r="G742" s="1">
        <v>23</v>
      </c>
      <c r="H742">
        <v>0.34700000000000003</v>
      </c>
      <c r="I742" s="16">
        <f>BNW[[#This Row],[Berat Satuan
(Kg)]]*BNW[[#This Row],[Qty
(Set)]]</f>
        <v>7.9810000000000008</v>
      </c>
      <c r="K742" s="1">
        <f>SUMIF(DATA_MASTER[NO. PON],BNW[[#This Row],[No.PON]],DATA_MASTER[Qty
(Unit)])</f>
        <v>1</v>
      </c>
      <c r="L742" s="16">
        <f>BNW[[#This Row],[TOTAL UNIT]]*BNW[[#This Row],[Total Berat Baut
(Kg)]]</f>
        <v>7.9810000000000008</v>
      </c>
      <c r="O742" s="25"/>
    </row>
    <row r="743" spans="1:15" x14ac:dyDescent="0.3">
      <c r="A743" t="s">
        <v>1224</v>
      </c>
      <c r="B743" t="str">
        <f>IFERROR(VLOOKUP(A743,'DATA MASTER'!A:O,2,0)," ")</f>
        <v>Truss Modullar</v>
      </c>
      <c r="C743" t="str">
        <f>IFERROR(VLOOKUP(A743,'DATA MASTER'!A:O,4,0)," ")</f>
        <v>RC45+15</v>
      </c>
      <c r="D743" t="s">
        <v>283</v>
      </c>
      <c r="E743" t="s">
        <v>441</v>
      </c>
      <c r="F743" s="1">
        <v>8.8000000000000007</v>
      </c>
      <c r="G743" s="1">
        <v>423</v>
      </c>
      <c r="H743">
        <v>0.32700000000000001</v>
      </c>
      <c r="I743" s="16">
        <f>BNW[[#This Row],[Berat Satuan
(Kg)]]*BNW[[#This Row],[Qty
(Set)]]</f>
        <v>138.321</v>
      </c>
      <c r="K743" s="1">
        <f>SUMIF(DATA_MASTER[NO. PON],BNW[[#This Row],[No.PON]],DATA_MASTER[Qty
(Unit)])</f>
        <v>1</v>
      </c>
      <c r="L743" s="16">
        <f>BNW[[#This Row],[TOTAL UNIT]]*BNW[[#This Row],[Total Berat Baut
(Kg)]]</f>
        <v>138.321</v>
      </c>
      <c r="N743"/>
      <c r="O743" s="25"/>
    </row>
    <row r="744" spans="1:15" x14ac:dyDescent="0.3">
      <c r="A744" t="s">
        <v>1224</v>
      </c>
      <c r="B744" t="str">
        <f>IFERROR(VLOOKUP(A744,'DATA MASTER'!A:O,2,0)," ")</f>
        <v>Truss Modullar</v>
      </c>
      <c r="C744" t="str">
        <f>IFERROR(VLOOKUP(A744,'DATA MASTER'!A:O,4,0)," ")</f>
        <v>RC45+15</v>
      </c>
      <c r="D744" t="s">
        <v>80</v>
      </c>
      <c r="E744" t="s">
        <v>441</v>
      </c>
      <c r="F744" s="1">
        <v>8.8000000000000007</v>
      </c>
      <c r="G744" s="1">
        <v>610</v>
      </c>
      <c r="H744">
        <v>0.20900000000000002</v>
      </c>
      <c r="I744" s="16">
        <f>BNW[[#This Row],[Berat Satuan
(Kg)]]*BNW[[#This Row],[Qty
(Set)]]</f>
        <v>127.49000000000001</v>
      </c>
      <c r="K744" s="1">
        <f>SUMIF(DATA_MASTER[NO. PON],BNW[[#This Row],[No.PON]],DATA_MASTER[Qty
(Unit)])</f>
        <v>1</v>
      </c>
      <c r="L744" s="16">
        <f>BNW[[#This Row],[TOTAL UNIT]]*BNW[[#This Row],[Total Berat Baut
(Kg)]]</f>
        <v>127.49000000000001</v>
      </c>
      <c r="N744"/>
      <c r="O744" s="25"/>
    </row>
    <row r="745" spans="1:15" x14ac:dyDescent="0.3">
      <c r="A745" t="s">
        <v>1224</v>
      </c>
      <c r="B745" t="str">
        <f>IFERROR(VLOOKUP(A745,'DATA MASTER'!A:O,2,0)," ")</f>
        <v>Truss Modullar</v>
      </c>
      <c r="C745" t="str">
        <f>IFERROR(VLOOKUP(A745,'DATA MASTER'!A:O,4,0)," ")</f>
        <v>RC45+15</v>
      </c>
      <c r="D745" t="s">
        <v>81</v>
      </c>
      <c r="E745" t="s">
        <v>441</v>
      </c>
      <c r="F745" s="1">
        <v>8.8000000000000007</v>
      </c>
      <c r="G745" s="1">
        <v>3247</v>
      </c>
      <c r="H745">
        <v>0.14900000000000002</v>
      </c>
      <c r="I745" s="16">
        <f>BNW[[#This Row],[Berat Satuan
(Kg)]]*BNW[[#This Row],[Qty
(Set)]]</f>
        <v>483.80300000000005</v>
      </c>
      <c r="K745" s="1">
        <f>SUMIF(DATA_MASTER[NO. PON],BNW[[#This Row],[No.PON]],DATA_MASTER[Qty
(Unit)])</f>
        <v>1</v>
      </c>
      <c r="L745" s="16">
        <f>BNW[[#This Row],[TOTAL UNIT]]*BNW[[#This Row],[Total Berat Baut
(Kg)]]</f>
        <v>483.80300000000005</v>
      </c>
      <c r="N745"/>
      <c r="O745" s="25"/>
    </row>
    <row r="746" spans="1:15" x14ac:dyDescent="0.3">
      <c r="A746" t="s">
        <v>1224</v>
      </c>
      <c r="B746" t="str">
        <f>IFERROR(VLOOKUP(A746,'DATA MASTER'!A:O,2,0)," ")</f>
        <v>Truss Modullar</v>
      </c>
      <c r="C746" t="str">
        <f>IFERROR(VLOOKUP(A746,'DATA MASTER'!A:O,4,0)," ")</f>
        <v>RC45+15</v>
      </c>
      <c r="D746" t="s">
        <v>82</v>
      </c>
      <c r="E746" t="s">
        <v>441</v>
      </c>
      <c r="F746" s="1">
        <v>8.8000000000000007</v>
      </c>
      <c r="G746" s="1">
        <v>2283</v>
      </c>
      <c r="H746">
        <v>0.13600000000000001</v>
      </c>
      <c r="I746" s="16">
        <f>BNW[[#This Row],[Berat Satuan
(Kg)]]*BNW[[#This Row],[Qty
(Set)]]</f>
        <v>310.488</v>
      </c>
      <c r="K746" s="1">
        <f>SUMIF(DATA_MASTER[NO. PON],BNW[[#This Row],[No.PON]],DATA_MASTER[Qty
(Unit)])</f>
        <v>1</v>
      </c>
      <c r="L746" s="16">
        <f>BNW[[#This Row],[TOTAL UNIT]]*BNW[[#This Row],[Total Berat Baut
(Kg)]]</f>
        <v>310.488</v>
      </c>
      <c r="N746"/>
      <c r="O746" s="25"/>
    </row>
    <row r="747" spans="1:15" x14ac:dyDescent="0.3">
      <c r="A747" t="s">
        <v>1224</v>
      </c>
      <c r="B747" t="str">
        <f>IFERROR(VLOOKUP(A747,'DATA MASTER'!A:O,2,0)," ")</f>
        <v>Truss Modullar</v>
      </c>
      <c r="C747" t="str">
        <f>IFERROR(VLOOKUP(A747,'DATA MASTER'!A:O,4,0)," ")</f>
        <v>RC45+15</v>
      </c>
      <c r="D747" t="s">
        <v>88</v>
      </c>
      <c r="E747" t="s">
        <v>106</v>
      </c>
      <c r="F747" s="1">
        <v>8.8000000000000007</v>
      </c>
      <c r="G747" s="1">
        <v>83</v>
      </c>
      <c r="H747">
        <v>0.129</v>
      </c>
      <c r="I747" s="16">
        <f>BNW[[#This Row],[Berat Satuan
(Kg)]]*BNW[[#This Row],[Qty
(Set)]]</f>
        <v>10.707000000000001</v>
      </c>
      <c r="K747" s="1">
        <f>SUMIF(DATA_MASTER[NO. PON],BNW[[#This Row],[No.PON]],DATA_MASTER[Qty
(Unit)])</f>
        <v>1</v>
      </c>
      <c r="L747" s="16">
        <f>BNW[[#This Row],[TOTAL UNIT]]*BNW[[#This Row],[Total Berat Baut
(Kg)]]</f>
        <v>10.707000000000001</v>
      </c>
      <c r="N747"/>
      <c r="O747" s="25"/>
    </row>
    <row r="748" spans="1:15" x14ac:dyDescent="0.3">
      <c r="A748" t="s">
        <v>1224</v>
      </c>
      <c r="B748" t="str">
        <f>IFERROR(VLOOKUP(A748,'DATA MASTER'!A:O,2,0)," ")</f>
        <v>Truss Modullar</v>
      </c>
      <c r="C748" t="str">
        <f>IFERROR(VLOOKUP(A748,'DATA MASTER'!A:O,4,0)," ")</f>
        <v>RC45+15</v>
      </c>
      <c r="D748" t="s">
        <v>83</v>
      </c>
      <c r="E748" t="s">
        <v>106</v>
      </c>
      <c r="F748" s="1">
        <v>8.8000000000000007</v>
      </c>
      <c r="G748" s="1">
        <v>29</v>
      </c>
      <c r="H748">
        <v>8.1000000000000003E-2</v>
      </c>
      <c r="I748" s="16">
        <f>BNW[[#This Row],[Berat Satuan
(Kg)]]*BNW[[#This Row],[Qty
(Set)]]</f>
        <v>2.3490000000000002</v>
      </c>
      <c r="K748" s="1">
        <f>SUMIF(DATA_MASTER[NO. PON],BNW[[#This Row],[No.PON]],DATA_MASTER[Qty
(Unit)])</f>
        <v>1</v>
      </c>
      <c r="L748" s="16">
        <f>BNW[[#This Row],[TOTAL UNIT]]*BNW[[#This Row],[Total Berat Baut
(Kg)]]</f>
        <v>2.3490000000000002</v>
      </c>
      <c r="N748"/>
      <c r="O748" s="25"/>
    </row>
    <row r="749" spans="1:15" x14ac:dyDescent="0.3">
      <c r="A749" t="s">
        <v>1224</v>
      </c>
      <c r="B749" t="str">
        <f>IFERROR(VLOOKUP(A749,'DATA MASTER'!A:O,2,0)," ")</f>
        <v>Truss Modullar</v>
      </c>
      <c r="C749" t="str">
        <f>IFERROR(VLOOKUP(A749,'DATA MASTER'!A:O,4,0)," ")</f>
        <v>RC45+15</v>
      </c>
      <c r="D749" t="s">
        <v>205</v>
      </c>
      <c r="E749" t="s">
        <v>106</v>
      </c>
      <c r="F749" s="1">
        <v>8.8000000000000007</v>
      </c>
      <c r="G749" s="1">
        <v>248</v>
      </c>
      <c r="H749">
        <v>6.3E-2</v>
      </c>
      <c r="I749" s="16">
        <f>BNW[[#This Row],[Berat Satuan
(Kg)]]*BNW[[#This Row],[Qty
(Set)]]</f>
        <v>15.624000000000001</v>
      </c>
      <c r="K749" s="1">
        <f>SUMIF(DATA_MASTER[NO. PON],BNW[[#This Row],[No.PON]],DATA_MASTER[Qty
(Unit)])</f>
        <v>1</v>
      </c>
      <c r="L749" s="16">
        <f>BNW[[#This Row],[TOTAL UNIT]]*BNW[[#This Row],[Total Berat Baut
(Kg)]]</f>
        <v>15.624000000000001</v>
      </c>
      <c r="N749"/>
      <c r="O749" s="25"/>
    </row>
    <row r="750" spans="1:15" x14ac:dyDescent="0.3">
      <c r="A750" t="s">
        <v>1224</v>
      </c>
      <c r="B750" t="str">
        <f>IFERROR(VLOOKUP(A750,'DATA MASTER'!A:O,2,0)," ")</f>
        <v>Truss Modullar</v>
      </c>
      <c r="C750" t="str">
        <f>IFERROR(VLOOKUP(A750,'DATA MASTER'!A:O,4,0)," ")</f>
        <v>RC45+15</v>
      </c>
      <c r="D750" t="s">
        <v>206</v>
      </c>
      <c r="E750" t="s">
        <v>106</v>
      </c>
      <c r="F750" s="1">
        <v>8.8000000000000007</v>
      </c>
      <c r="G750" s="1">
        <v>927</v>
      </c>
      <c r="H750">
        <v>0.04</v>
      </c>
      <c r="I750" s="16">
        <f>BNW[[#This Row],[Berat Satuan
(Kg)]]*BNW[[#This Row],[Qty
(Set)]]</f>
        <v>37.08</v>
      </c>
      <c r="K750" s="1">
        <f>SUMIF(DATA_MASTER[NO. PON],BNW[[#This Row],[No.PON]],DATA_MASTER[Qty
(Unit)])</f>
        <v>1</v>
      </c>
      <c r="L750" s="16">
        <f>BNW[[#This Row],[TOTAL UNIT]]*BNW[[#This Row],[Total Berat Baut
(Kg)]]</f>
        <v>37.08</v>
      </c>
      <c r="N750"/>
      <c r="O750" s="25"/>
    </row>
    <row r="751" spans="1:15" x14ac:dyDescent="0.3">
      <c r="A751" t="s">
        <v>1224</v>
      </c>
      <c r="B751" t="str">
        <f>IFERROR(VLOOKUP(A751,'DATA MASTER'!A:O,2,0)," ")</f>
        <v>Truss Modullar</v>
      </c>
      <c r="C751" t="str">
        <f>IFERROR(VLOOKUP(A751,'DATA MASTER'!A:O,4,0)," ")</f>
        <v>RC45+15</v>
      </c>
      <c r="D751" t="s">
        <v>1256</v>
      </c>
      <c r="E751" t="s">
        <v>106</v>
      </c>
      <c r="F751" s="1">
        <v>8.8000000000000007</v>
      </c>
      <c r="G751" s="1">
        <v>866</v>
      </c>
      <c r="H751">
        <v>0.04</v>
      </c>
      <c r="I751" s="16">
        <f>BNW[[#This Row],[Berat Satuan
(Kg)]]*BNW[[#This Row],[Qty
(Set)]]</f>
        <v>34.64</v>
      </c>
      <c r="K751" s="1">
        <f>SUMIF(DATA_MASTER[NO. PON],BNW[[#This Row],[No.PON]],DATA_MASTER[Qty
(Unit)])</f>
        <v>1</v>
      </c>
      <c r="L751" s="16">
        <f>BNW[[#This Row],[TOTAL UNIT]]*BNW[[#This Row],[Total Berat Baut
(Kg)]]</f>
        <v>34.64</v>
      </c>
      <c r="N751"/>
      <c r="O751" s="25"/>
    </row>
    <row r="752" spans="1:15" x14ac:dyDescent="0.3">
      <c r="A752" t="s">
        <v>1278</v>
      </c>
      <c r="B752" t="str">
        <f>IFERROR(VLOOKUP(A752,'DATA MASTER'!A:O,2,0)," ")</f>
        <v>Girder</v>
      </c>
      <c r="C752" t="str">
        <f>IFERROR(VLOOKUP(A752,'DATA MASTER'!A:O,4,0)," ")</f>
        <v>AG20</v>
      </c>
      <c r="D752" t="s">
        <v>84</v>
      </c>
      <c r="E752" t="s">
        <v>90</v>
      </c>
      <c r="F752" s="1">
        <v>8.8000000000000007</v>
      </c>
      <c r="G752" s="1">
        <v>520</v>
      </c>
      <c r="H752">
        <v>0.38700000000000001</v>
      </c>
      <c r="I752" s="16">
        <f>BNW[[#This Row],[Berat Satuan
(Kg)]]*BNW[[#This Row],[Qty
(Set)]]</f>
        <v>201.24</v>
      </c>
      <c r="K752" s="1">
        <f>SUMIF(DATA_MASTER[NO. PON],BNW[[#This Row],[No.PON]],DATA_MASTER[Qty
(Unit)])</f>
        <v>1</v>
      </c>
      <c r="L752" s="16">
        <f>BNW[[#This Row],[TOTAL UNIT]]*BNW[[#This Row],[Total Berat Baut
(Kg)]]</f>
        <v>201.24</v>
      </c>
      <c r="O752" s="25"/>
    </row>
    <row r="753" spans="1:15" x14ac:dyDescent="0.3">
      <c r="A753" t="s">
        <v>1278</v>
      </c>
      <c r="B753" t="str">
        <f>IFERROR(VLOOKUP(A753,'DATA MASTER'!A:O,2,0)," ")</f>
        <v>Girder</v>
      </c>
      <c r="C753" t="str">
        <f>IFERROR(VLOOKUP(A753,'DATA MASTER'!A:O,4,0)," ")</f>
        <v>AG20</v>
      </c>
      <c r="D753" t="s">
        <v>85</v>
      </c>
      <c r="E753" t="s">
        <v>90</v>
      </c>
      <c r="F753" s="1">
        <v>8.8000000000000007</v>
      </c>
      <c r="G753" s="1">
        <v>186</v>
      </c>
      <c r="H753">
        <v>0.36699999999999999</v>
      </c>
      <c r="I753" s="16">
        <f>BNW[[#This Row],[Berat Satuan
(Kg)]]*BNW[[#This Row],[Qty
(Set)]]</f>
        <v>68.262</v>
      </c>
      <c r="K753" s="1">
        <f>SUMIF(DATA_MASTER[NO. PON],BNW[[#This Row],[No.PON]],DATA_MASTER[Qty
(Unit)])</f>
        <v>1</v>
      </c>
      <c r="L753" s="16">
        <f>BNW[[#This Row],[TOTAL UNIT]]*BNW[[#This Row],[Total Berat Baut
(Kg)]]</f>
        <v>68.262</v>
      </c>
      <c r="N753"/>
      <c r="O753" s="25"/>
    </row>
    <row r="754" spans="1:15" x14ac:dyDescent="0.3">
      <c r="A754" t="s">
        <v>1278</v>
      </c>
      <c r="B754" t="str">
        <f>IFERROR(VLOOKUP(A754,'DATA MASTER'!A:O,2,0)," ")</f>
        <v>Girder</v>
      </c>
      <c r="C754" t="str">
        <f>IFERROR(VLOOKUP(A754,'DATA MASTER'!A:O,4,0)," ")</f>
        <v>AG20</v>
      </c>
      <c r="D754" t="s">
        <v>86</v>
      </c>
      <c r="E754" t="s">
        <v>90</v>
      </c>
      <c r="F754" s="1">
        <v>8.8000000000000007</v>
      </c>
      <c r="G754" s="1">
        <v>557</v>
      </c>
      <c r="H754">
        <v>0.35700000000000004</v>
      </c>
      <c r="I754" s="16">
        <f>BNW[[#This Row],[Berat Satuan
(Kg)]]*BNW[[#This Row],[Qty
(Set)]]</f>
        <v>198.84900000000002</v>
      </c>
      <c r="K754" s="1">
        <f>SUMIF(DATA_MASTER[NO. PON],BNW[[#This Row],[No.PON]],DATA_MASTER[Qty
(Unit)])</f>
        <v>1</v>
      </c>
      <c r="L754" s="16">
        <f>BNW[[#This Row],[TOTAL UNIT]]*BNW[[#This Row],[Total Berat Baut
(Kg)]]</f>
        <v>198.84900000000002</v>
      </c>
      <c r="N754"/>
      <c r="O754" s="25"/>
    </row>
    <row r="755" spans="1:15" x14ac:dyDescent="0.3">
      <c r="A755" t="s">
        <v>1278</v>
      </c>
      <c r="B755" t="str">
        <f>IFERROR(VLOOKUP(A755,'DATA MASTER'!A:O,2,0)," ")</f>
        <v>Girder</v>
      </c>
      <c r="C755" t="str">
        <f>IFERROR(VLOOKUP(A755,'DATA MASTER'!A:O,4,0)," ")</f>
        <v>AG20</v>
      </c>
      <c r="D755" t="s">
        <v>87</v>
      </c>
      <c r="E755" t="s">
        <v>91</v>
      </c>
      <c r="F755" s="1">
        <v>8.8000000000000007</v>
      </c>
      <c r="G755" s="1">
        <v>17</v>
      </c>
      <c r="H755">
        <v>0.14900000000000002</v>
      </c>
      <c r="I755" s="16">
        <f>BNW[[#This Row],[Berat Satuan
(Kg)]]*BNW[[#This Row],[Qty
(Set)]]</f>
        <v>2.5330000000000004</v>
      </c>
      <c r="K755" s="1">
        <f>SUMIF(DATA_MASTER[NO. PON],BNW[[#This Row],[No.PON]],DATA_MASTER[Qty
(Unit)])</f>
        <v>1</v>
      </c>
      <c r="L755" s="16">
        <f>BNW[[#This Row],[TOTAL UNIT]]*BNW[[#This Row],[Total Berat Baut
(Kg)]]</f>
        <v>2.5330000000000004</v>
      </c>
      <c r="N755"/>
      <c r="O755" s="25"/>
    </row>
    <row r="756" spans="1:15" x14ac:dyDescent="0.3">
      <c r="A756" t="s">
        <v>1278</v>
      </c>
      <c r="B756" t="str">
        <f>IFERROR(VLOOKUP(A756,'DATA MASTER'!A:O,2,0)," ")</f>
        <v>Girder</v>
      </c>
      <c r="C756" t="str">
        <f>IFERROR(VLOOKUP(A756,'DATA MASTER'!A:O,4,0)," ")</f>
        <v>AG20</v>
      </c>
      <c r="D756" t="s">
        <v>88</v>
      </c>
      <c r="E756" t="s">
        <v>91</v>
      </c>
      <c r="F756" s="1">
        <v>8.8000000000000007</v>
      </c>
      <c r="G756" s="1">
        <v>206</v>
      </c>
      <c r="H756">
        <v>0.13600000000000001</v>
      </c>
      <c r="I756" s="16">
        <f>BNW[[#This Row],[Berat Satuan
(Kg)]]*BNW[[#This Row],[Qty
(Set)]]</f>
        <v>28.016000000000002</v>
      </c>
      <c r="K756" s="1">
        <f>SUMIF(DATA_MASTER[NO. PON],BNW[[#This Row],[No.PON]],DATA_MASTER[Qty
(Unit)])</f>
        <v>1</v>
      </c>
      <c r="L756" s="16">
        <f>BNW[[#This Row],[TOTAL UNIT]]*BNW[[#This Row],[Total Berat Baut
(Kg)]]</f>
        <v>28.016000000000002</v>
      </c>
      <c r="N756"/>
      <c r="O756" s="25"/>
    </row>
    <row r="757" spans="1:15" x14ac:dyDescent="0.3">
      <c r="A757" t="s">
        <v>1278</v>
      </c>
      <c r="B757" t="str">
        <f>IFERROR(VLOOKUP(A757,'DATA MASTER'!A:O,2,0)," ")</f>
        <v>Girder</v>
      </c>
      <c r="C757" t="str">
        <f>IFERROR(VLOOKUP(A757,'DATA MASTER'!A:O,4,0)," ")</f>
        <v>AG20</v>
      </c>
      <c r="D757" t="s">
        <v>83</v>
      </c>
      <c r="E757" t="s">
        <v>91</v>
      </c>
      <c r="F757" s="1">
        <v>8.8000000000000007</v>
      </c>
      <c r="G757" s="1">
        <v>9</v>
      </c>
      <c r="H757">
        <v>8.1000000000000003E-2</v>
      </c>
      <c r="I757" s="16">
        <f>BNW[[#This Row],[Berat Satuan
(Kg)]]*BNW[[#This Row],[Qty
(Set)]]</f>
        <v>0.72899999999999998</v>
      </c>
      <c r="K757" s="1">
        <f>SUMIF(DATA_MASTER[NO. PON],BNW[[#This Row],[No.PON]],DATA_MASTER[Qty
(Unit)])</f>
        <v>1</v>
      </c>
      <c r="L757" s="16">
        <f>BNW[[#This Row],[TOTAL UNIT]]*BNW[[#This Row],[Total Berat Baut
(Kg)]]</f>
        <v>0.72899999999999998</v>
      </c>
      <c r="N757"/>
      <c r="O757" s="25"/>
    </row>
    <row r="758" spans="1:15" x14ac:dyDescent="0.3">
      <c r="A758" t="s">
        <v>1278</v>
      </c>
      <c r="B758" t="str">
        <f>IFERROR(VLOOKUP(A758,'DATA MASTER'!A:O,2,0)," ")</f>
        <v>Girder</v>
      </c>
      <c r="C758" t="str">
        <f>IFERROR(VLOOKUP(A758,'DATA MASTER'!A:O,4,0)," ")</f>
        <v>AG20</v>
      </c>
      <c r="D758" t="s">
        <v>89</v>
      </c>
      <c r="E758" t="s">
        <v>91</v>
      </c>
      <c r="F758" s="1">
        <v>8.8000000000000007</v>
      </c>
      <c r="G758" s="1">
        <v>495</v>
      </c>
      <c r="H758">
        <v>6.8000000000000005E-2</v>
      </c>
      <c r="I758" s="16">
        <f>BNW[[#This Row],[Berat Satuan
(Kg)]]*BNW[[#This Row],[Qty
(Set)]]</f>
        <v>33.660000000000004</v>
      </c>
      <c r="K758" s="1">
        <f>SUMIF(DATA_MASTER[NO. PON],BNW[[#This Row],[No.PON]],DATA_MASTER[Qty
(Unit)])</f>
        <v>1</v>
      </c>
      <c r="L758" s="16">
        <f>BNW[[#This Row],[TOTAL UNIT]]*BNW[[#This Row],[Total Berat Baut
(Kg)]]</f>
        <v>33.660000000000004</v>
      </c>
      <c r="N758"/>
      <c r="O758" s="25"/>
    </row>
    <row r="759" spans="1:15" x14ac:dyDescent="0.3">
      <c r="A759" t="s">
        <v>1291</v>
      </c>
      <c r="B759" t="str">
        <f>IFERROR(VLOOKUP(A759,'DATA MASTER'!A:O,2,0)," ")</f>
        <v>Panel Bailey</v>
      </c>
      <c r="C759" t="str">
        <f>IFERROR(VLOOKUP(A759,'DATA MASTER'!A:O,4,0)," ")</f>
        <v>30 DSR2-EW</v>
      </c>
      <c r="D759" t="s">
        <v>133</v>
      </c>
      <c r="E759" t="s">
        <v>106</v>
      </c>
      <c r="F759" s="1">
        <v>8.8000000000000007</v>
      </c>
      <c r="G759" s="1">
        <v>320</v>
      </c>
      <c r="H759">
        <v>0.53</v>
      </c>
      <c r="I759" s="16">
        <f>BNW[[#This Row],[Berat Satuan
(Kg)]]*BNW[[#This Row],[Qty
(Set)]]</f>
        <v>169.60000000000002</v>
      </c>
      <c r="K759" s="1">
        <f>SUMIF(DATA_MASTER[NO. PON],BNW[[#This Row],[No.PON]],DATA_MASTER[Qty
(Unit)])</f>
        <v>2</v>
      </c>
      <c r="L759" s="16">
        <f>BNW[[#This Row],[TOTAL UNIT]]*BNW[[#This Row],[Total Berat Baut
(Kg)]]</f>
        <v>339.20000000000005</v>
      </c>
      <c r="O759" s="25"/>
    </row>
    <row r="760" spans="1:15" x14ac:dyDescent="0.3">
      <c r="A760" t="s">
        <v>1291</v>
      </c>
      <c r="B760" t="str">
        <f>IFERROR(VLOOKUP(A760,'DATA MASTER'!A:O,2,0)," ")</f>
        <v>Panel Bailey</v>
      </c>
      <c r="C760" t="str">
        <f>IFERROR(VLOOKUP(A760,'DATA MASTER'!A:O,4,0)," ")</f>
        <v>30 DSR2-EW</v>
      </c>
      <c r="D760" t="s">
        <v>134</v>
      </c>
      <c r="E760" t="s">
        <v>106</v>
      </c>
      <c r="F760" s="1">
        <v>8.8000000000000007</v>
      </c>
      <c r="G760" s="1">
        <v>170</v>
      </c>
      <c r="H760">
        <v>0.46</v>
      </c>
      <c r="I760" s="16">
        <f>BNW[[#This Row],[Berat Satuan
(Kg)]]*BNW[[#This Row],[Qty
(Set)]]</f>
        <v>78.2</v>
      </c>
      <c r="K760" s="1">
        <f>SUMIF(DATA_MASTER[NO. PON],BNW[[#This Row],[No.PON]],DATA_MASTER[Qty
(Unit)])</f>
        <v>2</v>
      </c>
      <c r="L760" s="16">
        <f>BNW[[#This Row],[TOTAL UNIT]]*BNW[[#This Row],[Total Berat Baut
(Kg)]]</f>
        <v>156.4</v>
      </c>
      <c r="N760"/>
      <c r="O760" s="25"/>
    </row>
    <row r="761" spans="1:15" x14ac:dyDescent="0.3">
      <c r="A761" t="s">
        <v>1291</v>
      </c>
      <c r="B761" t="str">
        <f>IFERROR(VLOOKUP(A761,'DATA MASTER'!A:O,2,0)," ")</f>
        <v>Panel Bailey</v>
      </c>
      <c r="C761" t="str">
        <f>IFERROR(VLOOKUP(A761,'DATA MASTER'!A:O,4,0)," ")</f>
        <v>30 DSR2-EW</v>
      </c>
      <c r="D761" t="s">
        <v>135</v>
      </c>
      <c r="E761" t="s">
        <v>106</v>
      </c>
      <c r="F761" s="1">
        <v>8.8000000000000007</v>
      </c>
      <c r="G761" s="1">
        <v>80</v>
      </c>
      <c r="H761">
        <v>0.43</v>
      </c>
      <c r="I761" s="16">
        <f>BNW[[#This Row],[Berat Satuan
(Kg)]]*BNW[[#This Row],[Qty
(Set)]]</f>
        <v>34.4</v>
      </c>
      <c r="K761" s="1">
        <f>SUMIF(DATA_MASTER[NO. PON],BNW[[#This Row],[No.PON]],DATA_MASTER[Qty
(Unit)])</f>
        <v>2</v>
      </c>
      <c r="L761" s="16">
        <f>BNW[[#This Row],[TOTAL UNIT]]*BNW[[#This Row],[Total Berat Baut
(Kg)]]</f>
        <v>68.8</v>
      </c>
      <c r="N761"/>
      <c r="O761" s="25"/>
    </row>
    <row r="762" spans="1:15" x14ac:dyDescent="0.3">
      <c r="A762" t="s">
        <v>1291</v>
      </c>
      <c r="B762" t="str">
        <f>IFERROR(VLOOKUP(A762,'DATA MASTER'!A:O,2,0)," ")</f>
        <v>Panel Bailey</v>
      </c>
      <c r="C762" t="str">
        <f>IFERROR(VLOOKUP(A762,'DATA MASTER'!A:O,4,0)," ")</f>
        <v>30 DSR2-EW</v>
      </c>
      <c r="D762" t="s">
        <v>136</v>
      </c>
      <c r="E762" t="s">
        <v>106</v>
      </c>
      <c r="F762" s="1">
        <v>8.8000000000000007</v>
      </c>
      <c r="G762" s="1">
        <v>48</v>
      </c>
      <c r="H762">
        <v>0.41</v>
      </c>
      <c r="I762" s="16">
        <f>BNW[[#This Row],[Berat Satuan
(Kg)]]*BNW[[#This Row],[Qty
(Set)]]</f>
        <v>19.68</v>
      </c>
      <c r="K762" s="1">
        <f>SUMIF(DATA_MASTER[NO. PON],BNW[[#This Row],[No.PON]],DATA_MASTER[Qty
(Unit)])</f>
        <v>2</v>
      </c>
      <c r="L762" s="16">
        <f>BNW[[#This Row],[TOTAL UNIT]]*BNW[[#This Row],[Total Berat Baut
(Kg)]]</f>
        <v>39.36</v>
      </c>
      <c r="N762"/>
      <c r="O762" s="25"/>
    </row>
    <row r="763" spans="1:15" x14ac:dyDescent="0.3">
      <c r="A763" t="s">
        <v>1291</v>
      </c>
      <c r="B763" t="str">
        <f>IFERROR(VLOOKUP(A763,'DATA MASTER'!A:O,2,0)," ")</f>
        <v>Panel Bailey</v>
      </c>
      <c r="C763" t="str">
        <f>IFERROR(VLOOKUP(A763,'DATA MASTER'!A:O,4,0)," ")</f>
        <v>30 DSR2-EW</v>
      </c>
      <c r="D763" t="s">
        <v>137</v>
      </c>
      <c r="E763" t="s">
        <v>106</v>
      </c>
      <c r="F763" s="1">
        <v>8.8000000000000007</v>
      </c>
      <c r="G763" s="1">
        <v>176</v>
      </c>
      <c r="H763">
        <v>0.47399999999999998</v>
      </c>
      <c r="I763" s="16">
        <f>BNW[[#This Row],[Berat Satuan
(Kg)]]*BNW[[#This Row],[Qty
(Set)]]</f>
        <v>83.423999999999992</v>
      </c>
      <c r="K763" s="1">
        <f>SUMIF(DATA_MASTER[NO. PON],BNW[[#This Row],[No.PON]],DATA_MASTER[Qty
(Unit)])</f>
        <v>2</v>
      </c>
      <c r="L763" s="16">
        <f>BNW[[#This Row],[TOTAL UNIT]]*BNW[[#This Row],[Total Berat Baut
(Kg)]]</f>
        <v>166.84799999999998</v>
      </c>
      <c r="N763"/>
      <c r="O763" s="25"/>
    </row>
    <row r="764" spans="1:15" x14ac:dyDescent="0.3">
      <c r="A764" t="s">
        <v>1291</v>
      </c>
      <c r="B764" t="str">
        <f>IFERROR(VLOOKUP(A764,'DATA MASTER'!A:O,2,0)," ")</f>
        <v>Panel Bailey</v>
      </c>
      <c r="C764" t="str">
        <f>IFERROR(VLOOKUP(A764,'DATA MASTER'!A:O,4,0)," ")</f>
        <v>30 DSR2-EW</v>
      </c>
      <c r="D764" t="s">
        <v>138</v>
      </c>
      <c r="E764" t="s">
        <v>106</v>
      </c>
      <c r="F764" s="1">
        <v>8.8000000000000007</v>
      </c>
      <c r="G764" s="1">
        <v>24</v>
      </c>
      <c r="H764">
        <v>0.29399999999999998</v>
      </c>
      <c r="I764" s="16">
        <f>BNW[[#This Row],[Berat Satuan
(Kg)]]*BNW[[#This Row],[Qty
(Set)]]</f>
        <v>7.0559999999999992</v>
      </c>
      <c r="K764" s="1">
        <f>SUMIF(DATA_MASTER[NO. PON],BNW[[#This Row],[No.PON]],DATA_MASTER[Qty
(Unit)])</f>
        <v>2</v>
      </c>
      <c r="L764" s="16">
        <f>BNW[[#This Row],[TOTAL UNIT]]*BNW[[#This Row],[Total Berat Baut
(Kg)]]</f>
        <v>14.111999999999998</v>
      </c>
      <c r="N764"/>
      <c r="O764" s="25"/>
    </row>
    <row r="765" spans="1:15" x14ac:dyDescent="0.3">
      <c r="A765" t="s">
        <v>1291</v>
      </c>
      <c r="B765" t="str">
        <f>IFERROR(VLOOKUP(A765,'DATA MASTER'!A:O,2,0)," ")</f>
        <v>Panel Bailey</v>
      </c>
      <c r="C765" t="str">
        <f>IFERROR(VLOOKUP(A765,'DATA MASTER'!A:O,4,0)," ")</f>
        <v>30 DSR2-EW</v>
      </c>
      <c r="D765" t="s">
        <v>139</v>
      </c>
      <c r="E765" t="s">
        <v>106</v>
      </c>
      <c r="F765" s="1">
        <v>8.8000000000000007</v>
      </c>
      <c r="G765" s="1">
        <v>10</v>
      </c>
      <c r="H765">
        <v>0.29399999999999998</v>
      </c>
      <c r="I765" s="16">
        <f>BNW[[#This Row],[Berat Satuan
(Kg)]]*BNW[[#This Row],[Qty
(Set)]]</f>
        <v>2.94</v>
      </c>
      <c r="K765" s="1">
        <f>SUMIF(DATA_MASTER[NO. PON],BNW[[#This Row],[No.PON]],DATA_MASTER[Qty
(Unit)])</f>
        <v>2</v>
      </c>
      <c r="L765" s="16">
        <f>BNW[[#This Row],[TOTAL UNIT]]*BNW[[#This Row],[Total Berat Baut
(Kg)]]</f>
        <v>5.88</v>
      </c>
      <c r="N765"/>
      <c r="O765" s="25"/>
    </row>
    <row r="766" spans="1:15" x14ac:dyDescent="0.3">
      <c r="A766" t="s">
        <v>1291</v>
      </c>
      <c r="B766" t="str">
        <f>IFERROR(VLOOKUP(A766,'DATA MASTER'!A:O,2,0)," ")</f>
        <v>Panel Bailey</v>
      </c>
      <c r="C766" t="str">
        <f>IFERROR(VLOOKUP(A766,'DATA MASTER'!A:O,4,0)," ")</f>
        <v>30 DSR2-EW</v>
      </c>
      <c r="D766" t="s">
        <v>140</v>
      </c>
      <c r="E766" t="s">
        <v>106</v>
      </c>
      <c r="F766" s="1">
        <v>8.8000000000000007</v>
      </c>
      <c r="G766" s="1">
        <v>160</v>
      </c>
      <c r="H766">
        <v>0.24399999999999999</v>
      </c>
      <c r="I766" s="16">
        <f>BNW[[#This Row],[Berat Satuan
(Kg)]]*BNW[[#This Row],[Qty
(Set)]]</f>
        <v>39.04</v>
      </c>
      <c r="K766" s="1">
        <f>SUMIF(DATA_MASTER[NO. PON],BNW[[#This Row],[No.PON]],DATA_MASTER[Qty
(Unit)])</f>
        <v>2</v>
      </c>
      <c r="L766" s="16">
        <f>BNW[[#This Row],[TOTAL UNIT]]*BNW[[#This Row],[Total Berat Baut
(Kg)]]</f>
        <v>78.08</v>
      </c>
      <c r="N766"/>
      <c r="O766" s="25"/>
    </row>
    <row r="767" spans="1:15" x14ac:dyDescent="0.3">
      <c r="A767" t="s">
        <v>1291</v>
      </c>
      <c r="B767" t="str">
        <f>IFERROR(VLOOKUP(A767,'DATA MASTER'!A:O,2,0)," ")</f>
        <v>Panel Bailey</v>
      </c>
      <c r="C767" t="str">
        <f>IFERROR(VLOOKUP(A767,'DATA MASTER'!A:O,4,0)," ")</f>
        <v>30 DSR2-EW</v>
      </c>
      <c r="D767" t="s">
        <v>141</v>
      </c>
      <c r="E767" t="s">
        <v>106</v>
      </c>
      <c r="F767" s="1">
        <v>8.8000000000000007</v>
      </c>
      <c r="G767" s="1">
        <v>16</v>
      </c>
      <c r="H767">
        <v>0.14000000000000001</v>
      </c>
      <c r="I767" s="16">
        <f>BNW[[#This Row],[Berat Satuan
(Kg)]]*BNW[[#This Row],[Qty
(Set)]]</f>
        <v>2.2400000000000002</v>
      </c>
      <c r="K767" s="1">
        <f>SUMIF(DATA_MASTER[NO. PON],BNW[[#This Row],[No.PON]],DATA_MASTER[Qty
(Unit)])</f>
        <v>2</v>
      </c>
      <c r="L767" s="16">
        <f>BNW[[#This Row],[TOTAL UNIT]]*BNW[[#This Row],[Total Berat Baut
(Kg)]]</f>
        <v>4.4800000000000004</v>
      </c>
      <c r="N767"/>
      <c r="O767" s="25"/>
    </row>
    <row r="768" spans="1:15" x14ac:dyDescent="0.3">
      <c r="A768" t="s">
        <v>1291</v>
      </c>
      <c r="B768" t="str">
        <f>IFERROR(VLOOKUP(A768,'DATA MASTER'!A:O,2,0)," ")</f>
        <v>Panel Bailey</v>
      </c>
      <c r="C768" t="str">
        <f>IFERROR(VLOOKUP(A768,'DATA MASTER'!A:O,4,0)," ")</f>
        <v>30 DSR2-EW</v>
      </c>
      <c r="D768" t="s">
        <v>142</v>
      </c>
      <c r="E768" t="s">
        <v>106</v>
      </c>
      <c r="F768" s="1">
        <v>8.8000000000000007</v>
      </c>
      <c r="G768" s="1">
        <v>80</v>
      </c>
      <c r="H768">
        <v>0.13600000000000001</v>
      </c>
      <c r="I768" s="16">
        <f>BNW[[#This Row],[Berat Satuan
(Kg)]]*BNW[[#This Row],[Qty
(Set)]]</f>
        <v>10.88</v>
      </c>
      <c r="K768" s="1">
        <f>SUMIF(DATA_MASTER[NO. PON],BNW[[#This Row],[No.PON]],DATA_MASTER[Qty
(Unit)])</f>
        <v>2</v>
      </c>
      <c r="L768" s="16">
        <f>BNW[[#This Row],[TOTAL UNIT]]*BNW[[#This Row],[Total Berat Baut
(Kg)]]</f>
        <v>21.76</v>
      </c>
      <c r="N768"/>
      <c r="O768" s="25"/>
    </row>
    <row r="769" spans="1:15" x14ac:dyDescent="0.3">
      <c r="A769" t="s">
        <v>1294</v>
      </c>
      <c r="B769" t="str">
        <f>IFERROR(VLOOKUP(A769,'DATA MASTER'!A:O,2,0)," ")</f>
        <v>Panel Bailey</v>
      </c>
      <c r="C769" t="str">
        <f>IFERROR(VLOOKUP(A769,'DATA MASTER'!A:O,4,0)," ")</f>
        <v>36 DSR2-EW</v>
      </c>
      <c r="D769" t="s">
        <v>133</v>
      </c>
      <c r="E769" t="s">
        <v>106</v>
      </c>
      <c r="F769" s="1">
        <v>8.8000000000000007</v>
      </c>
      <c r="G769" s="1">
        <v>384</v>
      </c>
      <c r="H769">
        <v>0.53</v>
      </c>
      <c r="I769" s="16">
        <f>BNW[[#This Row],[Berat Satuan
(Kg)]]*BNW[[#This Row],[Qty
(Set)]]</f>
        <v>203.52</v>
      </c>
      <c r="K769" s="1">
        <f>SUMIF(DATA_MASTER[NO. PON],BNW[[#This Row],[No.PON]],DATA_MASTER[Qty
(Unit)])</f>
        <v>2</v>
      </c>
      <c r="L769" s="16">
        <f>BNW[[#This Row],[TOTAL UNIT]]*BNW[[#This Row],[Total Berat Baut
(Kg)]]</f>
        <v>407.04</v>
      </c>
      <c r="O769" s="25"/>
    </row>
    <row r="770" spans="1:15" x14ac:dyDescent="0.3">
      <c r="A770" t="s">
        <v>1294</v>
      </c>
      <c r="B770" t="str">
        <f>IFERROR(VLOOKUP(A770,'DATA MASTER'!A:O,2,0)," ")</f>
        <v>Panel Bailey</v>
      </c>
      <c r="C770" t="str">
        <f>IFERROR(VLOOKUP(A770,'DATA MASTER'!A:O,4,0)," ")</f>
        <v>36 DSR2-EW</v>
      </c>
      <c r="D770" t="s">
        <v>134</v>
      </c>
      <c r="E770" t="s">
        <v>106</v>
      </c>
      <c r="F770" s="1">
        <v>8.8000000000000007</v>
      </c>
      <c r="G770" s="1">
        <v>204</v>
      </c>
      <c r="H770">
        <v>0.46</v>
      </c>
      <c r="I770" s="16">
        <f>BNW[[#This Row],[Berat Satuan
(Kg)]]*BNW[[#This Row],[Qty
(Set)]]</f>
        <v>93.84</v>
      </c>
      <c r="K770" s="1">
        <f>SUMIF(DATA_MASTER[NO. PON],BNW[[#This Row],[No.PON]],DATA_MASTER[Qty
(Unit)])</f>
        <v>2</v>
      </c>
      <c r="L770" s="16">
        <f>BNW[[#This Row],[TOTAL UNIT]]*BNW[[#This Row],[Total Berat Baut
(Kg)]]</f>
        <v>187.68</v>
      </c>
      <c r="N770"/>
      <c r="O770" s="25"/>
    </row>
    <row r="771" spans="1:15" x14ac:dyDescent="0.3">
      <c r="A771" t="s">
        <v>1294</v>
      </c>
      <c r="B771" t="str">
        <f>IFERROR(VLOOKUP(A771,'DATA MASTER'!A:O,2,0)," ")</f>
        <v>Panel Bailey</v>
      </c>
      <c r="C771" t="str">
        <f>IFERROR(VLOOKUP(A771,'DATA MASTER'!A:O,4,0)," ")</f>
        <v>36 DSR2-EW</v>
      </c>
      <c r="D771" t="s">
        <v>135</v>
      </c>
      <c r="E771" t="s">
        <v>106</v>
      </c>
      <c r="F771" s="1">
        <v>8.8000000000000007</v>
      </c>
      <c r="G771" s="1">
        <v>96</v>
      </c>
      <c r="H771">
        <v>0.43</v>
      </c>
      <c r="I771" s="16">
        <f>BNW[[#This Row],[Berat Satuan
(Kg)]]*BNW[[#This Row],[Qty
(Set)]]</f>
        <v>41.28</v>
      </c>
      <c r="K771" s="1">
        <f>SUMIF(DATA_MASTER[NO. PON],BNW[[#This Row],[No.PON]],DATA_MASTER[Qty
(Unit)])</f>
        <v>2</v>
      </c>
      <c r="L771" s="16">
        <f>BNW[[#This Row],[TOTAL UNIT]]*BNW[[#This Row],[Total Berat Baut
(Kg)]]</f>
        <v>82.56</v>
      </c>
      <c r="N771"/>
      <c r="O771" s="25"/>
    </row>
    <row r="772" spans="1:15" x14ac:dyDescent="0.3">
      <c r="A772" t="s">
        <v>1294</v>
      </c>
      <c r="B772" t="str">
        <f>IFERROR(VLOOKUP(A772,'DATA MASTER'!A:O,2,0)," ")</f>
        <v>Panel Bailey</v>
      </c>
      <c r="C772" t="str">
        <f>IFERROR(VLOOKUP(A772,'DATA MASTER'!A:O,4,0)," ")</f>
        <v>36 DSR2-EW</v>
      </c>
      <c r="D772" t="s">
        <v>136</v>
      </c>
      <c r="E772" t="s">
        <v>106</v>
      </c>
      <c r="F772" s="1">
        <v>8.8000000000000007</v>
      </c>
      <c r="G772" s="1">
        <v>56</v>
      </c>
      <c r="H772">
        <v>0.41</v>
      </c>
      <c r="I772" s="16">
        <f>BNW[[#This Row],[Berat Satuan
(Kg)]]*BNW[[#This Row],[Qty
(Set)]]</f>
        <v>22.959999999999997</v>
      </c>
      <c r="K772" s="1">
        <f>SUMIF(DATA_MASTER[NO. PON],BNW[[#This Row],[No.PON]],DATA_MASTER[Qty
(Unit)])</f>
        <v>2</v>
      </c>
      <c r="L772" s="16">
        <f>BNW[[#This Row],[TOTAL UNIT]]*BNW[[#This Row],[Total Berat Baut
(Kg)]]</f>
        <v>45.919999999999995</v>
      </c>
      <c r="N772"/>
      <c r="O772" s="25"/>
    </row>
    <row r="773" spans="1:15" x14ac:dyDescent="0.3">
      <c r="A773" t="s">
        <v>1294</v>
      </c>
      <c r="B773" t="str">
        <f>IFERROR(VLOOKUP(A773,'DATA MASTER'!A:O,2,0)," ")</f>
        <v>Panel Bailey</v>
      </c>
      <c r="C773" t="str">
        <f>IFERROR(VLOOKUP(A773,'DATA MASTER'!A:O,4,0)," ")</f>
        <v>36 DSR2-EW</v>
      </c>
      <c r="D773" t="s">
        <v>137</v>
      </c>
      <c r="E773" t="s">
        <v>106</v>
      </c>
      <c r="F773" s="1">
        <v>8.8000000000000007</v>
      </c>
      <c r="G773" s="1">
        <v>208</v>
      </c>
      <c r="H773">
        <v>0.47399999999999998</v>
      </c>
      <c r="I773" s="16">
        <f>BNW[[#This Row],[Berat Satuan
(Kg)]]*BNW[[#This Row],[Qty
(Set)]]</f>
        <v>98.591999999999999</v>
      </c>
      <c r="K773" s="1">
        <f>SUMIF(DATA_MASTER[NO. PON],BNW[[#This Row],[No.PON]],DATA_MASTER[Qty
(Unit)])</f>
        <v>2</v>
      </c>
      <c r="L773" s="16">
        <f>BNW[[#This Row],[TOTAL UNIT]]*BNW[[#This Row],[Total Berat Baut
(Kg)]]</f>
        <v>197.184</v>
      </c>
      <c r="N773"/>
      <c r="O773" s="25"/>
    </row>
    <row r="774" spans="1:15" x14ac:dyDescent="0.3">
      <c r="A774" t="s">
        <v>1294</v>
      </c>
      <c r="B774" t="str">
        <f>IFERROR(VLOOKUP(A774,'DATA MASTER'!A:O,2,0)," ")</f>
        <v>Panel Bailey</v>
      </c>
      <c r="C774" t="str">
        <f>IFERROR(VLOOKUP(A774,'DATA MASTER'!A:O,4,0)," ")</f>
        <v>36 DSR2-EW</v>
      </c>
      <c r="D774" t="s">
        <v>138</v>
      </c>
      <c r="E774" t="s">
        <v>106</v>
      </c>
      <c r="F774" s="1">
        <v>8.8000000000000007</v>
      </c>
      <c r="G774" s="1">
        <v>24</v>
      </c>
      <c r="H774">
        <v>0.29399999999999998</v>
      </c>
      <c r="I774" s="16">
        <f>BNW[[#This Row],[Berat Satuan
(Kg)]]*BNW[[#This Row],[Qty
(Set)]]</f>
        <v>7.0559999999999992</v>
      </c>
      <c r="K774" s="1">
        <f>SUMIF(DATA_MASTER[NO. PON],BNW[[#This Row],[No.PON]],DATA_MASTER[Qty
(Unit)])</f>
        <v>2</v>
      </c>
      <c r="L774" s="16">
        <f>BNW[[#This Row],[TOTAL UNIT]]*BNW[[#This Row],[Total Berat Baut
(Kg)]]</f>
        <v>14.111999999999998</v>
      </c>
      <c r="N774"/>
      <c r="O774" s="25"/>
    </row>
    <row r="775" spans="1:15" x14ac:dyDescent="0.3">
      <c r="A775" t="s">
        <v>1294</v>
      </c>
      <c r="B775" t="str">
        <f>IFERROR(VLOOKUP(A775,'DATA MASTER'!A:O,2,0)," ")</f>
        <v>Panel Bailey</v>
      </c>
      <c r="C775" t="str">
        <f>IFERROR(VLOOKUP(A775,'DATA MASTER'!A:O,4,0)," ")</f>
        <v>36 DSR2-EW</v>
      </c>
      <c r="D775" t="s">
        <v>139</v>
      </c>
      <c r="E775" t="s">
        <v>106</v>
      </c>
      <c r="F775" s="1">
        <v>8.8000000000000007</v>
      </c>
      <c r="G775" s="1">
        <v>12</v>
      </c>
      <c r="H775">
        <v>0.29399999999999998</v>
      </c>
      <c r="I775" s="16">
        <f>BNW[[#This Row],[Berat Satuan
(Kg)]]*BNW[[#This Row],[Qty
(Set)]]</f>
        <v>3.5279999999999996</v>
      </c>
      <c r="K775" s="1">
        <f>SUMIF(DATA_MASTER[NO. PON],BNW[[#This Row],[No.PON]],DATA_MASTER[Qty
(Unit)])</f>
        <v>2</v>
      </c>
      <c r="L775" s="16">
        <f>BNW[[#This Row],[TOTAL UNIT]]*BNW[[#This Row],[Total Berat Baut
(Kg)]]</f>
        <v>7.0559999999999992</v>
      </c>
      <c r="N775"/>
      <c r="O775" s="25"/>
    </row>
    <row r="776" spans="1:15" x14ac:dyDescent="0.3">
      <c r="A776" t="s">
        <v>1294</v>
      </c>
      <c r="B776" t="str">
        <f>IFERROR(VLOOKUP(A776,'DATA MASTER'!A:O,2,0)," ")</f>
        <v>Panel Bailey</v>
      </c>
      <c r="C776" t="str">
        <f>IFERROR(VLOOKUP(A776,'DATA MASTER'!A:O,4,0)," ")</f>
        <v>36 DSR2-EW</v>
      </c>
      <c r="D776" t="s">
        <v>140</v>
      </c>
      <c r="E776" t="s">
        <v>106</v>
      </c>
      <c r="F776" s="1">
        <v>8.8000000000000007</v>
      </c>
      <c r="G776" s="1">
        <v>192</v>
      </c>
      <c r="H776">
        <v>0.24399999999999999</v>
      </c>
      <c r="I776" s="16">
        <f>BNW[[#This Row],[Berat Satuan
(Kg)]]*BNW[[#This Row],[Qty
(Set)]]</f>
        <v>46.847999999999999</v>
      </c>
      <c r="K776" s="1">
        <f>SUMIF(DATA_MASTER[NO. PON],BNW[[#This Row],[No.PON]],DATA_MASTER[Qty
(Unit)])</f>
        <v>2</v>
      </c>
      <c r="L776" s="16">
        <f>BNW[[#This Row],[TOTAL UNIT]]*BNW[[#This Row],[Total Berat Baut
(Kg)]]</f>
        <v>93.695999999999998</v>
      </c>
      <c r="N776"/>
      <c r="O776" s="25"/>
    </row>
    <row r="777" spans="1:15" x14ac:dyDescent="0.3">
      <c r="A777" t="s">
        <v>1294</v>
      </c>
      <c r="B777" t="str">
        <f>IFERROR(VLOOKUP(A777,'DATA MASTER'!A:O,2,0)," ")</f>
        <v>Panel Bailey</v>
      </c>
      <c r="C777" t="str">
        <f>IFERROR(VLOOKUP(A777,'DATA MASTER'!A:O,4,0)," ")</f>
        <v>36 DSR2-EW</v>
      </c>
      <c r="D777" t="s">
        <v>141</v>
      </c>
      <c r="E777" t="s">
        <v>106</v>
      </c>
      <c r="F777" s="1">
        <v>8.8000000000000007</v>
      </c>
      <c r="G777" s="1">
        <v>16</v>
      </c>
      <c r="H777">
        <v>0.14000000000000001</v>
      </c>
      <c r="I777" s="16">
        <f>BNW[[#This Row],[Berat Satuan
(Kg)]]*BNW[[#This Row],[Qty
(Set)]]</f>
        <v>2.2400000000000002</v>
      </c>
      <c r="K777" s="1">
        <f>SUMIF(DATA_MASTER[NO. PON],BNW[[#This Row],[No.PON]],DATA_MASTER[Qty
(Unit)])</f>
        <v>2</v>
      </c>
      <c r="L777" s="16">
        <f>BNW[[#This Row],[TOTAL UNIT]]*BNW[[#This Row],[Total Berat Baut
(Kg)]]</f>
        <v>4.4800000000000004</v>
      </c>
      <c r="N777"/>
      <c r="O777" s="25"/>
    </row>
    <row r="778" spans="1:15" x14ac:dyDescent="0.3">
      <c r="A778" t="s">
        <v>1294</v>
      </c>
      <c r="B778" t="str">
        <f>IFERROR(VLOOKUP(A778,'DATA MASTER'!A:O,2,0)," ")</f>
        <v>Panel Bailey</v>
      </c>
      <c r="C778" t="str">
        <f>IFERROR(VLOOKUP(A778,'DATA MASTER'!A:O,4,0)," ")</f>
        <v>36 DSR2-EW</v>
      </c>
      <c r="D778" t="s">
        <v>142</v>
      </c>
      <c r="E778" t="s">
        <v>106</v>
      </c>
      <c r="F778" s="1">
        <v>8.8000000000000007</v>
      </c>
      <c r="G778" s="1">
        <v>96</v>
      </c>
      <c r="H778">
        <v>0.13600000000000001</v>
      </c>
      <c r="I778" s="16">
        <f>BNW[[#This Row],[Berat Satuan
(Kg)]]*BNW[[#This Row],[Qty
(Set)]]</f>
        <v>13.056000000000001</v>
      </c>
      <c r="K778" s="1">
        <f>SUMIF(DATA_MASTER[NO. PON],BNW[[#This Row],[No.PON]],DATA_MASTER[Qty
(Unit)])</f>
        <v>2</v>
      </c>
      <c r="L778" s="16">
        <f>BNW[[#This Row],[TOTAL UNIT]]*BNW[[#This Row],[Total Berat Baut
(Kg)]]</f>
        <v>26.112000000000002</v>
      </c>
      <c r="N778"/>
      <c r="O778" s="25"/>
    </row>
    <row r="779" spans="1:15" x14ac:dyDescent="0.3">
      <c r="A779" t="s">
        <v>1293</v>
      </c>
      <c r="B779" t="str">
        <f>IFERROR(VLOOKUP(A779,'DATA MASTER'!A:O,2,0)," ")</f>
        <v>Panel Bailey</v>
      </c>
      <c r="C779" t="str">
        <f>IFERROR(VLOOKUP(A779,'DATA MASTER'!A:O,4,0)," ")</f>
        <v>39 DSR2H**-EW</v>
      </c>
      <c r="D779" t="s">
        <v>132</v>
      </c>
      <c r="E779" t="s">
        <v>106</v>
      </c>
      <c r="F779" s="1">
        <v>8.8000000000000007</v>
      </c>
      <c r="G779" s="1">
        <v>33</v>
      </c>
      <c r="H779">
        <v>0.67</v>
      </c>
      <c r="I779" s="16">
        <f>BNW[[#This Row],[Berat Satuan
(Kg)]]*BNW[[#This Row],[Qty
(Set)]]</f>
        <v>22.110000000000003</v>
      </c>
      <c r="K779" s="1">
        <f>SUMIF(DATA_MASTER[NO. PON],BNW[[#This Row],[No.PON]],DATA_MASTER[Qty
(Unit)])</f>
        <v>2</v>
      </c>
      <c r="L779" s="16">
        <f>BNW[[#This Row],[TOTAL UNIT]]*BNW[[#This Row],[Total Berat Baut
(Kg)]]</f>
        <v>44.220000000000006</v>
      </c>
      <c r="O779" s="25"/>
    </row>
    <row r="780" spans="1:15" x14ac:dyDescent="0.3">
      <c r="A780" t="s">
        <v>1293</v>
      </c>
      <c r="B780" t="str">
        <f>IFERROR(VLOOKUP(A780,'DATA MASTER'!A:O,2,0)," ")</f>
        <v>Panel Bailey</v>
      </c>
      <c r="C780" t="str">
        <f>IFERROR(VLOOKUP(A780,'DATA MASTER'!A:O,4,0)," ")</f>
        <v>39 DSR2H**-EW</v>
      </c>
      <c r="D780" t="s">
        <v>133</v>
      </c>
      <c r="E780" t="s">
        <v>106</v>
      </c>
      <c r="F780" s="1" t="s">
        <v>296</v>
      </c>
      <c r="G780" s="1">
        <v>429</v>
      </c>
      <c r="H780">
        <v>0.79</v>
      </c>
      <c r="I780" s="16">
        <f>BNW[[#This Row],[Berat Satuan
(Kg)]]*BNW[[#This Row],[Qty
(Set)]]</f>
        <v>338.91</v>
      </c>
      <c r="K780" s="1">
        <f>SUMIF(DATA_MASTER[NO. PON],BNW[[#This Row],[No.PON]],DATA_MASTER[Qty
(Unit)])</f>
        <v>2</v>
      </c>
      <c r="L780" s="16">
        <f>BNW[[#This Row],[TOTAL UNIT]]*BNW[[#This Row],[Total Berat Baut
(Kg)]]</f>
        <v>677.82</v>
      </c>
      <c r="N780"/>
      <c r="O780" s="25"/>
    </row>
    <row r="781" spans="1:15" x14ac:dyDescent="0.3">
      <c r="A781" t="s">
        <v>1293</v>
      </c>
      <c r="B781" t="str">
        <f>IFERROR(VLOOKUP(A781,'DATA MASTER'!A:O,2,0)," ")</f>
        <v>Panel Bailey</v>
      </c>
      <c r="C781" t="str">
        <f>IFERROR(VLOOKUP(A781,'DATA MASTER'!A:O,4,0)," ")</f>
        <v>39 DSR2H**-EW</v>
      </c>
      <c r="D781" t="s">
        <v>134</v>
      </c>
      <c r="E781" t="s">
        <v>106</v>
      </c>
      <c r="F781" s="1">
        <v>8.8000000000000007</v>
      </c>
      <c r="G781" s="1">
        <v>228</v>
      </c>
      <c r="H781">
        <v>0.46</v>
      </c>
      <c r="I781" s="16">
        <f>BNW[[#This Row],[Berat Satuan
(Kg)]]*BNW[[#This Row],[Qty
(Set)]]</f>
        <v>104.88000000000001</v>
      </c>
      <c r="K781" s="1">
        <f>SUMIF(DATA_MASTER[NO. PON],BNW[[#This Row],[No.PON]],DATA_MASTER[Qty
(Unit)])</f>
        <v>2</v>
      </c>
      <c r="L781" s="16">
        <f>BNW[[#This Row],[TOTAL UNIT]]*BNW[[#This Row],[Total Berat Baut
(Kg)]]</f>
        <v>209.76000000000002</v>
      </c>
      <c r="N781"/>
      <c r="O781" s="25"/>
    </row>
    <row r="782" spans="1:15" x14ac:dyDescent="0.3">
      <c r="A782" t="s">
        <v>1293</v>
      </c>
      <c r="B782" t="str">
        <f>IFERROR(VLOOKUP(A782,'DATA MASTER'!A:O,2,0)," ")</f>
        <v>Panel Bailey</v>
      </c>
      <c r="C782" t="str">
        <f>IFERROR(VLOOKUP(A782,'DATA MASTER'!A:O,4,0)," ")</f>
        <v>39 DSR2H**-EW</v>
      </c>
      <c r="D782" t="s">
        <v>135</v>
      </c>
      <c r="E782" t="s">
        <v>106</v>
      </c>
      <c r="F782" s="1">
        <v>8.8000000000000007</v>
      </c>
      <c r="G782" s="1">
        <v>54</v>
      </c>
      <c r="H782">
        <v>0.43</v>
      </c>
      <c r="I782" s="16">
        <f>BNW[[#This Row],[Berat Satuan
(Kg)]]*BNW[[#This Row],[Qty
(Set)]]</f>
        <v>23.22</v>
      </c>
      <c r="K782" s="1">
        <f>SUMIF(DATA_MASTER[NO. PON],BNW[[#This Row],[No.PON]],DATA_MASTER[Qty
(Unit)])</f>
        <v>2</v>
      </c>
      <c r="L782" s="16">
        <f>BNW[[#This Row],[TOTAL UNIT]]*BNW[[#This Row],[Total Berat Baut
(Kg)]]</f>
        <v>46.44</v>
      </c>
      <c r="N782"/>
      <c r="O782" s="25"/>
    </row>
    <row r="783" spans="1:15" x14ac:dyDescent="0.3">
      <c r="A783" t="s">
        <v>1293</v>
      </c>
      <c r="B783" t="str">
        <f>IFERROR(VLOOKUP(A783,'DATA MASTER'!A:O,2,0)," ")</f>
        <v>Panel Bailey</v>
      </c>
      <c r="C783" t="str">
        <f>IFERROR(VLOOKUP(A783,'DATA MASTER'!A:O,4,0)," ")</f>
        <v>39 DSR2H**-EW</v>
      </c>
      <c r="D783" t="s">
        <v>136</v>
      </c>
      <c r="E783" t="s">
        <v>106</v>
      </c>
      <c r="F783" s="1">
        <v>8.8000000000000007</v>
      </c>
      <c r="G783" s="1">
        <v>83</v>
      </c>
      <c r="H783">
        <v>0.41</v>
      </c>
      <c r="I783" s="16">
        <f>BNW[[#This Row],[Berat Satuan
(Kg)]]*BNW[[#This Row],[Qty
(Set)]]</f>
        <v>34.03</v>
      </c>
      <c r="K783" s="1">
        <f>SUMIF(DATA_MASTER[NO. PON],BNW[[#This Row],[No.PON]],DATA_MASTER[Qty
(Unit)])</f>
        <v>2</v>
      </c>
      <c r="L783" s="16">
        <f>BNW[[#This Row],[TOTAL UNIT]]*BNW[[#This Row],[Total Berat Baut
(Kg)]]</f>
        <v>68.06</v>
      </c>
      <c r="N783"/>
      <c r="O783" s="25"/>
    </row>
    <row r="784" spans="1:15" x14ac:dyDescent="0.3">
      <c r="A784" t="s">
        <v>1293</v>
      </c>
      <c r="B784" t="str">
        <f>IFERROR(VLOOKUP(A784,'DATA MASTER'!A:O,2,0)," ")</f>
        <v>Panel Bailey</v>
      </c>
      <c r="C784" t="str">
        <f>IFERROR(VLOOKUP(A784,'DATA MASTER'!A:O,4,0)," ")</f>
        <v>39 DSR2H**-EW</v>
      </c>
      <c r="D784" t="s">
        <v>137</v>
      </c>
      <c r="E784" t="s">
        <v>106</v>
      </c>
      <c r="F784" s="1">
        <v>8.8000000000000007</v>
      </c>
      <c r="G784" s="1">
        <v>264</v>
      </c>
      <c r="H784">
        <v>0.47399999999999998</v>
      </c>
      <c r="I784" s="16">
        <f>BNW[[#This Row],[Berat Satuan
(Kg)]]*BNW[[#This Row],[Qty
(Set)]]</f>
        <v>125.136</v>
      </c>
      <c r="K784" s="1">
        <f>SUMIF(DATA_MASTER[NO. PON],BNW[[#This Row],[No.PON]],DATA_MASTER[Qty
(Unit)])</f>
        <v>2</v>
      </c>
      <c r="L784" s="16">
        <f>BNW[[#This Row],[TOTAL UNIT]]*BNW[[#This Row],[Total Berat Baut
(Kg)]]</f>
        <v>250.27199999999999</v>
      </c>
      <c r="N784"/>
      <c r="O784" s="25"/>
    </row>
    <row r="785" spans="1:15" x14ac:dyDescent="0.3">
      <c r="A785" t="s">
        <v>1293</v>
      </c>
      <c r="B785" t="str">
        <f>IFERROR(VLOOKUP(A785,'DATA MASTER'!A:O,2,0)," ")</f>
        <v>Panel Bailey</v>
      </c>
      <c r="C785" t="str">
        <f>IFERROR(VLOOKUP(A785,'DATA MASTER'!A:O,4,0)," ")</f>
        <v>39 DSR2H**-EW</v>
      </c>
      <c r="D785" t="s">
        <v>138</v>
      </c>
      <c r="E785" t="s">
        <v>106</v>
      </c>
      <c r="F785" s="1">
        <v>8.8000000000000007</v>
      </c>
      <c r="G785" s="1">
        <v>25</v>
      </c>
      <c r="H785">
        <v>0.29399999999999998</v>
      </c>
      <c r="I785" s="16">
        <f>BNW[[#This Row],[Berat Satuan
(Kg)]]*BNW[[#This Row],[Qty
(Set)]]</f>
        <v>7.35</v>
      </c>
      <c r="K785" s="1">
        <f>SUMIF(DATA_MASTER[NO. PON],BNW[[#This Row],[No.PON]],DATA_MASTER[Qty
(Unit)])</f>
        <v>2</v>
      </c>
      <c r="L785" s="16">
        <f>BNW[[#This Row],[TOTAL UNIT]]*BNW[[#This Row],[Total Berat Baut
(Kg)]]</f>
        <v>14.7</v>
      </c>
      <c r="N785"/>
      <c r="O785" s="25"/>
    </row>
    <row r="786" spans="1:15" x14ac:dyDescent="0.3">
      <c r="A786" t="s">
        <v>1293</v>
      </c>
      <c r="B786" t="str">
        <f>IFERROR(VLOOKUP(A786,'DATA MASTER'!A:O,2,0)," ")</f>
        <v>Panel Bailey</v>
      </c>
      <c r="C786" t="str">
        <f>IFERROR(VLOOKUP(A786,'DATA MASTER'!A:O,4,0)," ")</f>
        <v>39 DSR2H**-EW</v>
      </c>
      <c r="D786" t="s">
        <v>139</v>
      </c>
      <c r="E786" t="s">
        <v>106</v>
      </c>
      <c r="F786" s="1">
        <v>8.8000000000000007</v>
      </c>
      <c r="G786" s="1">
        <v>88</v>
      </c>
      <c r="H786">
        <v>0.254</v>
      </c>
      <c r="I786" s="16">
        <f>BNW[[#This Row],[Berat Satuan
(Kg)]]*BNW[[#This Row],[Qty
(Set)]]</f>
        <v>22.352</v>
      </c>
      <c r="K786" s="1">
        <f>SUMIF(DATA_MASTER[NO. PON],BNW[[#This Row],[No.PON]],DATA_MASTER[Qty
(Unit)])</f>
        <v>2</v>
      </c>
      <c r="L786" s="16">
        <f>BNW[[#This Row],[TOTAL UNIT]]*BNW[[#This Row],[Total Berat Baut
(Kg)]]</f>
        <v>44.704000000000001</v>
      </c>
      <c r="N786"/>
      <c r="O786" s="25"/>
    </row>
    <row r="787" spans="1:15" x14ac:dyDescent="0.3">
      <c r="A787" t="s">
        <v>1293</v>
      </c>
      <c r="B787" t="str">
        <f>IFERROR(VLOOKUP(A787,'DATA MASTER'!A:O,2,0)," ")</f>
        <v>Panel Bailey</v>
      </c>
      <c r="C787" t="str">
        <f>IFERROR(VLOOKUP(A787,'DATA MASTER'!A:O,4,0)," ")</f>
        <v>39 DSR2H**-EW</v>
      </c>
      <c r="D787" t="s">
        <v>140</v>
      </c>
      <c r="E787" t="s">
        <v>106</v>
      </c>
      <c r="F787" s="1">
        <v>8.8000000000000007</v>
      </c>
      <c r="G787" s="1">
        <v>54</v>
      </c>
      <c r="H787">
        <v>0.24399999999999999</v>
      </c>
      <c r="I787" s="16">
        <f>BNW[[#This Row],[Berat Satuan
(Kg)]]*BNW[[#This Row],[Qty
(Set)]]</f>
        <v>13.176</v>
      </c>
      <c r="K787" s="1">
        <f>SUMIF(DATA_MASTER[NO. PON],BNW[[#This Row],[No.PON]],DATA_MASTER[Qty
(Unit)])</f>
        <v>2</v>
      </c>
      <c r="L787" s="16">
        <f>BNW[[#This Row],[TOTAL UNIT]]*BNW[[#This Row],[Total Berat Baut
(Kg)]]</f>
        <v>26.352</v>
      </c>
      <c r="N787"/>
      <c r="O787" s="25"/>
    </row>
    <row r="788" spans="1:15" x14ac:dyDescent="0.3">
      <c r="A788" t="s">
        <v>1293</v>
      </c>
      <c r="B788" t="str">
        <f>IFERROR(VLOOKUP(A788,'DATA MASTER'!A:O,2,0)," ")</f>
        <v>Panel Bailey</v>
      </c>
      <c r="C788" t="str">
        <f>IFERROR(VLOOKUP(A788,'DATA MASTER'!A:O,4,0)," ")</f>
        <v>39 DSR2H**-EW</v>
      </c>
      <c r="D788" t="s">
        <v>141</v>
      </c>
      <c r="E788" t="s">
        <v>106</v>
      </c>
      <c r="F788" s="1">
        <v>8.8000000000000007</v>
      </c>
      <c r="G788" s="1">
        <v>17</v>
      </c>
      <c r="H788">
        <v>0.13600000000000001</v>
      </c>
      <c r="I788" s="16">
        <f>BNW[[#This Row],[Berat Satuan
(Kg)]]*BNW[[#This Row],[Qty
(Set)]]</f>
        <v>2.3120000000000003</v>
      </c>
      <c r="K788" s="1">
        <f>SUMIF(DATA_MASTER[NO. PON],BNW[[#This Row],[No.PON]],DATA_MASTER[Qty
(Unit)])</f>
        <v>2</v>
      </c>
      <c r="L788" s="16">
        <f>BNW[[#This Row],[TOTAL UNIT]]*BNW[[#This Row],[Total Berat Baut
(Kg)]]</f>
        <v>4.6240000000000006</v>
      </c>
      <c r="N788"/>
      <c r="O788" s="25"/>
    </row>
    <row r="789" spans="1:15" x14ac:dyDescent="0.3">
      <c r="A789" t="s">
        <v>1293</v>
      </c>
      <c r="B789" t="str">
        <f>IFERROR(VLOOKUP(A789,'DATA MASTER'!A:O,2,0)," ")</f>
        <v>Panel Bailey</v>
      </c>
      <c r="C789" t="str">
        <f>IFERROR(VLOOKUP(A789,'DATA MASTER'!A:O,4,0)," ")</f>
        <v>39 DSR2H**-EW</v>
      </c>
      <c r="D789" t="s">
        <v>142</v>
      </c>
      <c r="E789" t="s">
        <v>106</v>
      </c>
      <c r="F789" s="1">
        <v>8.8000000000000007</v>
      </c>
      <c r="G789" s="1">
        <v>108</v>
      </c>
      <c r="H789">
        <v>0.13600000000000001</v>
      </c>
      <c r="I789" s="16">
        <f>BNW[[#This Row],[Berat Satuan
(Kg)]]*BNW[[#This Row],[Qty
(Set)]]</f>
        <v>14.688000000000001</v>
      </c>
      <c r="K789" s="1">
        <f>SUMIF(DATA_MASTER[NO. PON],BNW[[#This Row],[No.PON]],DATA_MASTER[Qty
(Unit)])</f>
        <v>2</v>
      </c>
      <c r="L789" s="16">
        <f>BNW[[#This Row],[TOTAL UNIT]]*BNW[[#This Row],[Total Berat Baut
(Kg)]]</f>
        <v>29.376000000000001</v>
      </c>
      <c r="N789"/>
      <c r="O789" s="25"/>
    </row>
    <row r="790" spans="1:15" x14ac:dyDescent="0.3">
      <c r="A790" t="s">
        <v>1295</v>
      </c>
      <c r="B790" t="str">
        <f>IFERROR(VLOOKUP(A790,'DATA MASTER'!A:O,2,0)," ")</f>
        <v>Komponen Jembatan</v>
      </c>
      <c r="C790" t="str">
        <f>IFERROR(VLOOKUP(A790,'DATA MASTER'!A:O,4,0)," ")</f>
        <v>WB BEAM</v>
      </c>
      <c r="D790" t="s">
        <v>79</v>
      </c>
      <c r="E790" t="s">
        <v>441</v>
      </c>
      <c r="F790" s="1" t="s">
        <v>296</v>
      </c>
      <c r="G790" s="1">
        <v>675</v>
      </c>
      <c r="H790">
        <v>0.42</v>
      </c>
      <c r="I790" s="16">
        <f>BNW[[#This Row],[Berat Satuan
(Kg)]]*BNW[[#This Row],[Qty
(Set)]]</f>
        <v>283.5</v>
      </c>
      <c r="K790" s="1">
        <f>SUMIF(DATA_MASTER[NO. PON],BNW[[#This Row],[No.PON]],DATA_MASTER[Qty
(Unit)])</f>
        <v>1</v>
      </c>
      <c r="L790" s="16">
        <f>BNW[[#This Row],[TOTAL UNIT]]*BNW[[#This Row],[Total Berat Baut
(Kg)]]</f>
        <v>283.5</v>
      </c>
      <c r="N790"/>
      <c r="O790" s="25"/>
    </row>
    <row r="791" spans="1:15" x14ac:dyDescent="0.3">
      <c r="I791" s="16">
        <f>SUBTOTAL(109,BNW[Total Berat Baut
(Kg)])</f>
        <v>71832.871000000072</v>
      </c>
      <c r="L791" s="172">
        <f>SUBTOTAL(109,BNW[Total Berat UNIT 
(KG)])</f>
        <v>82866.748000000021</v>
      </c>
      <c r="N791"/>
      <c r="O791" s="159"/>
    </row>
  </sheetData>
  <pageMargins left="0.7" right="0.7" top="0.75" bottom="0.75" header="0.3" footer="0.3"/>
  <pageSetup orientation="portrait" r:id="rId1"/>
  <tableParts count="1">
    <tablePart r:id="rId2"/>
  </tableParts>
  <extLst>
    <ext xmlns:x14="http://schemas.microsoft.com/office/spreadsheetml/2009/9/main" uri="{CCE6A557-97BC-4b89-ADB6-D9C93CAAB3DF}">
      <x14:dataValidations xmlns:xm="http://schemas.microsoft.com/office/excel/2006/main" count="1">
        <x14:dataValidation type="list" allowBlank="1" showInputMessage="1" showErrorMessage="1" xr:uid="{778FD8F4-0573-4235-AA96-F746233E89C3}">
          <x14:formula1>
            <xm:f>'DATA MASTER'!$A:$A</xm:f>
          </x14:formula1>
          <xm:sqref>A792:A1048576 A1:A790</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7B0657-09A9-4ADF-8E07-1599D81AAC14}">
  <sheetPr codeName="Sheet10">
    <pageSetUpPr fitToPage="1"/>
  </sheetPr>
  <dimension ref="B4:P94"/>
  <sheetViews>
    <sheetView showGridLines="0" topLeftCell="B70" workbookViewId="0">
      <selection activeCell="I86" sqref="I86"/>
    </sheetView>
  </sheetViews>
  <sheetFormatPr defaultRowHeight="14.4" x14ac:dyDescent="0.3"/>
  <cols>
    <col min="2" max="2" width="12.21875" bestFit="1" customWidth="1"/>
    <col min="3" max="3" width="39.88671875" bestFit="1" customWidth="1"/>
    <col min="4" max="4" width="21.109375" bestFit="1" customWidth="1"/>
    <col min="5" max="5" width="18.109375" bestFit="1" customWidth="1"/>
    <col min="6" max="6" width="10.5546875" customWidth="1"/>
    <col min="7" max="7" width="10.5546875" hidden="1" customWidth="1"/>
    <col min="8" max="8" width="16.77734375" hidden="1" customWidth="1"/>
    <col min="9" max="9" width="16.77734375" customWidth="1"/>
    <col min="10" max="10" width="26.6640625" customWidth="1"/>
    <col min="11" max="11" width="12" customWidth="1"/>
    <col min="12" max="12" width="35.6640625" style="20" bestFit="1" customWidth="1"/>
    <col min="13" max="13" width="24" style="23" bestFit="1" customWidth="1"/>
    <col min="14" max="14" width="13.109375" bestFit="1" customWidth="1"/>
    <col min="15" max="15" width="10.5546875" hidden="1" customWidth="1"/>
    <col min="16" max="16" width="14.109375" hidden="1" customWidth="1"/>
    <col min="18" max="18" width="31.5546875" bestFit="1" customWidth="1"/>
  </cols>
  <sheetData>
    <row r="4" spans="2:16" ht="16.8" customHeight="1" x14ac:dyDescent="0.35">
      <c r="B4" s="37" t="s">
        <v>299</v>
      </c>
      <c r="C4" s="40">
        <f ca="1">TODAY()</f>
        <v>45640</v>
      </c>
    </row>
    <row r="6" spans="2:16" s="1" customFormat="1" ht="43.2" x14ac:dyDescent="0.3">
      <c r="B6" s="1" t="s">
        <v>27</v>
      </c>
      <c r="C6" s="1" t="s">
        <v>11</v>
      </c>
      <c r="D6" s="11" t="s">
        <v>12</v>
      </c>
      <c r="E6" s="1" t="s">
        <v>230</v>
      </c>
      <c r="F6" s="11" t="s">
        <v>231</v>
      </c>
      <c r="G6" s="11" t="s">
        <v>733</v>
      </c>
      <c r="H6" s="11" t="s">
        <v>734</v>
      </c>
      <c r="I6" s="11" t="s">
        <v>232</v>
      </c>
      <c r="J6" s="11" t="s">
        <v>239</v>
      </c>
      <c r="K6" s="1" t="s">
        <v>32</v>
      </c>
      <c r="L6" s="11" t="s">
        <v>234</v>
      </c>
      <c r="M6" s="11" t="s">
        <v>254</v>
      </c>
      <c r="N6" s="11" t="s">
        <v>255</v>
      </c>
      <c r="O6" s="11" t="s">
        <v>37</v>
      </c>
      <c r="P6" s="1" t="s">
        <v>235</v>
      </c>
    </row>
    <row r="7" spans="2:16" x14ac:dyDescent="0.3">
      <c r="B7" s="32" t="s">
        <v>244</v>
      </c>
      <c r="C7" s="32" t="str">
        <f>IFERROR(VLOOKUP(B7,'DATA MASTER'!A:O,2,0)," ")</f>
        <v>PLATE LRB</v>
      </c>
      <c r="D7" s="32" t="str">
        <f>IFERROR(VLOOKUP(B7,'DATA MASTER'!A:V,4,0)," ")</f>
        <v>BASEPLATE FOR LRB</v>
      </c>
      <c r="E7" s="33">
        <v>79206.457821165008</v>
      </c>
      <c r="F7" s="34">
        <f>70</f>
        <v>70</v>
      </c>
      <c r="G7" s="34">
        <v>200</v>
      </c>
      <c r="H7" s="34">
        <f>Table32[[#This Row],[Harga Satuan
(Rp) WGJ]]*Table32[[#This Row],[Berat Packing]]</f>
        <v>15841291.564233001</v>
      </c>
      <c r="I7" s="34">
        <f>Table32[[#This Row],[Harga Satuan
(Rp)]]*Table32[[#This Row],[Berat Packing]]</f>
        <v>5544452.0474815508</v>
      </c>
      <c r="J7" s="177"/>
      <c r="K7" s="101"/>
      <c r="L7" s="153"/>
      <c r="M7" s="59"/>
      <c r="N7" s="58"/>
      <c r="O7" s="9"/>
      <c r="P7" s="9"/>
    </row>
    <row r="8" spans="2:16" x14ac:dyDescent="0.3">
      <c r="B8" s="32" t="s">
        <v>246</v>
      </c>
      <c r="C8" s="32" t="str">
        <f>IFERROR(VLOOKUP(B8,'DATA MASTER'!A:O,2,0)," ")</f>
        <v>PLATE LRB</v>
      </c>
      <c r="D8" s="32" t="str">
        <f>IFERROR(VLOOKUP(B8,'DATA MASTER'!A:V,4,0)," ")</f>
        <v>BASEPLATE FOR LRB</v>
      </c>
      <c r="E8" s="33">
        <v>48589.616000000002</v>
      </c>
      <c r="F8" s="34">
        <f>70</f>
        <v>70</v>
      </c>
      <c r="G8" s="34">
        <v>200</v>
      </c>
      <c r="H8" s="34">
        <f>Table32[[#This Row],[Harga Satuan
(Rp) WGJ]]*Table32[[#This Row],[Berat Packing]]</f>
        <v>9717923.2000000011</v>
      </c>
      <c r="I8" s="34">
        <f>Table32[[#This Row],[Harga Satuan
(Rp)]]*Table32[[#This Row],[Berat Packing]]</f>
        <v>3401273.12</v>
      </c>
      <c r="J8" s="177"/>
      <c r="K8" s="101"/>
      <c r="L8" s="153"/>
      <c r="M8" s="59"/>
      <c r="N8" s="58"/>
      <c r="O8" s="9"/>
      <c r="P8" s="9"/>
    </row>
    <row r="9" spans="2:16" x14ac:dyDescent="0.3">
      <c r="B9" s="32" t="s">
        <v>240</v>
      </c>
      <c r="C9" s="32" t="str">
        <f>IFERROR(VLOOKUP(B9,'DATA MASTER'!A:O,2,0)," ")</f>
        <v>FENCING SHELTER &amp; STAIRCASES</v>
      </c>
      <c r="D9" s="32" t="str">
        <f>IFERROR(VLOOKUP(B9,'DATA MASTER'!A:V,4,0)," ")</f>
        <v>FENCING</v>
      </c>
      <c r="E9" s="33">
        <v>3450.4569721340395</v>
      </c>
      <c r="F9" s="34">
        <f>70</f>
        <v>70</v>
      </c>
      <c r="G9" s="34">
        <v>200</v>
      </c>
      <c r="H9" s="34">
        <f>Table32[[#This Row],[Harga Satuan
(Rp) WGJ]]*Table32[[#This Row],[Berat Packing]]</f>
        <v>690091.39442680788</v>
      </c>
      <c r="I9" s="34">
        <f>Table32[[#This Row],[Harga Satuan
(Rp)]]*Table32[[#This Row],[Berat Packing]]</f>
        <v>241531.98804938275</v>
      </c>
      <c r="J9" s="177"/>
      <c r="K9" s="101"/>
      <c r="L9" s="153"/>
      <c r="M9" s="59"/>
      <c r="N9" s="58"/>
      <c r="O9" s="9"/>
      <c r="P9" s="9"/>
    </row>
    <row r="10" spans="2:16" x14ac:dyDescent="0.3">
      <c r="B10" s="32" t="s">
        <v>166</v>
      </c>
      <c r="C10" s="32" t="str">
        <f>IFERROR(VLOOKUP(B10,'DATA MASTER'!A:O,2,0)," ")</f>
        <v>PLATE LRB</v>
      </c>
      <c r="D10" s="32" t="str">
        <f>IFERROR(VLOOKUP(B10,'DATA MASTER'!A:V,4,0)," ")</f>
        <v>BASEPLATE FOR LRB</v>
      </c>
      <c r="E10" s="33">
        <v>875.33388454400006</v>
      </c>
      <c r="F10" s="34">
        <f>70</f>
        <v>70</v>
      </c>
      <c r="G10" s="34">
        <v>200</v>
      </c>
      <c r="H10" s="34">
        <f>Table32[[#This Row],[Harga Satuan
(Rp) WGJ]]*Table32[[#This Row],[Berat Packing]]</f>
        <v>175066.77690880001</v>
      </c>
      <c r="I10" s="34" t="s">
        <v>233</v>
      </c>
      <c r="J10" s="177"/>
      <c r="K10" s="101"/>
      <c r="L10" s="153"/>
      <c r="M10" s="59"/>
      <c r="N10" s="58"/>
      <c r="O10" s="9"/>
      <c r="P10" s="9"/>
    </row>
    <row r="11" spans="2:16" x14ac:dyDescent="0.3">
      <c r="B11" s="32" t="s">
        <v>222</v>
      </c>
      <c r="C11" s="32" t="str">
        <f>IFERROR(VLOOKUP(B11,'DATA MASTER'!A:O,2,0)," ")</f>
        <v>PLATE LRB</v>
      </c>
      <c r="D11" s="32" t="str">
        <f>IFERROR(VLOOKUP(B11,'DATA MASTER'!A:V,4,0)," ")</f>
        <v>BASEPLATE FOR LRB</v>
      </c>
      <c r="E11" s="33">
        <v>3090.48</v>
      </c>
      <c r="F11" s="34">
        <f>70</f>
        <v>70</v>
      </c>
      <c r="G11" s="34">
        <v>200</v>
      </c>
      <c r="H11" s="34">
        <f>Table32[[#This Row],[Harga Satuan
(Rp) WGJ]]*Table32[[#This Row],[Berat Packing]]</f>
        <v>618096</v>
      </c>
      <c r="I11" s="34" t="s">
        <v>233</v>
      </c>
      <c r="J11" s="177"/>
      <c r="K11" s="101"/>
      <c r="L11" s="153"/>
      <c r="M11" s="59"/>
      <c r="N11" s="58"/>
      <c r="O11" s="9"/>
      <c r="P11" s="9"/>
    </row>
    <row r="12" spans="2:16" x14ac:dyDescent="0.3">
      <c r="B12" s="32" t="s">
        <v>67</v>
      </c>
      <c r="C12" s="32" t="str">
        <f>IFERROR(VLOOKUP(B12,'DATA MASTER'!A:O,2,0)," ")</f>
        <v>Jembatan Gantung</v>
      </c>
      <c r="D12" s="32" t="str">
        <f>IFERROR(VLOOKUP(B12,'DATA MASTER'!A:V,4,0)," ")</f>
        <v>JG105 - PIPA</v>
      </c>
      <c r="E12" s="33">
        <v>11634.559999999996</v>
      </c>
      <c r="F12" s="34">
        <f>70</f>
        <v>70</v>
      </c>
      <c r="G12" s="34">
        <v>200</v>
      </c>
      <c r="H12" s="34">
        <f>Table32[[#This Row],[Harga Satuan
(Rp) WGJ]]*Table32[[#This Row],[Berat Packing]]</f>
        <v>2326911.9999999991</v>
      </c>
      <c r="I12" s="34" t="s">
        <v>233</v>
      </c>
      <c r="J12" s="177"/>
      <c r="K12" s="101"/>
      <c r="L12" s="153"/>
      <c r="M12" s="59"/>
      <c r="N12" s="58"/>
      <c r="O12" s="9"/>
      <c r="P12" s="9"/>
    </row>
    <row r="13" spans="2:16" x14ac:dyDescent="0.3">
      <c r="B13" s="32" t="s">
        <v>10</v>
      </c>
      <c r="C13" s="32" t="str">
        <f>IFERROR(VLOOKUP(B13,'DATA MASTER'!A:O,2,0)," ")</f>
        <v>Girder</v>
      </c>
      <c r="D13" s="32" t="str">
        <f>IFERROR(VLOOKUP(B13,'DATA MASTER'!A:V,4,0)," ")</f>
        <v>AG30</v>
      </c>
      <c r="E13" s="33">
        <v>45554.55</v>
      </c>
      <c r="F13" s="34">
        <f>70</f>
        <v>70</v>
      </c>
      <c r="G13" s="34">
        <v>200</v>
      </c>
      <c r="H13" s="34">
        <f>Table32[[#This Row],[Harga Satuan
(Rp) WGJ]]*Table32[[#This Row],[Berat Packing]]</f>
        <v>9110910</v>
      </c>
      <c r="I13" s="34">
        <f>Table32[[#This Row],[Harga Satuan
(Rp)]]*Table32[[#This Row],[Berat Packing]]</f>
        <v>3188818.5</v>
      </c>
      <c r="J13" s="177">
        <v>44964</v>
      </c>
      <c r="K13" s="101" t="s">
        <v>312</v>
      </c>
      <c r="L13" s="153"/>
      <c r="M13" s="59"/>
      <c r="N13" s="58"/>
      <c r="O13" s="9"/>
      <c r="P13" s="9"/>
    </row>
    <row r="14" spans="2:16" x14ac:dyDescent="0.3">
      <c r="B14" s="32" t="s">
        <v>17</v>
      </c>
      <c r="C14" s="32" t="str">
        <f>IFERROR(VLOOKUP(B14,'DATA MASTER'!A:O,2,0)," ")</f>
        <v>Panel Bailey</v>
      </c>
      <c r="D14" s="32" t="str">
        <f>IFERROR(VLOOKUP(B14,'DATA MASTER'!A:V,4,0)," ")</f>
        <v>33M DSR2 - SS400</v>
      </c>
      <c r="E14" s="33">
        <v>33073.360000000001</v>
      </c>
      <c r="F14" s="34">
        <f>70</f>
        <v>70</v>
      </c>
      <c r="G14" s="34">
        <v>200</v>
      </c>
      <c r="H14" s="34">
        <f>Table32[[#This Row],[Harga Satuan
(Rp) WGJ]]*Table32[[#This Row],[Berat Packing]]</f>
        <v>6614672</v>
      </c>
      <c r="I14" s="34">
        <f>Table32[[#This Row],[Harga Satuan
(Rp)]]*Table32[[#This Row],[Berat Packing]]</f>
        <v>2315135.2000000002</v>
      </c>
      <c r="J14" s="177">
        <v>45015</v>
      </c>
      <c r="K14" s="101" t="s">
        <v>312</v>
      </c>
      <c r="L14" s="153"/>
      <c r="M14" s="59">
        <v>45015</v>
      </c>
      <c r="N14" s="58"/>
      <c r="O14" s="9"/>
      <c r="P14" s="9"/>
    </row>
    <row r="15" spans="2:16" x14ac:dyDescent="0.3">
      <c r="B15" s="32" t="s">
        <v>19</v>
      </c>
      <c r="C15" s="32" t="str">
        <f>IFERROR(VLOOKUP(B15,'DATA MASTER'!A:O,2,0)," ")</f>
        <v>Girder</v>
      </c>
      <c r="D15" s="32" t="str">
        <f>IFERROR(VLOOKUP(B15,'DATA MASTER'!A:V,4,0)," ")</f>
        <v>AG20</v>
      </c>
      <c r="E15" s="33">
        <v>23643.79</v>
      </c>
      <c r="F15" s="34">
        <f>70</f>
        <v>70</v>
      </c>
      <c r="G15" s="34">
        <v>200</v>
      </c>
      <c r="H15" s="34">
        <f>Table32[[#This Row],[Harga Satuan
(Rp) WGJ]]*Table32[[#This Row],[Berat Packing]]</f>
        <v>4728758</v>
      </c>
      <c r="I15" s="34">
        <f>Table32[[#This Row],[Harga Satuan
(Rp)]]*Table32[[#This Row],[Berat Packing]]</f>
        <v>1655065.3</v>
      </c>
      <c r="J15" s="177">
        <v>44965</v>
      </c>
      <c r="K15" s="101" t="s">
        <v>312</v>
      </c>
      <c r="L15" s="153"/>
      <c r="M15" s="59"/>
      <c r="N15" s="58"/>
      <c r="O15" s="9"/>
      <c r="P15" s="9"/>
    </row>
    <row r="16" spans="2:16" x14ac:dyDescent="0.3">
      <c r="B16" s="32" t="s">
        <v>122</v>
      </c>
      <c r="C16" s="32" t="str">
        <f>IFERROR(VLOOKUP(B16,'DATA MASTER'!A:O,2,0)," ")</f>
        <v>Girder</v>
      </c>
      <c r="D16" s="32" t="str">
        <f>IFERROR(VLOOKUP(B16,'DATA MASTER'!A:V,4,0)," ")</f>
        <v>AG8</v>
      </c>
      <c r="E16" s="33">
        <v>16323.93</v>
      </c>
      <c r="F16" s="34">
        <f>70</f>
        <v>70</v>
      </c>
      <c r="G16" s="34">
        <v>200</v>
      </c>
      <c r="H16" s="34">
        <f>Table32[[#This Row],[Harga Satuan
(Rp) WGJ]]*Table32[[#This Row],[Berat Packing]]</f>
        <v>3264786</v>
      </c>
      <c r="I16" s="34">
        <f>Table32[[#This Row],[Harga Satuan
(Rp)]]*Table32[[#This Row],[Berat Packing]]</f>
        <v>1142675.1000000001</v>
      </c>
      <c r="J16" s="177">
        <v>44985</v>
      </c>
      <c r="K16" s="101" t="s">
        <v>312</v>
      </c>
      <c r="L16" s="153"/>
      <c r="M16" s="59"/>
      <c r="N16" s="58"/>
      <c r="O16" s="9"/>
      <c r="P16" s="9"/>
    </row>
    <row r="17" spans="2:16" x14ac:dyDescent="0.3">
      <c r="B17" s="32" t="s">
        <v>129</v>
      </c>
      <c r="C17" s="32" t="str">
        <f>IFERROR(VLOOKUP(B17,'DATA MASTER'!A:O,2,0)," ")</f>
        <v>Panel Bailey</v>
      </c>
      <c r="D17" s="32" t="str">
        <f>IFERROR(VLOOKUP(B17,'DATA MASTER'!A:V,4,0)," ")</f>
        <v>42 DSR2-EW + TRESTLE</v>
      </c>
      <c r="E17" s="33">
        <v>60630.99</v>
      </c>
      <c r="F17" s="34">
        <f>70</f>
        <v>70</v>
      </c>
      <c r="G17" s="34">
        <v>200</v>
      </c>
      <c r="H17" s="34">
        <f>Table32[[#This Row],[Harga Satuan
(Rp) WGJ]]*Table32[[#This Row],[Berat Packing]]</f>
        <v>12126198</v>
      </c>
      <c r="I17" s="34">
        <f>Table32[[#This Row],[Harga Satuan
(Rp)]]*Table32[[#This Row],[Berat Packing]]</f>
        <v>4244169.3</v>
      </c>
      <c r="J17" s="177">
        <v>44992</v>
      </c>
      <c r="K17" s="101" t="s">
        <v>312</v>
      </c>
      <c r="L17" s="153"/>
      <c r="M17" s="59"/>
      <c r="N17" s="58"/>
      <c r="O17" s="9"/>
      <c r="P17" s="9"/>
    </row>
    <row r="18" spans="2:16" x14ac:dyDescent="0.3">
      <c r="B18" s="32" t="s">
        <v>129</v>
      </c>
      <c r="C18" s="32" t="str">
        <f>IFERROR(VLOOKUP(B18,'DATA MASTER'!A:O,2,0)," ")</f>
        <v>Panel Bailey</v>
      </c>
      <c r="D18" s="32" t="str">
        <f>IFERROR(VLOOKUP(B18,'DATA MASTER'!A:V,4,0)," ")</f>
        <v>42 DSR2-EW + TRESTLE</v>
      </c>
      <c r="E18" s="33">
        <v>4838.6399999999994</v>
      </c>
      <c r="F18" s="34">
        <f>70</f>
        <v>70</v>
      </c>
      <c r="G18" s="34">
        <v>200</v>
      </c>
      <c r="H18" s="34">
        <f>Table32[[#This Row],[Harga Satuan
(Rp) WGJ]]*Table32[[#This Row],[Berat Packing]]</f>
        <v>967727.99999999988</v>
      </c>
      <c r="I18" s="34">
        <f>Table32[[#This Row],[Harga Satuan
(Rp)]]*Table32[[#This Row],[Berat Packing]]</f>
        <v>338704.79999999993</v>
      </c>
      <c r="J18" s="177">
        <v>45015</v>
      </c>
      <c r="K18" s="101" t="s">
        <v>312</v>
      </c>
      <c r="L18" s="153" t="s">
        <v>253</v>
      </c>
      <c r="M18" s="59">
        <v>45015</v>
      </c>
      <c r="N18" s="58"/>
      <c r="O18" s="9"/>
      <c r="P18" s="9"/>
    </row>
    <row r="19" spans="2:16" x14ac:dyDescent="0.3">
      <c r="B19" s="32" t="s">
        <v>215</v>
      </c>
      <c r="C19" s="32" t="str">
        <f>IFERROR(VLOOKUP(B19,'DATA MASTER'!A:O,2,0)," ")</f>
        <v>Panel Bailey</v>
      </c>
      <c r="D19" s="32" t="str">
        <f>IFERROR(VLOOKUP(B19,'DATA MASTER'!A:V,4,0)," ")</f>
        <v>12 SSR-EW</v>
      </c>
      <c r="E19" s="33">
        <v>13217.91</v>
      </c>
      <c r="F19" s="34">
        <f>70</f>
        <v>70</v>
      </c>
      <c r="G19" s="34">
        <v>200</v>
      </c>
      <c r="H19" s="34">
        <f>Table32[[#This Row],[Harga Satuan
(Rp) WGJ]]*Table32[[#This Row],[Berat Packing]]</f>
        <v>2643582</v>
      </c>
      <c r="I19" s="34">
        <f>Table32[[#This Row],[Harga Satuan
(Rp)]]*Table32[[#This Row],[Berat Packing]]</f>
        <v>925253.7</v>
      </c>
      <c r="J19" s="177">
        <v>45005</v>
      </c>
      <c r="K19" s="101" t="s">
        <v>312</v>
      </c>
      <c r="L19" s="153" t="s">
        <v>236</v>
      </c>
      <c r="M19" s="59"/>
      <c r="N19" s="58"/>
      <c r="O19" s="9"/>
      <c r="P19" s="9"/>
    </row>
    <row r="20" spans="2:16" x14ac:dyDescent="0.3">
      <c r="B20" s="32" t="s">
        <v>215</v>
      </c>
      <c r="C20" s="32" t="str">
        <f>IFERROR(VLOOKUP(B20,'DATA MASTER'!A:O,2,0)," ")</f>
        <v>Panel Bailey</v>
      </c>
      <c r="D20" s="32" t="str">
        <f>IFERROR(VLOOKUP(B20,'DATA MASTER'!A:V,4,0)," ")</f>
        <v>12 SSR-EW</v>
      </c>
      <c r="E20" s="33">
        <v>13217.91</v>
      </c>
      <c r="F20" s="34">
        <f>70</f>
        <v>70</v>
      </c>
      <c r="G20" s="34">
        <v>200</v>
      </c>
      <c r="H20" s="34">
        <f>Table32[[#This Row],[Harga Satuan
(Rp) WGJ]]*Table32[[#This Row],[Berat Packing]]</f>
        <v>2643582</v>
      </c>
      <c r="I20" s="34">
        <f>Table32[[#This Row],[Harga Satuan
(Rp)]]*Table32[[#This Row],[Berat Packing]]</f>
        <v>925253.7</v>
      </c>
      <c r="J20" s="177">
        <v>45015</v>
      </c>
      <c r="K20" s="101" t="s">
        <v>312</v>
      </c>
      <c r="L20" s="153" t="s">
        <v>237</v>
      </c>
      <c r="M20" s="59">
        <v>45015</v>
      </c>
      <c r="N20" s="58"/>
      <c r="O20" s="9"/>
      <c r="P20" s="9"/>
    </row>
    <row r="21" spans="2:16" x14ac:dyDescent="0.3">
      <c r="B21" s="32" t="s">
        <v>216</v>
      </c>
      <c r="C21" s="32" t="str">
        <f>IFERROR(VLOOKUP(B21,'DATA MASTER'!A:O,2,0)," ")</f>
        <v>Panel Bailey</v>
      </c>
      <c r="D21" s="32" t="str">
        <f>IFERROR(VLOOKUP(B21,'DATA MASTER'!A:V,4,0)," ")</f>
        <v>15 SSR-EW</v>
      </c>
      <c r="E21" s="33">
        <v>16207.220000000003</v>
      </c>
      <c r="F21" s="34">
        <f>70</f>
        <v>70</v>
      </c>
      <c r="G21" s="34">
        <v>200</v>
      </c>
      <c r="H21" s="34">
        <f>Table32[[#This Row],[Harga Satuan
(Rp) WGJ]]*Table32[[#This Row],[Berat Packing]]</f>
        <v>3241444.0000000005</v>
      </c>
      <c r="I21" s="34">
        <f>Table32[[#This Row],[Harga Satuan
(Rp)]]*Table32[[#This Row],[Berat Packing]]</f>
        <v>1134505.4000000001</v>
      </c>
      <c r="J21" s="177">
        <v>45009</v>
      </c>
      <c r="K21" s="101" t="s">
        <v>312</v>
      </c>
      <c r="L21" s="153" t="s">
        <v>236</v>
      </c>
      <c r="M21" s="59"/>
      <c r="N21" s="58"/>
      <c r="O21" s="9"/>
      <c r="P21" s="9"/>
    </row>
    <row r="22" spans="2:16" x14ac:dyDescent="0.3">
      <c r="B22" s="32" t="s">
        <v>216</v>
      </c>
      <c r="C22" s="32" t="str">
        <f>IFERROR(VLOOKUP(B22,'DATA MASTER'!A:O,2,0)," ")</f>
        <v>Panel Bailey</v>
      </c>
      <c r="D22" s="32" t="str">
        <f>IFERROR(VLOOKUP(B22,'DATA MASTER'!A:V,4,0)," ")</f>
        <v>15 SSR-EW</v>
      </c>
      <c r="E22" s="33">
        <v>16207.220000000003</v>
      </c>
      <c r="F22" s="34">
        <f>70</f>
        <v>70</v>
      </c>
      <c r="G22" s="34">
        <v>200</v>
      </c>
      <c r="H22" s="34">
        <f>Table32[[#This Row],[Harga Satuan
(Rp) WGJ]]*Table32[[#This Row],[Berat Packing]]</f>
        <v>3241444.0000000005</v>
      </c>
      <c r="I22" s="34">
        <f>Table32[[#This Row],[Harga Satuan
(Rp)]]*Table32[[#This Row],[Berat Packing]]</f>
        <v>1134505.4000000001</v>
      </c>
      <c r="J22" s="177">
        <v>45009</v>
      </c>
      <c r="K22" s="101" t="s">
        <v>312</v>
      </c>
      <c r="L22" s="153" t="s">
        <v>237</v>
      </c>
      <c r="M22" s="59"/>
      <c r="N22" s="58"/>
      <c r="O22" s="9"/>
      <c r="P22" s="9"/>
    </row>
    <row r="23" spans="2:16" x14ac:dyDescent="0.3">
      <c r="B23" s="32" t="s">
        <v>216</v>
      </c>
      <c r="C23" s="32" t="str">
        <f>IFERROR(VLOOKUP(B23,'DATA MASTER'!A:O,2,0)," ")</f>
        <v>Panel Bailey</v>
      </c>
      <c r="D23" s="32" t="str">
        <f>IFERROR(VLOOKUP(B23,'DATA MASTER'!A:V,4,0)," ")</f>
        <v>15 SSR-EW</v>
      </c>
      <c r="E23" s="33">
        <v>16207.220000000003</v>
      </c>
      <c r="F23" s="34">
        <f>70</f>
        <v>70</v>
      </c>
      <c r="G23" s="34">
        <v>200</v>
      </c>
      <c r="H23" s="34">
        <f>Table32[[#This Row],[Harga Satuan
(Rp) WGJ]]*Table32[[#This Row],[Berat Packing]]</f>
        <v>3241444.0000000005</v>
      </c>
      <c r="I23" s="34">
        <f>Table32[[#This Row],[Harga Satuan
(Rp)]]*Table32[[#This Row],[Berat Packing]]</f>
        <v>1134505.4000000001</v>
      </c>
      <c r="J23" s="177">
        <v>45015</v>
      </c>
      <c r="K23" s="101" t="s">
        <v>312</v>
      </c>
      <c r="L23" s="153" t="s">
        <v>238</v>
      </c>
      <c r="M23" s="59">
        <v>45015</v>
      </c>
      <c r="N23" s="58"/>
      <c r="O23" s="9"/>
      <c r="P23" s="9"/>
    </row>
    <row r="24" spans="2:16" x14ac:dyDescent="0.3">
      <c r="B24" s="32" t="s">
        <v>217</v>
      </c>
      <c r="C24" s="32" t="str">
        <f>IFERROR(VLOOKUP(B24,'DATA MASTER'!A:O,2,0)," ")</f>
        <v>Panel Bailey</v>
      </c>
      <c r="D24" s="32" t="str">
        <f>IFERROR(VLOOKUP(B24,'DATA MASTER'!A:V,4,0)," ")</f>
        <v>21 SSR-EW</v>
      </c>
      <c r="E24" s="33">
        <v>22185.84</v>
      </c>
      <c r="F24" s="34">
        <f>70</f>
        <v>70</v>
      </c>
      <c r="G24" s="34">
        <v>200</v>
      </c>
      <c r="H24" s="34">
        <f>Table32[[#This Row],[Harga Satuan
(Rp) WGJ]]*Table32[[#This Row],[Berat Packing]]</f>
        <v>4437168</v>
      </c>
      <c r="I24" s="34">
        <f>Table32[[#This Row],[Harga Satuan
(Rp)]]*Table32[[#This Row],[Berat Packing]]</f>
        <v>1553008.8</v>
      </c>
      <c r="J24" s="177">
        <v>44992</v>
      </c>
      <c r="K24" s="101" t="s">
        <v>312</v>
      </c>
      <c r="L24" s="153"/>
      <c r="M24" s="59"/>
      <c r="N24" s="58"/>
      <c r="O24" s="9"/>
      <c r="P24" s="9"/>
    </row>
    <row r="25" spans="2:16" x14ac:dyDescent="0.3">
      <c r="B25" s="32" t="s">
        <v>128</v>
      </c>
      <c r="C25" s="32" t="str">
        <f>IFERROR(VLOOKUP(B25,'DATA MASTER'!A:O,2,0)," ")</f>
        <v>Panel Bailey</v>
      </c>
      <c r="D25" s="32" t="str">
        <f>IFERROR(VLOOKUP(B25,'DATA MASTER'!A:V,4,0)," ")</f>
        <v>KOMPONEN BAILEY</v>
      </c>
      <c r="E25" s="33">
        <v>1406.4612000000002</v>
      </c>
      <c r="F25" s="34">
        <f>70</f>
        <v>70</v>
      </c>
      <c r="G25" s="34">
        <v>200</v>
      </c>
      <c r="H25" s="34">
        <f>Table32[[#This Row],[Harga Satuan
(Rp) WGJ]]*Table32[[#This Row],[Berat Packing]]</f>
        <v>281292.24000000005</v>
      </c>
      <c r="I25" s="34">
        <f>Table32[[#This Row],[Harga Satuan
(Rp)]]*Table32[[#This Row],[Berat Packing]]</f>
        <v>98452.284000000014</v>
      </c>
      <c r="J25" s="177"/>
      <c r="K25" s="101" t="s">
        <v>312</v>
      </c>
      <c r="L25" s="153"/>
      <c r="M25" s="59"/>
      <c r="N25" s="58"/>
      <c r="O25" s="9"/>
      <c r="P25" s="9"/>
    </row>
    <row r="26" spans="2:16" x14ac:dyDescent="0.3">
      <c r="B26" s="32" t="s">
        <v>305</v>
      </c>
      <c r="C26" s="32" t="str">
        <f>IFERROR(VLOOKUP(B26,'DATA MASTER'!A:O,2,0)," ")</f>
        <v>Panel Bailey</v>
      </c>
      <c r="D26" s="32" t="str">
        <f>IFERROR(VLOOKUP(B26,'DATA MASTER'!A:V,4,0)," ")</f>
        <v>24 DSR2-EW</v>
      </c>
      <c r="E26" s="33">
        <v>35448.49</v>
      </c>
      <c r="F26" s="34">
        <f>70</f>
        <v>70</v>
      </c>
      <c r="G26" s="34">
        <v>200</v>
      </c>
      <c r="H26" s="34">
        <f>Table32[[#This Row],[Harga Satuan
(Rp) WGJ]]*Table32[[#This Row],[Berat Packing]]</f>
        <v>7089698</v>
      </c>
      <c r="I26" s="34">
        <f>Table32[[#This Row],[Harga Satuan
(Rp)]]*Table32[[#This Row],[Berat Packing]]</f>
        <v>2481394.2999999998</v>
      </c>
      <c r="J26" s="177">
        <v>45055</v>
      </c>
      <c r="K26" s="101" t="s">
        <v>312</v>
      </c>
      <c r="L26" s="153" t="s">
        <v>368</v>
      </c>
      <c r="M26" s="59"/>
      <c r="N26" s="58"/>
      <c r="O26" s="9"/>
      <c r="P26" s="9"/>
    </row>
    <row r="27" spans="2:16" x14ac:dyDescent="0.3">
      <c r="B27" s="32" t="s">
        <v>305</v>
      </c>
      <c r="C27" s="32" t="str">
        <f>IFERROR(VLOOKUP(B27,'DATA MASTER'!A:O,2,0)," ")</f>
        <v>Panel Bailey</v>
      </c>
      <c r="D27" s="32" t="str">
        <f>IFERROR(VLOOKUP(B27,'DATA MASTER'!A:V,4,0)," ")</f>
        <v>24 DSR2-EW</v>
      </c>
      <c r="E27" s="33">
        <v>35448.49</v>
      </c>
      <c r="F27" s="34">
        <f>70</f>
        <v>70</v>
      </c>
      <c r="G27" s="34">
        <v>200</v>
      </c>
      <c r="H27" s="34">
        <f>Table32[[#This Row],[Harga Satuan
(Rp) WGJ]]*Table32[[#This Row],[Berat Packing]]</f>
        <v>7089698</v>
      </c>
      <c r="I27" s="34">
        <f>Table32[[#This Row],[Harga Satuan
(Rp)]]*Table32[[#This Row],[Berat Packing]]</f>
        <v>2481394.2999999998</v>
      </c>
      <c r="J27" s="177">
        <v>45056</v>
      </c>
      <c r="K27" s="101" t="s">
        <v>312</v>
      </c>
      <c r="L27" s="153" t="s">
        <v>368</v>
      </c>
      <c r="M27" s="59"/>
      <c r="N27" s="58"/>
      <c r="O27" s="9"/>
      <c r="P27" s="9"/>
    </row>
    <row r="28" spans="2:16" x14ac:dyDescent="0.3">
      <c r="B28" s="32" t="s">
        <v>308</v>
      </c>
      <c r="C28" s="32" t="str">
        <f>IFERROR(VLOOKUP(B28,'DATA MASTER'!A:O,2,0)," ")</f>
        <v>Panel Bailey</v>
      </c>
      <c r="D28" s="32" t="str">
        <f>IFERROR(VLOOKUP(B28,'DATA MASTER'!A:V,4,0)," ")</f>
        <v>21 DS-EW</v>
      </c>
      <c r="E28" s="33">
        <v>26070.500000000007</v>
      </c>
      <c r="F28" s="34">
        <f>70</f>
        <v>70</v>
      </c>
      <c r="G28" s="34">
        <v>200</v>
      </c>
      <c r="H28" s="34">
        <f>Table32[[#This Row],[Harga Satuan
(Rp) WGJ]]*Table32[[#This Row],[Berat Packing]]</f>
        <v>5214100.0000000019</v>
      </c>
      <c r="I28" s="34">
        <f>Table32[[#This Row],[Harga Satuan
(Rp)]]*Table32[[#This Row],[Berat Packing]]</f>
        <v>1824935.0000000005</v>
      </c>
      <c r="J28" s="177">
        <v>45065</v>
      </c>
      <c r="K28" s="101" t="s">
        <v>312</v>
      </c>
      <c r="L28" s="153" t="s">
        <v>368</v>
      </c>
      <c r="M28" s="59"/>
      <c r="N28" s="58"/>
      <c r="O28" s="9"/>
      <c r="P28" s="9"/>
    </row>
    <row r="29" spans="2:16" x14ac:dyDescent="0.3">
      <c r="B29" s="32" t="s">
        <v>308</v>
      </c>
      <c r="C29" s="32" t="str">
        <f>IFERROR(VLOOKUP(B29,'DATA MASTER'!A:O,2,0)," ")</f>
        <v>Panel Bailey</v>
      </c>
      <c r="D29" s="32" t="str">
        <f>IFERROR(VLOOKUP(B29,'DATA MASTER'!A:V,4,0)," ")</f>
        <v>21 DS-EW</v>
      </c>
      <c r="E29" s="33">
        <v>26070.500000000007</v>
      </c>
      <c r="F29" s="34">
        <f>70</f>
        <v>70</v>
      </c>
      <c r="G29" s="34">
        <v>200</v>
      </c>
      <c r="H29" s="34">
        <f>Table32[[#This Row],[Harga Satuan
(Rp) WGJ]]*Table32[[#This Row],[Berat Packing]]</f>
        <v>5214100.0000000019</v>
      </c>
      <c r="I29" s="34">
        <f>Table32[[#This Row],[Harga Satuan
(Rp)]]*Table32[[#This Row],[Berat Packing]]</f>
        <v>1824935.0000000005</v>
      </c>
      <c r="J29" s="177"/>
      <c r="K29" s="101" t="s">
        <v>312</v>
      </c>
      <c r="L29" s="153" t="s">
        <v>368</v>
      </c>
      <c r="M29" s="59"/>
      <c r="N29" s="58"/>
      <c r="O29" s="9"/>
      <c r="P29" s="9"/>
    </row>
    <row r="30" spans="2:16" x14ac:dyDescent="0.3">
      <c r="B30" s="32" t="s">
        <v>309</v>
      </c>
      <c r="C30" s="32" t="str">
        <f>IFERROR(VLOOKUP(B30,'DATA MASTER'!A:O,2,0)," ")</f>
        <v>Panel Bailey</v>
      </c>
      <c r="D30" s="32" t="str">
        <f>IFERROR(VLOOKUP(B30,'DATA MASTER'!A:V,4,0)," ")</f>
        <v>18 DSR1-EW</v>
      </c>
      <c r="E30" s="33">
        <v>23943.91</v>
      </c>
      <c r="F30" s="34">
        <f>70</f>
        <v>70</v>
      </c>
      <c r="G30" s="34">
        <v>200</v>
      </c>
      <c r="H30" s="34">
        <f>Table32[[#This Row],[Harga Satuan
(Rp) WGJ]]*Table32[[#This Row],[Berat Packing]]</f>
        <v>4788782</v>
      </c>
      <c r="I30" s="34">
        <f>Table32[[#This Row],[Harga Satuan
(Rp)]]*Table32[[#This Row],[Berat Packing]]</f>
        <v>1676073.7</v>
      </c>
      <c r="J30" s="177">
        <v>45062</v>
      </c>
      <c r="K30" s="101" t="s">
        <v>312</v>
      </c>
      <c r="L30" s="153" t="s">
        <v>368</v>
      </c>
      <c r="M30" s="59"/>
      <c r="N30" s="58"/>
      <c r="O30" s="9"/>
      <c r="P30" s="9"/>
    </row>
    <row r="31" spans="2:16" x14ac:dyDescent="0.3">
      <c r="B31" s="32" t="s">
        <v>310</v>
      </c>
      <c r="C31" s="32" t="str">
        <f>IFERROR(VLOOKUP(B31,'DATA MASTER'!A:O,2,0)," ")</f>
        <v>Panel Bailey</v>
      </c>
      <c r="D31" s="32" t="str">
        <f>IFERROR(VLOOKUP(B31,'DATA MASTER'!A:V,4,0)," ")</f>
        <v>18 DSR2-EW</v>
      </c>
      <c r="E31" s="33">
        <v>50719.934507999998</v>
      </c>
      <c r="F31" s="34">
        <f>70</f>
        <v>70</v>
      </c>
      <c r="G31" s="34">
        <v>200</v>
      </c>
      <c r="H31" s="34">
        <f>Table32[[#This Row],[Harga Satuan
(Rp) WGJ]]*Table32[[#This Row],[Berat Packing]]</f>
        <v>10143986.9016</v>
      </c>
      <c r="I31" s="34">
        <f>Table32[[#This Row],[Harga Satuan
(Rp)]]*Table32[[#This Row],[Berat Packing]]</f>
        <v>3550395.4155600001</v>
      </c>
      <c r="J31" s="177">
        <v>45062</v>
      </c>
      <c r="K31" s="101" t="s">
        <v>312</v>
      </c>
      <c r="L31" s="153" t="s">
        <v>368</v>
      </c>
      <c r="M31" s="59"/>
      <c r="N31" s="58"/>
      <c r="O31" s="9"/>
      <c r="P31" s="9"/>
    </row>
    <row r="32" spans="2:16" x14ac:dyDescent="0.3">
      <c r="B32" s="32" t="s">
        <v>367</v>
      </c>
      <c r="C32" s="32" t="str">
        <f>IFERROR(VLOOKUP(B32,'DATA MASTER'!A:O,2,0)," ")</f>
        <v>Panel Bailey</v>
      </c>
      <c r="D32" s="32" t="str">
        <f>IFERROR(VLOOKUP(B32,'DATA MASTER'!A:V,4,0)," ")</f>
        <v>33 DSR2H*-EW (U120)</v>
      </c>
      <c r="E32" s="33">
        <v>51191.899999999987</v>
      </c>
      <c r="F32" s="34">
        <f>70</f>
        <v>70</v>
      </c>
      <c r="G32" s="34">
        <v>200</v>
      </c>
      <c r="H32" s="34">
        <f>Table32[[#This Row],[Harga Satuan
(Rp) WGJ]]*Table32[[#This Row],[Berat Packing]]</f>
        <v>10238379.999999998</v>
      </c>
      <c r="I32" s="34">
        <f>Table32[[#This Row],[Harga Satuan
(Rp)]]*Table32[[#This Row],[Berat Packing]]</f>
        <v>3583432.9999999991</v>
      </c>
      <c r="J32" s="177">
        <v>45068</v>
      </c>
      <c r="K32" s="101" t="s">
        <v>312</v>
      </c>
      <c r="L32" s="153" t="s">
        <v>368</v>
      </c>
      <c r="M32" s="59"/>
      <c r="N32" s="58"/>
      <c r="O32" s="9"/>
      <c r="P32" s="9"/>
    </row>
    <row r="33" spans="2:16" x14ac:dyDescent="0.3">
      <c r="B33" s="32" t="s">
        <v>224</v>
      </c>
      <c r="C33" s="32" t="str">
        <f>IFERROR(VLOOKUP(B33,'DATA MASTER'!A:O,2,0)," ")</f>
        <v>Panel Bailey</v>
      </c>
      <c r="D33" s="32" t="str">
        <f>IFERROR(VLOOKUP(B33,'DATA MASTER'!A:V,4,0)," ")</f>
        <v>30 DSR2-EW</v>
      </c>
      <c r="E33" s="33">
        <v>43842.15</v>
      </c>
      <c r="F33" s="34">
        <f>70</f>
        <v>70</v>
      </c>
      <c r="G33" s="34">
        <v>200</v>
      </c>
      <c r="H33" s="34">
        <f>Table32[[#This Row],[Harga Satuan
(Rp) WGJ]]*Table32[[#This Row],[Berat Packing]]</f>
        <v>8768430</v>
      </c>
      <c r="I33" s="34">
        <f>Table32[[#This Row],[Harga Satuan
(Rp)]]*Table32[[#This Row],[Berat Packing]]</f>
        <v>3068950.5</v>
      </c>
      <c r="J33" s="177">
        <v>44979</v>
      </c>
      <c r="K33" s="101" t="s">
        <v>312</v>
      </c>
      <c r="L33" s="153" t="s">
        <v>236</v>
      </c>
      <c r="M33" s="59"/>
      <c r="N33" s="58"/>
      <c r="O33" s="9"/>
      <c r="P33" s="9"/>
    </row>
    <row r="34" spans="2:16" x14ac:dyDescent="0.3">
      <c r="B34" s="32" t="s">
        <v>224</v>
      </c>
      <c r="C34" s="32" t="str">
        <f>IFERROR(VLOOKUP(B34,'DATA MASTER'!A:O,2,0)," ")</f>
        <v>Panel Bailey</v>
      </c>
      <c r="D34" s="32" t="str">
        <f>IFERROR(VLOOKUP(B34,'DATA MASTER'!A:V,4,0)," ")</f>
        <v>30 DSR2-EW</v>
      </c>
      <c r="E34" s="33">
        <v>43842.15</v>
      </c>
      <c r="F34" s="34">
        <f>70</f>
        <v>70</v>
      </c>
      <c r="G34" s="34">
        <v>200</v>
      </c>
      <c r="H34" s="34">
        <f>Table32[[#This Row],[Harga Satuan
(Rp) WGJ]]*Table32[[#This Row],[Berat Packing]]</f>
        <v>8768430</v>
      </c>
      <c r="I34" s="34">
        <f>Table32[[#This Row],[Harga Satuan
(Rp)]]*Table32[[#This Row],[Berat Packing]]</f>
        <v>3068950.5</v>
      </c>
      <c r="J34" s="177">
        <v>44999</v>
      </c>
      <c r="K34" s="101" t="s">
        <v>312</v>
      </c>
      <c r="L34" s="153" t="s">
        <v>237</v>
      </c>
      <c r="M34" s="59"/>
      <c r="N34" s="58"/>
      <c r="O34" s="9"/>
      <c r="P34" s="9"/>
    </row>
    <row r="35" spans="2:16" x14ac:dyDescent="0.3">
      <c r="B35" s="32" t="s">
        <v>224</v>
      </c>
      <c r="C35" s="32" t="str">
        <f>IFERROR(VLOOKUP(B35,'DATA MASTER'!A:O,2,0)," ")</f>
        <v>Panel Bailey</v>
      </c>
      <c r="D35" s="32" t="str">
        <f>IFERROR(VLOOKUP(B35,'DATA MASTER'!A:V,4,0)," ")</f>
        <v>30 DSR2-EW</v>
      </c>
      <c r="E35" s="33">
        <v>43842.15</v>
      </c>
      <c r="F35" s="34">
        <f>70</f>
        <v>70</v>
      </c>
      <c r="G35" s="34">
        <v>200</v>
      </c>
      <c r="H35" s="34">
        <f>Table32[[#This Row],[Harga Satuan
(Rp) WGJ]]*Table32[[#This Row],[Berat Packing]]</f>
        <v>8768430</v>
      </c>
      <c r="I35" s="34">
        <f>Table32[[#This Row],[Harga Satuan
(Rp)]]*Table32[[#This Row],[Berat Packing]]</f>
        <v>3068950.5</v>
      </c>
      <c r="J35" s="177">
        <v>45003</v>
      </c>
      <c r="K35" s="101" t="s">
        <v>312</v>
      </c>
      <c r="L35" s="153" t="s">
        <v>238</v>
      </c>
      <c r="M35" s="59"/>
      <c r="N35" s="58"/>
      <c r="O35" s="9"/>
      <c r="P35" s="9"/>
    </row>
    <row r="36" spans="2:16" x14ac:dyDescent="0.3">
      <c r="B36" s="32" t="s">
        <v>248</v>
      </c>
      <c r="C36" s="32" t="str">
        <f>IFERROR(VLOOKUP(B36,'DATA MASTER'!A:O,2,0)," ")</f>
        <v xml:space="preserve"> </v>
      </c>
      <c r="D36" s="32" t="str">
        <f>IFERROR(VLOOKUP(B36,'DATA MASTER'!A:V,4,0)," ")</f>
        <v xml:space="preserve"> </v>
      </c>
      <c r="E36" s="33">
        <v>70216.059999999983</v>
      </c>
      <c r="F36" s="34">
        <f>70</f>
        <v>70</v>
      </c>
      <c r="G36" s="34">
        <v>200</v>
      </c>
      <c r="H36" s="34">
        <f>Table32[[#This Row],[Harga Satuan
(Rp) WGJ]]*Table32[[#This Row],[Berat Packing]]</f>
        <v>14043211.999999996</v>
      </c>
      <c r="I36" s="34">
        <f>Table32[[#This Row],[Harga Satuan
(Rp)]]*Table32[[#This Row],[Berat Packing]]</f>
        <v>4915124.1999999993</v>
      </c>
      <c r="J36" s="177">
        <v>45019</v>
      </c>
      <c r="K36" s="101" t="s">
        <v>312</v>
      </c>
      <c r="L36" s="153"/>
      <c r="M36" s="59"/>
      <c r="N36" s="58"/>
      <c r="O36" s="9"/>
      <c r="P36" s="9"/>
    </row>
    <row r="37" spans="2:16" x14ac:dyDescent="0.3">
      <c r="B37" s="32" t="s">
        <v>430</v>
      </c>
      <c r="C37" s="32" t="str">
        <f>IFERROR(VLOOKUP(B37,'DATA MASTER'!A:O,2,0)," ")</f>
        <v>Girder</v>
      </c>
      <c r="D37" s="32" t="str">
        <f>IFERROR(VLOOKUP(B37,'DATA MASTER'!A:V,4,0)," ")</f>
        <v>BG22</v>
      </c>
      <c r="E37" s="33">
        <v>45399.26999999999</v>
      </c>
      <c r="F37" s="34">
        <f>70</f>
        <v>70</v>
      </c>
      <c r="G37" s="34">
        <v>200</v>
      </c>
      <c r="H37" s="34">
        <f>Table32[[#This Row],[Harga Satuan
(Rp) WGJ]]*Table32[[#This Row],[Berat Packing]]</f>
        <v>9079853.9999999981</v>
      </c>
      <c r="I37" s="34">
        <f>Table32[[#This Row],[Harga Satuan
(Rp)]]*Table32[[#This Row],[Berat Packing]]</f>
        <v>3177948.8999999994</v>
      </c>
      <c r="J37" s="177">
        <v>45087</v>
      </c>
      <c r="K37" s="101" t="s">
        <v>312</v>
      </c>
      <c r="L37" s="153"/>
      <c r="M37" s="59"/>
      <c r="N37" s="58"/>
      <c r="O37" s="9"/>
      <c r="P37" s="9"/>
    </row>
    <row r="38" spans="2:16" x14ac:dyDescent="0.3">
      <c r="B38" s="32" t="s">
        <v>286</v>
      </c>
      <c r="C38" s="32" t="str">
        <f>IFERROR(VLOOKUP(B38,'DATA MASTER'!A:O,2,0)," ")</f>
        <v>Panel Bailey</v>
      </c>
      <c r="D38" s="32" t="str">
        <f>IFERROR(VLOOKUP(B38,'DATA MASTER'!A:V,4,0)," ")</f>
        <v>42 DSR2-EW (U120)</v>
      </c>
      <c r="E38" s="33">
        <v>62725.21</v>
      </c>
      <c r="F38" s="34">
        <f>70</f>
        <v>70</v>
      </c>
      <c r="G38" s="34">
        <v>200</v>
      </c>
      <c r="H38" s="34">
        <f>Table32[[#This Row],[Harga Satuan
(Rp) WGJ]]*Table32[[#This Row],[Berat Packing]]</f>
        <v>12545042</v>
      </c>
      <c r="I38" s="34">
        <f>Table32[[#This Row],[Harga Satuan
(Rp)]]*Table32[[#This Row],[Berat Packing]]</f>
        <v>4390764.7</v>
      </c>
      <c r="J38" s="177">
        <v>45028</v>
      </c>
      <c r="K38" s="101" t="s">
        <v>312</v>
      </c>
      <c r="L38" s="153"/>
      <c r="M38" s="59">
        <v>45031</v>
      </c>
      <c r="N38" s="58"/>
      <c r="O38" s="9"/>
      <c r="P38" s="9"/>
    </row>
    <row r="39" spans="2:16" x14ac:dyDescent="0.3">
      <c r="B39" s="32" t="s">
        <v>290</v>
      </c>
      <c r="C39" s="32" t="str">
        <f>IFERROR(VLOOKUP(B39,'DATA MASTER'!A:O,2,0)," ")</f>
        <v>Panel Bailey</v>
      </c>
      <c r="D39" s="32" t="str">
        <f>IFERROR(VLOOKUP(B39,'DATA MASTER'!A:V,4,0)," ")</f>
        <v>45 DSR2H**-EW (U120)</v>
      </c>
      <c r="E39" s="33">
        <v>69792.12000000001</v>
      </c>
      <c r="F39" s="34">
        <f>70</f>
        <v>70</v>
      </c>
      <c r="G39" s="34">
        <v>200</v>
      </c>
      <c r="H39" s="34">
        <f>Table32[[#This Row],[Harga Satuan
(Rp) WGJ]]*Table32[[#This Row],[Berat Packing]]</f>
        <v>13958424.000000002</v>
      </c>
      <c r="I39" s="34">
        <f>Table32[[#This Row],[Harga Satuan
(Rp)]]*Table32[[#This Row],[Berat Packing]]</f>
        <v>4885448.4000000004</v>
      </c>
      <c r="J39" s="177">
        <v>45082</v>
      </c>
      <c r="K39" s="101" t="s">
        <v>312</v>
      </c>
      <c r="L39" s="153" t="s">
        <v>236</v>
      </c>
      <c r="M39" s="59"/>
      <c r="N39" s="58"/>
      <c r="O39" s="9"/>
      <c r="P39" s="9"/>
    </row>
    <row r="40" spans="2:16" x14ac:dyDescent="0.3">
      <c r="B40" s="32" t="s">
        <v>290</v>
      </c>
      <c r="C40" s="32" t="str">
        <f>IFERROR(VLOOKUP(B40,'DATA MASTER'!A:O,2,0)," ")</f>
        <v>Panel Bailey</v>
      </c>
      <c r="D40" s="32" t="str">
        <f>IFERROR(VLOOKUP(B40,'DATA MASTER'!A:V,4,0)," ")</f>
        <v>45 DSR2H**-EW (U120)</v>
      </c>
      <c r="E40" s="33">
        <v>69792.12000000001</v>
      </c>
      <c r="F40" s="34">
        <f>70</f>
        <v>70</v>
      </c>
      <c r="G40" s="34">
        <v>200</v>
      </c>
      <c r="H40" s="34">
        <f>Table32[[#This Row],[Harga Satuan
(Rp) WGJ]]*Table32[[#This Row],[Berat Packing]]</f>
        <v>13958424.000000002</v>
      </c>
      <c r="I40" s="34">
        <f>Table32[[#This Row],[Harga Satuan
(Rp)]]*Table32[[#This Row],[Berat Packing]]</f>
        <v>4885448.4000000004</v>
      </c>
      <c r="J40" s="177">
        <v>45090</v>
      </c>
      <c r="K40" s="101" t="s">
        <v>312</v>
      </c>
      <c r="L40" s="153" t="s">
        <v>237</v>
      </c>
      <c r="M40" s="59"/>
      <c r="N40" s="58"/>
      <c r="O40" s="9"/>
      <c r="P40" s="9"/>
    </row>
    <row r="41" spans="2:16" x14ac:dyDescent="0.3">
      <c r="B41" s="32" t="s">
        <v>313</v>
      </c>
      <c r="C41" s="32" t="str">
        <f>IFERROR(VLOOKUP(B41,'DATA MASTER'!A:O,2,0)," ")</f>
        <v>BEAM TRESTLE</v>
      </c>
      <c r="D41" s="32" t="str">
        <f>IFERROR(VLOOKUP(B41,'DATA MASTER'!A:V,4,0)," ")</f>
        <v>TRESTLE BEAM</v>
      </c>
      <c r="E41" s="33">
        <v>4028.04</v>
      </c>
      <c r="F41" s="34">
        <f>70</f>
        <v>70</v>
      </c>
      <c r="G41" s="34">
        <v>200</v>
      </c>
      <c r="H41" s="34">
        <f>Table32[[#This Row],[Harga Satuan
(Rp) WGJ]]*Table32[[#This Row],[Berat Packing]]</f>
        <v>805608</v>
      </c>
      <c r="I41" s="34">
        <f>Table32[[#This Row],[Harga Satuan
(Rp)]]*Table32[[#This Row],[Berat Packing]]</f>
        <v>281962.8</v>
      </c>
      <c r="J41" s="177"/>
      <c r="K41" s="101"/>
      <c r="L41" s="153" t="s">
        <v>322</v>
      </c>
      <c r="M41" s="59"/>
      <c r="N41" s="58"/>
      <c r="O41" s="9"/>
      <c r="P41" s="9"/>
    </row>
    <row r="42" spans="2:16" x14ac:dyDescent="0.3">
      <c r="B42" s="32" t="s">
        <v>358</v>
      </c>
      <c r="C42" s="32" t="str">
        <f>IFERROR(VLOOKUP(B42,'DATA MASTER'!A:O,2,0)," ")</f>
        <v>Panel Bailey</v>
      </c>
      <c r="D42" s="32" t="str">
        <f>IFERROR(VLOOKUP(B42,'DATA MASTER'!A:V,4,0)," ")</f>
        <v>30 DSR2-EW</v>
      </c>
      <c r="E42" s="33">
        <v>43842.15</v>
      </c>
      <c r="F42" s="34">
        <f>70</f>
        <v>70</v>
      </c>
      <c r="G42" s="34">
        <v>200</v>
      </c>
      <c r="H42" s="34">
        <f>Table32[[#This Row],[Harga Satuan
(Rp) WGJ]]*Table32[[#This Row],[Berat Packing]]</f>
        <v>8768430</v>
      </c>
      <c r="I42" s="34">
        <f>Table32[[#This Row],[Harga Satuan
(Rp)]]*Table32[[#This Row],[Berat Packing]]</f>
        <v>3068950.5</v>
      </c>
      <c r="J42" s="177">
        <v>45044</v>
      </c>
      <c r="K42" s="101" t="s">
        <v>312</v>
      </c>
      <c r="L42" s="153"/>
      <c r="M42" s="59"/>
      <c r="N42" s="58"/>
      <c r="O42" s="9"/>
      <c r="P42" s="9"/>
    </row>
    <row r="43" spans="2:16" x14ac:dyDescent="0.3">
      <c r="B43" s="32" t="s">
        <v>348</v>
      </c>
      <c r="C43" s="32" t="str">
        <f>IFERROR(VLOOKUP(B43,'DATA MASTER'!A:O,2,0)," ")</f>
        <v>Girder</v>
      </c>
      <c r="D43" s="32" t="str">
        <f>IFERROR(VLOOKUP(B43,'DATA MASTER'!A:V,4,0)," ")</f>
        <v>CG30</v>
      </c>
      <c r="E43" s="33">
        <v>27306.98000000001</v>
      </c>
      <c r="F43" s="34">
        <f>70</f>
        <v>70</v>
      </c>
      <c r="G43" s="34">
        <v>200</v>
      </c>
      <c r="H43" s="34">
        <f>Table32[[#This Row],[Harga Satuan
(Rp) WGJ]]*Table32[[#This Row],[Berat Packing]]</f>
        <v>5461396.0000000019</v>
      </c>
      <c r="I43" s="34">
        <f>Table32[[#This Row],[Harga Satuan
(Rp)]]*Table32[[#This Row],[Berat Packing]]</f>
        <v>1911488.6000000008</v>
      </c>
      <c r="J43" s="177">
        <v>45028</v>
      </c>
      <c r="K43" s="101" t="s">
        <v>312</v>
      </c>
      <c r="L43" s="153" t="s">
        <v>357</v>
      </c>
      <c r="M43" s="59">
        <v>45031</v>
      </c>
      <c r="N43" s="58"/>
      <c r="O43" s="9"/>
      <c r="P43" s="9"/>
    </row>
    <row r="44" spans="2:16" x14ac:dyDescent="0.3">
      <c r="B44" s="32" t="s">
        <v>418</v>
      </c>
      <c r="C44" s="32" t="str">
        <f>IFERROR(VLOOKUP(B44,'DATA MASTER'!A:O,2,0)," ")</f>
        <v>Panel Bailey</v>
      </c>
      <c r="D44" s="32" t="str">
        <f>IFERROR(VLOOKUP(B44,'DATA MASTER'!A:V,4,0)," ")</f>
        <v>36 DSR2-EW</v>
      </c>
      <c r="E44" s="33">
        <v>4002.8926879999995</v>
      </c>
      <c r="F44" s="34">
        <f>70</f>
        <v>70</v>
      </c>
      <c r="G44" s="34">
        <v>200</v>
      </c>
      <c r="H44" s="34">
        <f>Table32[[#This Row],[Harga Satuan
(Rp) WGJ]]*Table32[[#This Row],[Berat Packing]]</f>
        <v>800578.53759999992</v>
      </c>
      <c r="I44" s="34">
        <f>Table32[[#This Row],[Harga Satuan
(Rp)]]*Table32[[#This Row],[Berat Packing]]</f>
        <v>280202.48815999995</v>
      </c>
      <c r="J44" s="177">
        <v>45072</v>
      </c>
      <c r="K44" s="101" t="s">
        <v>312</v>
      </c>
      <c r="L44" s="153"/>
      <c r="M44" s="59"/>
      <c r="N44" s="58"/>
      <c r="O44" s="9"/>
      <c r="P44" s="9"/>
    </row>
    <row r="45" spans="2:16" x14ac:dyDescent="0.3">
      <c r="B45" s="32" t="s">
        <v>422</v>
      </c>
      <c r="C45" s="32" t="str">
        <f>IFERROR(VLOOKUP(B45,'DATA MASTER'!A:O,2,0)," ")</f>
        <v>Panel Bailey</v>
      </c>
      <c r="D45" s="32" t="str">
        <f>IFERROR(VLOOKUP(B45,'DATA MASTER'!A:V,4,0)," ")</f>
        <v>30 DSR2-EW</v>
      </c>
      <c r="E45" s="33">
        <v>43842.15</v>
      </c>
      <c r="F45" s="34">
        <f>70</f>
        <v>70</v>
      </c>
      <c r="G45" s="34">
        <v>200</v>
      </c>
      <c r="H45" s="34">
        <f>Table32[[#This Row],[Harga Satuan
(Rp) WGJ]]*Table32[[#This Row],[Berat Packing]]</f>
        <v>8768430</v>
      </c>
      <c r="I45" s="34">
        <f>Table32[[#This Row],[Harga Satuan
(Rp)]]*Table32[[#This Row],[Berat Packing]]</f>
        <v>3068950.5</v>
      </c>
      <c r="J45" s="177">
        <v>45077</v>
      </c>
      <c r="K45" s="101" t="s">
        <v>312</v>
      </c>
      <c r="L45" s="153" t="s">
        <v>236</v>
      </c>
      <c r="M45" s="59"/>
      <c r="N45" s="58"/>
      <c r="O45" s="9"/>
      <c r="P45" s="9"/>
    </row>
    <row r="46" spans="2:16" x14ac:dyDescent="0.3">
      <c r="B46" s="32" t="s">
        <v>422</v>
      </c>
      <c r="C46" s="32" t="str">
        <f>IFERROR(VLOOKUP(B46,'DATA MASTER'!A:O,2,0)," ")</f>
        <v>Panel Bailey</v>
      </c>
      <c r="D46" s="32" t="str">
        <f>IFERROR(VLOOKUP(B46,'DATA MASTER'!A:V,4,0)," ")</f>
        <v>30 DSR2-EW</v>
      </c>
      <c r="E46" s="33">
        <v>43842.15</v>
      </c>
      <c r="F46" s="34">
        <f>70</f>
        <v>70</v>
      </c>
      <c r="G46" s="34">
        <v>200</v>
      </c>
      <c r="H46" s="34">
        <f>Table32[[#This Row],[Harga Satuan
(Rp) WGJ]]*Table32[[#This Row],[Berat Packing]]</f>
        <v>8768430</v>
      </c>
      <c r="I46" s="34">
        <f>Table32[[#This Row],[Harga Satuan
(Rp)]]*Table32[[#This Row],[Berat Packing]]</f>
        <v>3068950.5</v>
      </c>
      <c r="J46" s="177">
        <v>45099</v>
      </c>
      <c r="K46" s="101" t="s">
        <v>312</v>
      </c>
      <c r="L46" s="153" t="s">
        <v>237</v>
      </c>
      <c r="M46" s="59"/>
      <c r="N46" s="58"/>
      <c r="O46" s="9"/>
      <c r="P46" s="9"/>
    </row>
    <row r="47" spans="2:16" x14ac:dyDescent="0.3">
      <c r="B47" s="32" t="s">
        <v>442</v>
      </c>
      <c r="C47" s="32" t="str">
        <f>IFERROR(VLOOKUP(B47,'DATA MASTER'!A:O,2,0)," ")</f>
        <v>Panel Bailey</v>
      </c>
      <c r="D47" s="32" t="str">
        <f>IFERROR(VLOOKUP(B47,'DATA MASTER'!A:V,4,0)," ")</f>
        <v>30 DSR2-EW</v>
      </c>
      <c r="E47" s="33">
        <v>43842.15</v>
      </c>
      <c r="F47" s="34">
        <f>70</f>
        <v>70</v>
      </c>
      <c r="G47" s="34">
        <v>200</v>
      </c>
      <c r="H47" s="34">
        <f>Table32[[#This Row],[Harga Satuan
(Rp) WGJ]]*Table32[[#This Row],[Berat Packing]]</f>
        <v>8768430</v>
      </c>
      <c r="I47" s="34">
        <f>Table32[[#This Row],[Harga Satuan
(Rp)]]*Table32[[#This Row],[Berat Packing]]</f>
        <v>3068950.5</v>
      </c>
      <c r="J47" s="177">
        <v>45113</v>
      </c>
      <c r="K47" s="101" t="s">
        <v>312</v>
      </c>
      <c r="L47" s="153"/>
      <c r="M47" s="59"/>
      <c r="N47" s="58"/>
      <c r="O47" s="9"/>
      <c r="P47" s="9"/>
    </row>
    <row r="48" spans="2:16" x14ac:dyDescent="0.3">
      <c r="B48" s="32" t="s">
        <v>443</v>
      </c>
      <c r="C48" s="32" t="str">
        <f>IFERROR(VLOOKUP(B48,'DATA MASTER'!A:O,2,0)," ")</f>
        <v>Panel Bailey</v>
      </c>
      <c r="D48" s="32" t="str">
        <f>IFERROR(VLOOKUP(B48,'DATA MASTER'!A:V,4,0)," ")</f>
        <v>21 SSR-EW</v>
      </c>
      <c r="E48" s="33">
        <v>22185.84</v>
      </c>
      <c r="F48" s="34">
        <f>70</f>
        <v>70</v>
      </c>
      <c r="G48" s="34">
        <v>200</v>
      </c>
      <c r="H48" s="34">
        <f>Table32[[#This Row],[Harga Satuan
(Rp) WGJ]]*Table32[[#This Row],[Berat Packing]]</f>
        <v>4437168</v>
      </c>
      <c r="I48" s="34">
        <f>Table32[[#This Row],[Harga Satuan
(Rp)]]*Table32[[#This Row],[Berat Packing]]</f>
        <v>1553008.8</v>
      </c>
      <c r="J48" s="177">
        <v>45092</v>
      </c>
      <c r="K48" s="101" t="s">
        <v>312</v>
      </c>
      <c r="L48" s="153" t="s">
        <v>236</v>
      </c>
      <c r="M48" s="59"/>
      <c r="N48" s="58"/>
      <c r="O48" s="9"/>
      <c r="P48" s="9"/>
    </row>
    <row r="49" spans="2:16" x14ac:dyDescent="0.3">
      <c r="B49" s="32" t="s">
        <v>443</v>
      </c>
      <c r="C49" s="32" t="str">
        <f>IFERROR(VLOOKUP(B49,'DATA MASTER'!A:O,2,0)," ")</f>
        <v>Panel Bailey</v>
      </c>
      <c r="D49" s="32" t="str">
        <f>IFERROR(VLOOKUP(B49,'DATA MASTER'!A:V,4,0)," ")</f>
        <v>21 SSR-EW</v>
      </c>
      <c r="E49" s="33">
        <v>22185.84</v>
      </c>
      <c r="F49" s="34">
        <f>70</f>
        <v>70</v>
      </c>
      <c r="G49" s="34">
        <v>200</v>
      </c>
      <c r="H49" s="34">
        <f>Table32[[#This Row],[Harga Satuan
(Rp) WGJ]]*Table32[[#This Row],[Berat Packing]]</f>
        <v>4437168</v>
      </c>
      <c r="I49" s="34">
        <f>Table32[[#This Row],[Harga Satuan
(Rp)]]*Table32[[#This Row],[Berat Packing]]</f>
        <v>1553008.8</v>
      </c>
      <c r="J49" s="177">
        <v>45101</v>
      </c>
      <c r="K49" s="101" t="s">
        <v>312</v>
      </c>
      <c r="L49" s="153" t="s">
        <v>237</v>
      </c>
      <c r="M49" s="59"/>
      <c r="N49" s="58"/>
      <c r="O49" s="9"/>
      <c r="P49" s="9"/>
    </row>
    <row r="50" spans="2:16" x14ac:dyDescent="0.3">
      <c r="B50" s="32" t="s">
        <v>445</v>
      </c>
      <c r="C50" s="32" t="str">
        <f>IFERROR(VLOOKUP(B50,'DATA MASTER'!A:O,2,0)," ")</f>
        <v>Panel Bailey</v>
      </c>
      <c r="D50" s="32" t="str">
        <f>IFERROR(VLOOKUP(B50,'DATA MASTER'!A:V,4,0)," ")</f>
        <v>24 SSR-EW</v>
      </c>
      <c r="E50" s="33">
        <v>4354.28</v>
      </c>
      <c r="F50" s="34">
        <f>70</f>
        <v>70</v>
      </c>
      <c r="G50" s="34">
        <v>200</v>
      </c>
      <c r="H50" s="34">
        <f>Table32[[#This Row],[Harga Satuan
(Rp) WGJ]]*Table32[[#This Row],[Berat Packing]]</f>
        <v>870856</v>
      </c>
      <c r="I50" s="34">
        <f>Table32[[#This Row],[Harga Satuan
(Rp)]]*Table32[[#This Row],[Berat Packing]]</f>
        <v>304799.59999999998</v>
      </c>
      <c r="J50" s="177">
        <v>45100</v>
      </c>
      <c r="K50" s="101" t="s">
        <v>312</v>
      </c>
      <c r="L50" s="153"/>
      <c r="M50" s="59"/>
      <c r="N50" s="58"/>
      <c r="O50" s="9"/>
      <c r="P50" s="9"/>
    </row>
    <row r="51" spans="2:16" x14ac:dyDescent="0.3">
      <c r="B51" s="32" t="s">
        <v>447</v>
      </c>
      <c r="C51" s="32" t="str">
        <f>IFERROR(VLOOKUP(B51,'DATA MASTER'!A:O,2,0)," ")</f>
        <v>Panel Bailey</v>
      </c>
      <c r="D51" s="32" t="str">
        <f>IFERROR(VLOOKUP(B51,'DATA MASTER'!A:V,4,0)," ")</f>
        <v>27 DSR2-EW</v>
      </c>
      <c r="E51" s="33">
        <v>22500.720000000005</v>
      </c>
      <c r="F51" s="34">
        <f>70</f>
        <v>70</v>
      </c>
      <c r="G51" s="34">
        <v>200</v>
      </c>
      <c r="H51" s="34">
        <f>Table32[[#This Row],[Harga Satuan
(Rp) WGJ]]*Table32[[#This Row],[Berat Packing]]</f>
        <v>4500144.0000000009</v>
      </c>
      <c r="I51" s="34">
        <f>Table32[[#This Row],[Harga Satuan
(Rp)]]*Table32[[#This Row],[Berat Packing]]</f>
        <v>1575050.4000000004</v>
      </c>
      <c r="J51" s="177">
        <v>45108</v>
      </c>
      <c r="K51" s="101" t="s">
        <v>312</v>
      </c>
      <c r="L51" s="153"/>
      <c r="M51" s="59"/>
      <c r="N51" s="58"/>
      <c r="O51" s="9"/>
      <c r="P51" s="9"/>
    </row>
    <row r="52" spans="2:16" x14ac:dyDescent="0.3">
      <c r="B52" s="32" t="s">
        <v>489</v>
      </c>
      <c r="C52" s="32" t="str">
        <f>IFERROR(VLOOKUP(B52,'DATA MASTER'!A:O,2,0)," ")</f>
        <v>Girder</v>
      </c>
      <c r="D52" s="32" t="str">
        <f>IFERROR(VLOOKUP(B52,'DATA MASTER'!A:V,4,0)," ")</f>
        <v>BG25</v>
      </c>
      <c r="E52" s="33">
        <v>33480.93</v>
      </c>
      <c r="F52" s="34">
        <f>70</f>
        <v>70</v>
      </c>
      <c r="G52" s="34">
        <v>200</v>
      </c>
      <c r="H52" s="34">
        <f>Table32[[#This Row],[Harga Satuan
(Rp) WGJ]]*Table32[[#This Row],[Berat Packing]]</f>
        <v>6696186</v>
      </c>
      <c r="I52" s="34">
        <f>Table32[[#This Row],[Harga Satuan
(Rp)]]*Table32[[#This Row],[Berat Packing]]</f>
        <v>2343665.1</v>
      </c>
      <c r="J52" s="178">
        <v>45121</v>
      </c>
      <c r="K52" s="101" t="s">
        <v>312</v>
      </c>
      <c r="L52" s="164"/>
      <c r="M52" s="59"/>
      <c r="N52" s="58"/>
      <c r="O52" s="9"/>
      <c r="P52" s="9"/>
    </row>
    <row r="53" spans="2:16" x14ac:dyDescent="0.3">
      <c r="B53" s="32" t="s">
        <v>498</v>
      </c>
      <c r="C53" s="32" t="str">
        <f>IFERROR(VLOOKUP(B53,'DATA MASTER'!A:O,2,0)," ")</f>
        <v>Truss Modullar</v>
      </c>
      <c r="D53" s="32" t="str">
        <f>IFERROR(VLOOKUP(B53,'DATA MASTER'!A:V,4,0)," ")</f>
        <v>KOMPONEN STRINGGER</v>
      </c>
      <c r="E53" s="33">
        <v>11675.6</v>
      </c>
      <c r="F53" s="34">
        <f>70</f>
        <v>70</v>
      </c>
      <c r="G53" s="34">
        <v>200</v>
      </c>
      <c r="H53" s="34">
        <f>Table32[[#This Row],[Harga Satuan
(Rp) WGJ]]*Table32[[#This Row],[Berat Packing]]</f>
        <v>2335120</v>
      </c>
      <c r="I53" s="34">
        <f>Table32[[#This Row],[Harga Satuan
(Rp)]]*Table32[[#This Row],[Berat Packing]]</f>
        <v>817292</v>
      </c>
      <c r="J53" s="177">
        <v>45113</v>
      </c>
      <c r="K53" s="101" t="s">
        <v>312</v>
      </c>
      <c r="L53" s="153"/>
      <c r="M53" s="59"/>
      <c r="N53" s="58"/>
      <c r="O53" s="9"/>
      <c r="P53" s="9"/>
    </row>
    <row r="54" spans="2:16" x14ac:dyDescent="0.3">
      <c r="B54" s="32" t="s">
        <v>504</v>
      </c>
      <c r="C54" s="32" t="str">
        <f>IFERROR(VLOOKUP(B54,'DATA MASTER'!A:O,2,0)," ")</f>
        <v>Girder</v>
      </c>
      <c r="D54" s="32" t="str">
        <f>IFERROR(VLOOKUP(B54,'DATA MASTER'!A:V,4,0)," ")</f>
        <v>BG25</v>
      </c>
      <c r="E54" s="33">
        <v>29059.86</v>
      </c>
      <c r="F54" s="34">
        <f>70</f>
        <v>70</v>
      </c>
      <c r="G54" s="34">
        <v>200</v>
      </c>
      <c r="H54" s="34">
        <f>Table32[[#This Row],[Harga Satuan
(Rp) WGJ]]*Table32[[#This Row],[Berat Packing]]</f>
        <v>5811972</v>
      </c>
      <c r="I54" s="34">
        <f>Table32[[#This Row],[Harga Satuan
(Rp)]]*Table32[[#This Row],[Berat Packing]]</f>
        <v>2034190.2</v>
      </c>
      <c r="J54" s="178">
        <v>45125</v>
      </c>
      <c r="K54" s="101" t="s">
        <v>312</v>
      </c>
      <c r="L54" s="153"/>
      <c r="M54" s="59"/>
      <c r="N54" s="58"/>
      <c r="O54" s="9"/>
      <c r="P54" s="9"/>
    </row>
    <row r="55" spans="2:16" x14ac:dyDescent="0.3">
      <c r="B55" s="32" t="s">
        <v>508</v>
      </c>
      <c r="C55" s="32" t="str">
        <f>IFERROR(VLOOKUP(B55,'DATA MASTER'!A:O,2,0)," ")</f>
        <v>WELDED BEAM</v>
      </c>
      <c r="D55" s="32" t="str">
        <f>IFERROR(VLOOKUP(B55,'DATA MASTER'!A:V,4,0)," ")</f>
        <v>WB BEAM</v>
      </c>
      <c r="E55" s="33"/>
      <c r="F55" s="34"/>
      <c r="G55" s="34">
        <v>200</v>
      </c>
      <c r="H55" s="34">
        <f>Table32[[#This Row],[Harga Satuan
(Rp) WGJ]]*Table32[[#This Row],[Berat Packing]]</f>
        <v>0</v>
      </c>
      <c r="I55" s="34"/>
      <c r="J55" s="178"/>
      <c r="K55" s="101"/>
      <c r="L55" s="153"/>
      <c r="M55" s="59"/>
      <c r="N55" s="58"/>
      <c r="O55" s="9"/>
      <c r="P55" s="9"/>
    </row>
    <row r="56" spans="2:16" x14ac:dyDescent="0.3">
      <c r="B56" s="32" t="s">
        <v>514</v>
      </c>
      <c r="C56" s="32" t="str">
        <f>IFERROR(VLOOKUP(B56,'DATA MASTER'!A:O,2,0)," ")</f>
        <v>Girder</v>
      </c>
      <c r="D56" s="32" t="str">
        <f>IFERROR(VLOOKUP(B56,'DATA MASTER'!A:V,4,0)," ")</f>
        <v>BG30</v>
      </c>
      <c r="E56" s="33">
        <v>61826.996858000006</v>
      </c>
      <c r="F56" s="34">
        <f>70</f>
        <v>70</v>
      </c>
      <c r="G56" s="34">
        <v>200</v>
      </c>
      <c r="H56" s="34">
        <f>Table32[[#This Row],[Harga Satuan
(Rp) WGJ]]*Table32[[#This Row],[Berat Packing]]</f>
        <v>12365399.371600002</v>
      </c>
      <c r="I56" s="34">
        <f>Table32[[#This Row],[Harga Satuan
(Rp)]]*Table32[[#This Row],[Berat Packing]]</f>
        <v>4327889.7800600007</v>
      </c>
      <c r="J56" s="178">
        <v>45152</v>
      </c>
      <c r="K56" s="101"/>
      <c r="L56" s="153"/>
      <c r="M56" s="59"/>
      <c r="N56" s="58"/>
      <c r="O56" s="9"/>
      <c r="P56" s="9"/>
    </row>
    <row r="57" spans="2:16" x14ac:dyDescent="0.3">
      <c r="B57" s="32" t="s">
        <v>518</v>
      </c>
      <c r="C57" s="32" t="str">
        <f>IFERROR(VLOOKUP(B57,'DATA MASTER'!A:O,2,0)," ")</f>
        <v>Girder</v>
      </c>
      <c r="D57" s="32" t="str">
        <f>IFERROR(VLOOKUP(B57,'DATA MASTER'!A:V,4,0)," ")</f>
        <v>CG30</v>
      </c>
      <c r="E57" s="33">
        <v>33623.140104000013</v>
      </c>
      <c r="F57" s="34">
        <f>70</f>
        <v>70</v>
      </c>
      <c r="G57" s="34">
        <v>200</v>
      </c>
      <c r="H57" s="34">
        <f>Table32[[#This Row],[Harga Satuan
(Rp) WGJ]]*Table32[[#This Row],[Berat Packing]]</f>
        <v>6724628.0208000029</v>
      </c>
      <c r="I57" s="34">
        <f>Table32[[#This Row],[Harga Satuan
(Rp)]]*Table32[[#This Row],[Berat Packing]]</f>
        <v>2353619.8072800008</v>
      </c>
      <c r="J57" s="178">
        <v>45149</v>
      </c>
      <c r="K57" s="101" t="s">
        <v>312</v>
      </c>
      <c r="L57" s="153"/>
      <c r="M57" s="59"/>
      <c r="N57" s="58"/>
      <c r="O57" s="9"/>
      <c r="P57" s="9"/>
    </row>
    <row r="58" spans="2:16" x14ac:dyDescent="0.3">
      <c r="B58" s="32" t="s">
        <v>548</v>
      </c>
      <c r="C58" s="32" t="str">
        <f>IFERROR(VLOOKUP(B58,'DATA MASTER'!A:O,2,0)," ")</f>
        <v>Girder</v>
      </c>
      <c r="D58" s="32" t="str">
        <f>IFERROR(VLOOKUP(B58,'DATA MASTER'!A:V,4,0)," ")</f>
        <v>BG35</v>
      </c>
      <c r="E58" s="33">
        <v>66115.711198000005</v>
      </c>
      <c r="F58" s="34">
        <f>70</f>
        <v>70</v>
      </c>
      <c r="G58" s="34">
        <v>200</v>
      </c>
      <c r="H58" s="34">
        <f>Table32[[#This Row],[Harga Satuan
(Rp) WGJ]]*Table32[[#This Row],[Berat Packing]]</f>
        <v>13223142.239600001</v>
      </c>
      <c r="I58" s="34">
        <f>Table32[[#This Row],[Harga Satuan
(Rp)]]*Table32[[#This Row],[Berat Packing]]</f>
        <v>4628099.7838599999</v>
      </c>
      <c r="J58" s="178">
        <v>45147</v>
      </c>
      <c r="K58" s="101" t="s">
        <v>312</v>
      </c>
      <c r="L58" s="153"/>
      <c r="M58" s="59"/>
      <c r="N58" s="58"/>
      <c r="O58" s="9"/>
      <c r="P58" s="9"/>
    </row>
    <row r="59" spans="2:16" x14ac:dyDescent="0.3">
      <c r="B59" s="32" t="s">
        <v>552</v>
      </c>
      <c r="C59" s="32" t="str">
        <f>IFERROR(VLOOKUP(B59,'DATA MASTER'!A:O,2,0)," ")</f>
        <v>Girder</v>
      </c>
      <c r="D59" s="32" t="str">
        <f>IFERROR(VLOOKUP(B59,'DATA MASTER'!A:V,4,0)," ")</f>
        <v>BG20</v>
      </c>
      <c r="E59" s="33">
        <v>24992.571198000001</v>
      </c>
      <c r="F59" s="34">
        <f>70</f>
        <v>70</v>
      </c>
      <c r="G59" s="34">
        <v>200</v>
      </c>
      <c r="H59" s="34">
        <f>Table32[[#This Row],[Harga Satuan
(Rp) WGJ]]*Table32[[#This Row],[Berat Packing]]</f>
        <v>4998514.2396</v>
      </c>
      <c r="I59" s="34">
        <f>Table32[[#This Row],[Harga Satuan
(Rp)]]*Table32[[#This Row],[Berat Packing]]</f>
        <v>1749479.98386</v>
      </c>
      <c r="J59" s="178">
        <v>45147</v>
      </c>
      <c r="K59" s="101" t="s">
        <v>312</v>
      </c>
      <c r="L59" s="153"/>
      <c r="M59" s="59"/>
      <c r="N59" s="58"/>
      <c r="O59" s="9"/>
      <c r="P59" s="9"/>
    </row>
    <row r="60" spans="2:16" x14ac:dyDescent="0.3">
      <c r="B60" s="32" t="s">
        <v>627</v>
      </c>
      <c r="C60" s="32" t="str">
        <f>IFERROR(VLOOKUP(B60,'DATA MASTER'!A:O,2,0)," ")</f>
        <v>Panel Bailey</v>
      </c>
      <c r="D60" s="32" t="str">
        <f>IFERROR(VLOOKUP(B60,'DATA MASTER'!A:V,4,0)," ")</f>
        <v>30 SSR-EW</v>
      </c>
      <c r="E60" s="33">
        <v>30820</v>
      </c>
      <c r="F60" s="34">
        <f>70</f>
        <v>70</v>
      </c>
      <c r="G60" s="34">
        <v>200</v>
      </c>
      <c r="H60" s="34">
        <f>Table32[[#This Row],[Harga Satuan
(Rp) WGJ]]*Table32[[#This Row],[Berat Packing]]</f>
        <v>6164000</v>
      </c>
      <c r="I60" s="34">
        <f>Table32[[#This Row],[Harga Satuan
(Rp)]]*Table32[[#This Row],[Berat Packing]]</f>
        <v>2157400</v>
      </c>
      <c r="J60" s="178">
        <v>45147</v>
      </c>
      <c r="K60" s="101" t="s">
        <v>312</v>
      </c>
      <c r="L60" s="153" t="s">
        <v>236</v>
      </c>
      <c r="M60" s="59"/>
      <c r="N60" s="58"/>
      <c r="O60" s="9"/>
      <c r="P60" s="9"/>
    </row>
    <row r="61" spans="2:16" x14ac:dyDescent="0.3">
      <c r="B61" s="32" t="s">
        <v>627</v>
      </c>
      <c r="C61" s="32" t="str">
        <f>IFERROR(VLOOKUP(B61,'DATA MASTER'!A:O,2,0)," ")</f>
        <v>Panel Bailey</v>
      </c>
      <c r="D61" s="32" t="str">
        <f>IFERROR(VLOOKUP(B61,'DATA MASTER'!A:V,4,0)," ")</f>
        <v>30 SSR-EW</v>
      </c>
      <c r="E61" s="33">
        <v>30820</v>
      </c>
      <c r="F61" s="34">
        <f>70</f>
        <v>70</v>
      </c>
      <c r="G61" s="34">
        <v>200</v>
      </c>
      <c r="H61" s="34">
        <f>Table32[[#This Row],[Harga Satuan
(Rp) WGJ]]*Table32[[#This Row],[Berat Packing]]</f>
        <v>6164000</v>
      </c>
      <c r="I61" s="34">
        <f>Table32[[#This Row],[Harga Satuan
(Rp)]]*Table32[[#This Row],[Berat Packing]]</f>
        <v>2157400</v>
      </c>
      <c r="J61" s="178">
        <v>45147</v>
      </c>
      <c r="K61" s="101" t="s">
        <v>312</v>
      </c>
      <c r="L61" s="153" t="s">
        <v>237</v>
      </c>
      <c r="M61" s="59"/>
      <c r="N61" s="58"/>
      <c r="O61" s="9"/>
      <c r="P61" s="9"/>
    </row>
    <row r="62" spans="2:16" x14ac:dyDescent="0.3">
      <c r="B62" s="32" t="s">
        <v>627</v>
      </c>
      <c r="C62" s="32" t="str">
        <f>IFERROR(VLOOKUP(B62,'DATA MASTER'!A:O,2,0)," ")</f>
        <v>Panel Bailey</v>
      </c>
      <c r="D62" s="32" t="str">
        <f>IFERROR(VLOOKUP(B62,'DATA MASTER'!A:V,4,0)," ")</f>
        <v>30 SSR-EW</v>
      </c>
      <c r="E62" s="33">
        <v>30820</v>
      </c>
      <c r="F62" s="34">
        <f>70</f>
        <v>70</v>
      </c>
      <c r="G62" s="34">
        <v>200</v>
      </c>
      <c r="H62" s="34">
        <f>Table32[[#This Row],[Harga Satuan
(Rp) WGJ]]*Table32[[#This Row],[Berat Packing]]</f>
        <v>6164000</v>
      </c>
      <c r="I62" s="34">
        <f>Table32[[#This Row],[Harga Satuan
(Rp)]]*Table32[[#This Row],[Berat Packing]]</f>
        <v>2157400</v>
      </c>
      <c r="J62" s="178">
        <v>45147</v>
      </c>
      <c r="K62" s="101" t="s">
        <v>312</v>
      </c>
      <c r="L62" s="153" t="s">
        <v>238</v>
      </c>
      <c r="M62" s="59"/>
      <c r="N62" s="58"/>
      <c r="O62" s="9"/>
      <c r="P62" s="9"/>
    </row>
    <row r="63" spans="2:16" x14ac:dyDescent="0.3">
      <c r="B63" s="32" t="s">
        <v>676</v>
      </c>
      <c r="C63" s="32" t="str">
        <f>IFERROR(VLOOKUP(B63,'DATA MASTER'!A:O,2,0)," ")</f>
        <v>Truss Modullar</v>
      </c>
      <c r="D63" s="32" t="str">
        <f>IFERROR(VLOOKUP(B63,'DATA MASTER'!A:V,4,0)," ")</f>
        <v>RB60-BU+LINKSET</v>
      </c>
      <c r="E63" s="33">
        <v>121083.54614399999</v>
      </c>
      <c r="F63" s="34">
        <v>70</v>
      </c>
      <c r="G63" s="34">
        <v>200</v>
      </c>
      <c r="H63" s="34">
        <f>Table32[[#This Row],[Harga Satuan
(Rp) WGJ]]*Table32[[#This Row],[Berat Packing]]</f>
        <v>24216709.228799999</v>
      </c>
      <c r="I63" s="34">
        <f>Table32[[#This Row],[Harga Satuan
(Rp)]]*Table32[[#This Row],[Berat Packing]]</f>
        <v>8475848.2300799992</v>
      </c>
      <c r="J63" s="178">
        <v>45127</v>
      </c>
      <c r="K63" s="101" t="s">
        <v>312</v>
      </c>
      <c r="L63" s="153" t="s">
        <v>236</v>
      </c>
      <c r="M63" s="59"/>
      <c r="N63" s="58"/>
      <c r="O63" s="58"/>
      <c r="P63" s="58"/>
    </row>
    <row r="64" spans="2:16" x14ac:dyDescent="0.3">
      <c r="B64" s="32" t="s">
        <v>676</v>
      </c>
      <c r="C64" s="32" t="str">
        <f>IFERROR(VLOOKUP(B64,'DATA MASTER'!A:O,2,0)," ")</f>
        <v>Truss Modullar</v>
      </c>
      <c r="D64" s="32" t="str">
        <f>IFERROR(VLOOKUP(B64,'DATA MASTER'!A:V,4,0)," ")</f>
        <v>RB60-BU+LINKSET</v>
      </c>
      <c r="E64" s="33">
        <v>121083.54614399999</v>
      </c>
      <c r="F64" s="34">
        <v>70</v>
      </c>
      <c r="G64" s="34">
        <v>200</v>
      </c>
      <c r="H64" s="34">
        <f>Table32[[#This Row],[Harga Satuan
(Rp) WGJ]]*Table32[[#This Row],[Berat Packing]]</f>
        <v>24216709.228799999</v>
      </c>
      <c r="I64" s="34">
        <f>Table32[[#This Row],[Harga Satuan
(Rp)]]*Table32[[#This Row],[Berat Packing]]</f>
        <v>8475848.2300799992</v>
      </c>
      <c r="J64" s="178">
        <v>45127</v>
      </c>
      <c r="K64" s="101" t="s">
        <v>312</v>
      </c>
      <c r="L64" s="153" t="s">
        <v>237</v>
      </c>
      <c r="M64" s="59"/>
      <c r="N64" s="58"/>
      <c r="O64" s="58"/>
      <c r="P64" s="58"/>
    </row>
    <row r="65" spans="2:16" x14ac:dyDescent="0.3">
      <c r="B65" s="32" t="s">
        <v>676</v>
      </c>
      <c r="C65" s="32" t="str">
        <f>IFERROR(VLOOKUP(B65,'DATA MASTER'!A:O,2,0)," ")</f>
        <v>Truss Modullar</v>
      </c>
      <c r="D65" s="32" t="str">
        <f>IFERROR(VLOOKUP(B65,'DATA MASTER'!A:V,4,0)," ")</f>
        <v>RB60-BU+LINKSET</v>
      </c>
      <c r="E65" s="33">
        <v>4299.3900000000003</v>
      </c>
      <c r="F65" s="34">
        <v>70</v>
      </c>
      <c r="G65" s="34">
        <v>200</v>
      </c>
      <c r="H65" s="34">
        <f>Table32[[#This Row],[Harga Satuan
(Rp) WGJ]]*Table32[[#This Row],[Berat Packing]]</f>
        <v>859878.00000000012</v>
      </c>
      <c r="I65" s="34">
        <f>Table32[[#This Row],[Harga Satuan
(Rp)]]*Table32[[#This Row],[Berat Packing]]</f>
        <v>300957.30000000005</v>
      </c>
      <c r="J65" s="178">
        <v>45127</v>
      </c>
      <c r="K65" s="101" t="s">
        <v>312</v>
      </c>
      <c r="L65" s="153" t="s">
        <v>681</v>
      </c>
      <c r="M65" s="59"/>
      <c r="N65" s="58"/>
      <c r="O65" s="58"/>
      <c r="P65" s="58"/>
    </row>
    <row r="66" spans="2:16" x14ac:dyDescent="0.3">
      <c r="B66" s="32" t="s">
        <v>424</v>
      </c>
      <c r="C66" s="32" t="str">
        <f>IFERROR(VLOOKUP(B66,'DATA MASTER'!A:O,2,0)," ")</f>
        <v>Panel Bailey</v>
      </c>
      <c r="D66" s="32" t="str">
        <f>IFERROR(VLOOKUP(B66,'DATA MASTER'!A:V,4,0)," ")</f>
        <v>45 TSR2 - EW</v>
      </c>
      <c r="E66" s="33">
        <v>80469.489999999991</v>
      </c>
      <c r="F66" s="34">
        <v>70</v>
      </c>
      <c r="G66" s="34">
        <v>200</v>
      </c>
      <c r="H66" s="34">
        <f>Table32[[#This Row],[Harga Satuan
(Rp) WGJ]]*Table32[[#This Row],[Berat Packing]]</f>
        <v>16093897.999999998</v>
      </c>
      <c r="I66" s="34">
        <f>Table32[[#This Row],[Harga Satuan
(Rp)]]*Table32[[#This Row],[Berat Packing]]</f>
        <v>5632864.2999999989</v>
      </c>
      <c r="J66" s="178">
        <v>45134</v>
      </c>
      <c r="K66" s="101" t="s">
        <v>312</v>
      </c>
      <c r="L66" s="164"/>
      <c r="M66" s="59"/>
      <c r="N66" s="58"/>
      <c r="O66" s="58"/>
      <c r="P66" s="58"/>
    </row>
    <row r="67" spans="2:16" x14ac:dyDescent="0.3">
      <c r="B67" s="32" t="s">
        <v>645</v>
      </c>
      <c r="C67" s="32" t="str">
        <f>IFERROR(VLOOKUP(B67,'DATA MASTER'!A:O,2,0)," ")</f>
        <v>RAMP Panel Bailey</v>
      </c>
      <c r="D67" s="32" t="str">
        <f>IFERROR(VLOOKUP(B67,'DATA MASTER'!A:V,4,0)," ")</f>
        <v>RAMP PANEL BAILEY</v>
      </c>
      <c r="E67" s="33">
        <v>11387.759999999998</v>
      </c>
      <c r="F67" s="34">
        <v>70</v>
      </c>
      <c r="G67" s="34">
        <v>200</v>
      </c>
      <c r="H67" s="34">
        <f>Table32[[#This Row],[Harga Satuan
(Rp) WGJ]]*Table32[[#This Row],[Berat Packing]]</f>
        <v>2277551.9999999995</v>
      </c>
      <c r="I67" s="34">
        <f>Table32[[#This Row],[Harga Satuan
(Rp)]]*Table32[[#This Row],[Berat Packing]]</f>
        <v>797143.19999999984</v>
      </c>
      <c r="J67" s="178">
        <v>45134</v>
      </c>
      <c r="K67" s="101" t="s">
        <v>312</v>
      </c>
      <c r="L67" s="173"/>
      <c r="M67" s="59"/>
      <c r="N67" s="58"/>
      <c r="O67" s="58"/>
      <c r="P67" s="58"/>
    </row>
    <row r="68" spans="2:16" x14ac:dyDescent="0.3">
      <c r="B68" s="32" t="s">
        <v>585</v>
      </c>
      <c r="C68" s="32" t="str">
        <f>IFERROR(VLOOKUP(B68,'DATA MASTER'!A:O,2,0)," ")</f>
        <v>Girder</v>
      </c>
      <c r="D68" s="32" t="str">
        <f>IFERROR(VLOOKUP(B68,'DATA MASTER'!A:V,4,0)," ")</f>
        <v>CG15_6 Line</v>
      </c>
      <c r="E68" s="33">
        <v>19005.719600000004</v>
      </c>
      <c r="F68" s="34">
        <v>70</v>
      </c>
      <c r="G68" s="34">
        <v>200</v>
      </c>
      <c r="H68" s="34">
        <f>Table32[[#This Row],[Harga Satuan
(Rp) WGJ]]*Table32[[#This Row],[Berat Packing]]</f>
        <v>3801143.9200000009</v>
      </c>
      <c r="I68" s="34">
        <f>Table32[[#This Row],[Harga Satuan
(Rp)]]*Table32[[#This Row],[Berat Packing]]</f>
        <v>1330400.3720000002</v>
      </c>
      <c r="J68" s="178">
        <v>45140</v>
      </c>
      <c r="K68" s="101" t="s">
        <v>312</v>
      </c>
      <c r="L68" s="173"/>
      <c r="M68" s="59"/>
      <c r="N68" s="58"/>
      <c r="O68" s="58"/>
      <c r="P68" s="58"/>
    </row>
    <row r="69" spans="2:16" x14ac:dyDescent="0.3">
      <c r="B69" s="32" t="s">
        <v>750</v>
      </c>
      <c r="C69" s="32" t="str">
        <f>IFERROR(VLOOKUP(B69,'DATA MASTER'!A:O,2,0)," ")</f>
        <v>Panel Bailey</v>
      </c>
      <c r="D69" s="32" t="str">
        <f>IFERROR(VLOOKUP(B69,'DATA MASTER'!A:V,4,0)," ")</f>
        <v>30 DSR2-EW</v>
      </c>
      <c r="E69" s="33">
        <v>43842.15</v>
      </c>
      <c r="F69" s="34">
        <v>70</v>
      </c>
      <c r="G69" s="34">
        <v>200</v>
      </c>
      <c r="H69" s="34">
        <f>Table32[[#This Row],[Harga Satuan
(Rp) WGJ]]*Table32[[#This Row],[Berat Packing]]</f>
        <v>8768430</v>
      </c>
      <c r="I69" s="34">
        <f>Table32[[#This Row],[Harga Satuan
(Rp)]]*Table32[[#This Row],[Berat Packing]]</f>
        <v>3068950.5</v>
      </c>
      <c r="J69" s="178">
        <v>45140</v>
      </c>
      <c r="K69" s="101" t="s">
        <v>312</v>
      </c>
      <c r="L69" s="173"/>
      <c r="M69" s="59"/>
      <c r="N69" s="58"/>
      <c r="O69" s="58"/>
      <c r="P69" s="58"/>
    </row>
    <row r="70" spans="2:16" x14ac:dyDescent="0.3">
      <c r="B70" s="32" t="s">
        <v>856</v>
      </c>
      <c r="C70" s="32" t="str">
        <f>IFERROR(VLOOKUP(B70,'DATA MASTER'!A:O,2,0)," ")</f>
        <v>Girder Spesial</v>
      </c>
      <c r="D70" s="32" t="str">
        <f>IFERROR(VLOOKUP(B70,'DATA MASTER'!A:V,4,0)," ")</f>
        <v>GD14</v>
      </c>
      <c r="E70" s="33">
        <v>8906.3186080000032</v>
      </c>
      <c r="F70" s="34">
        <v>70</v>
      </c>
      <c r="G70" s="34">
        <v>200</v>
      </c>
      <c r="H70" s="34">
        <f>Table32[[#This Row],[Harga Satuan
(Rp) WGJ]]*Table32[[#This Row],[Berat Packing]]</f>
        <v>1781263.7216000007</v>
      </c>
      <c r="I70" s="34">
        <f>Table32[[#This Row],[Harga Satuan
(Rp)]]*Table32[[#This Row],[Berat Packing]]</f>
        <v>623442.30256000021</v>
      </c>
      <c r="J70" s="178">
        <v>45148</v>
      </c>
      <c r="K70" s="101" t="s">
        <v>312</v>
      </c>
      <c r="L70" s="153" t="s">
        <v>860</v>
      </c>
      <c r="M70" s="59"/>
      <c r="N70" s="58"/>
      <c r="O70" s="58"/>
      <c r="P70" s="58"/>
    </row>
    <row r="71" spans="2:16" x14ac:dyDescent="0.3">
      <c r="B71" s="32" t="s">
        <v>857</v>
      </c>
      <c r="C71" s="32" t="str">
        <f>IFERROR(VLOOKUP(B71,'DATA MASTER'!A:O,2,0)," ")</f>
        <v>Girder Spesial</v>
      </c>
      <c r="D71" s="32" t="str">
        <f>IFERROR(VLOOKUP(B71,'DATA MASTER'!A:V,4,0)," ")</f>
        <v>GD16</v>
      </c>
      <c r="E71" s="33">
        <v>54006.743040000008</v>
      </c>
      <c r="F71" s="34">
        <v>70</v>
      </c>
      <c r="G71" s="34">
        <v>200</v>
      </c>
      <c r="H71" s="34">
        <f>Table32[[#This Row],[Harga Satuan
(Rp) WGJ]]*Table32[[#This Row],[Berat Packing]]</f>
        <v>10801348.608000001</v>
      </c>
      <c r="I71" s="34">
        <f>Table32[[#This Row],[Harga Satuan
(Rp)]]*Table32[[#This Row],[Berat Packing]]</f>
        <v>3780472.0128000006</v>
      </c>
      <c r="J71" s="178">
        <v>45148</v>
      </c>
      <c r="K71" s="101" t="s">
        <v>312</v>
      </c>
      <c r="L71" s="153" t="s">
        <v>861</v>
      </c>
      <c r="M71" s="59"/>
      <c r="N71" s="58"/>
      <c r="O71" s="58"/>
      <c r="P71" s="58"/>
    </row>
    <row r="72" spans="2:16" x14ac:dyDescent="0.3">
      <c r="B72" s="32" t="s">
        <v>858</v>
      </c>
      <c r="C72" s="32" t="str">
        <f>IFERROR(VLOOKUP(B72,'DATA MASTER'!A:O,2,0)," ")</f>
        <v>Girder Spesial</v>
      </c>
      <c r="D72" s="32" t="str">
        <f>IFERROR(VLOOKUP(B72,'DATA MASTER'!A:V,4,0)," ")</f>
        <v>GD18</v>
      </c>
      <c r="E72" s="33">
        <v>37379.515823999995</v>
      </c>
      <c r="F72" s="34">
        <v>70</v>
      </c>
      <c r="G72" s="34">
        <v>200</v>
      </c>
      <c r="H72" s="34">
        <f>Table32[[#This Row],[Harga Satuan
(Rp) WGJ]]*Table32[[#This Row],[Berat Packing]]</f>
        <v>7475903.1647999985</v>
      </c>
      <c r="I72" s="34">
        <f>Table32[[#This Row],[Harga Satuan
(Rp)]]*Table32[[#This Row],[Berat Packing]]</f>
        <v>2616566.1076799994</v>
      </c>
      <c r="J72" s="178">
        <v>45148</v>
      </c>
      <c r="K72" s="101" t="s">
        <v>312</v>
      </c>
      <c r="L72" s="153" t="s">
        <v>862</v>
      </c>
      <c r="M72" s="59"/>
      <c r="N72" s="58"/>
      <c r="O72" s="58"/>
      <c r="P72" s="58"/>
    </row>
    <row r="73" spans="2:16" x14ac:dyDescent="0.3">
      <c r="B73" s="32" t="s">
        <v>859</v>
      </c>
      <c r="C73" s="32" t="str">
        <f>IFERROR(VLOOKUP(B73,'DATA MASTER'!A:O,2,0)," ")</f>
        <v>Girder Spesial</v>
      </c>
      <c r="D73" s="32" t="str">
        <f>IFERROR(VLOOKUP(B73,'DATA MASTER'!A:V,4,0)," ")</f>
        <v>GD20</v>
      </c>
      <c r="E73" s="33">
        <v>15170.058608000005</v>
      </c>
      <c r="F73" s="34">
        <v>70</v>
      </c>
      <c r="G73" s="34">
        <v>200</v>
      </c>
      <c r="H73" s="34">
        <f>Table32[[#This Row],[Harga Satuan
(Rp) WGJ]]*Table32[[#This Row],[Berat Packing]]</f>
        <v>3034011.7216000007</v>
      </c>
      <c r="I73" s="34">
        <f>Table32[[#This Row],[Harga Satuan
(Rp)]]*Table32[[#This Row],[Berat Packing]]</f>
        <v>1061904.1025600003</v>
      </c>
      <c r="J73" s="178">
        <v>45148</v>
      </c>
      <c r="K73" s="101" t="s">
        <v>312</v>
      </c>
      <c r="L73" s="153" t="s">
        <v>860</v>
      </c>
      <c r="M73" s="59"/>
      <c r="N73" s="58"/>
      <c r="O73" s="58"/>
      <c r="P73" s="58"/>
    </row>
    <row r="74" spans="2:16" x14ac:dyDescent="0.3">
      <c r="B74" s="32" t="s">
        <v>852</v>
      </c>
      <c r="C74" s="32" t="str">
        <f>IFERROR(VLOOKUP(B74,'DATA MASTER'!A:O,2,0)," ")</f>
        <v>Panel Bailey</v>
      </c>
      <c r="D74" s="32" t="str">
        <f>IFERROR(VLOOKUP(B74,'DATA MASTER'!A:V,4,0)," ")</f>
        <v>12 SSR-EW</v>
      </c>
      <c r="E74" s="33">
        <v>11375.460000000003</v>
      </c>
      <c r="F74" s="34">
        <v>70</v>
      </c>
      <c r="G74" s="34">
        <v>200</v>
      </c>
      <c r="H74" s="34">
        <f>Table32[[#This Row],[Harga Satuan
(Rp) WGJ]]*Table32[[#This Row],[Berat Packing]]</f>
        <v>2275092.0000000005</v>
      </c>
      <c r="I74" s="34">
        <f>Table32[[#This Row],[Harga Satuan
(Rp)]]*Table32[[#This Row],[Berat Packing]]</f>
        <v>796282.20000000019</v>
      </c>
      <c r="J74" s="178">
        <v>45150</v>
      </c>
      <c r="K74" s="101" t="s">
        <v>312</v>
      </c>
      <c r="L74" s="153"/>
      <c r="M74" s="59"/>
      <c r="N74" s="58"/>
      <c r="O74" s="58"/>
      <c r="P74" s="58"/>
    </row>
    <row r="75" spans="2:16" x14ac:dyDescent="0.3">
      <c r="B75" s="32" t="s">
        <v>852</v>
      </c>
      <c r="C75" s="32" t="str">
        <f>IFERROR(VLOOKUP(B75,'DATA MASTER'!A:O,2,0)," ")</f>
        <v>Panel Bailey</v>
      </c>
      <c r="D75" s="32" t="str">
        <f>IFERROR(VLOOKUP(B75,'DATA MASTER'!A:V,4,0)," ")</f>
        <v>12 SSR-EW</v>
      </c>
      <c r="E75" s="33">
        <v>11375.460000000003</v>
      </c>
      <c r="F75" s="34">
        <v>70</v>
      </c>
      <c r="G75" s="34">
        <v>200</v>
      </c>
      <c r="H75" s="34">
        <f>Table32[[#This Row],[Harga Satuan
(Rp) WGJ]]*Table32[[#This Row],[Berat Packing]]</f>
        <v>2275092.0000000005</v>
      </c>
      <c r="I75" s="34">
        <f>Table32[[#This Row],[Harga Satuan
(Rp)]]*Table32[[#This Row],[Berat Packing]]</f>
        <v>796282.20000000019</v>
      </c>
      <c r="J75" s="178">
        <v>45150</v>
      </c>
      <c r="K75" s="101" t="s">
        <v>312</v>
      </c>
      <c r="L75" s="153"/>
      <c r="M75" s="59"/>
      <c r="N75" s="58"/>
      <c r="O75" s="58"/>
      <c r="P75" s="58"/>
    </row>
    <row r="76" spans="2:16" x14ac:dyDescent="0.3">
      <c r="B76" s="32" t="s">
        <v>852</v>
      </c>
      <c r="C76" s="32" t="str">
        <f>IFERROR(VLOOKUP(B76,'DATA MASTER'!A:O,2,0)," ")</f>
        <v>Panel Bailey</v>
      </c>
      <c r="D76" s="32" t="str">
        <f>IFERROR(VLOOKUP(B76,'DATA MASTER'!A:V,4,0)," ")</f>
        <v>12 SSR-EW</v>
      </c>
      <c r="E76" s="33">
        <v>11375.460000000003</v>
      </c>
      <c r="F76" s="34">
        <v>70</v>
      </c>
      <c r="G76" s="34">
        <v>200</v>
      </c>
      <c r="H76" s="34">
        <f>Table32[[#This Row],[Harga Satuan
(Rp) WGJ]]*Table32[[#This Row],[Berat Packing]]</f>
        <v>2275092.0000000005</v>
      </c>
      <c r="I76" s="34">
        <f>Table32[[#This Row],[Harga Satuan
(Rp)]]*Table32[[#This Row],[Berat Packing]]</f>
        <v>796282.20000000019</v>
      </c>
      <c r="J76" s="178">
        <v>45150</v>
      </c>
      <c r="K76" s="101" t="s">
        <v>312</v>
      </c>
      <c r="L76" s="153"/>
      <c r="M76" s="59"/>
      <c r="N76" s="58"/>
      <c r="O76" s="58"/>
      <c r="P76" s="58"/>
    </row>
    <row r="77" spans="2:16" x14ac:dyDescent="0.3">
      <c r="B77" s="32" t="s">
        <v>566</v>
      </c>
      <c r="C77" s="32" t="str">
        <f>IFERROR(VLOOKUP(B77,'DATA MASTER'!A:O,2,0)," ")</f>
        <v>Truss Modullar</v>
      </c>
      <c r="D77" s="32" t="str">
        <f>IFERROR(VLOOKUP(B77,'DATA MASTER'!A:V,4,0)," ")</f>
        <v>RB50</v>
      </c>
      <c r="E77" s="33">
        <v>92467.30542400002</v>
      </c>
      <c r="F77" s="34">
        <v>70</v>
      </c>
      <c r="G77" s="34">
        <v>200</v>
      </c>
      <c r="H77" s="34">
        <f>Table32[[#This Row],[Harga Satuan
(Rp) WGJ]]*Table32[[#This Row],[Berat Packing]]</f>
        <v>18493461.084800005</v>
      </c>
      <c r="I77" s="34">
        <f>Table32[[#This Row],[Harga Satuan
(Rp)]]*Table32[[#This Row],[Berat Packing]]</f>
        <v>6472711.3796800012</v>
      </c>
      <c r="J77" s="178">
        <v>45161</v>
      </c>
      <c r="K77" s="101" t="s">
        <v>312</v>
      </c>
      <c r="L77" s="153" t="s">
        <v>236</v>
      </c>
      <c r="M77" s="59"/>
      <c r="N77" s="58"/>
      <c r="O77" s="58"/>
      <c r="P77" s="58"/>
    </row>
    <row r="78" spans="2:16" x14ac:dyDescent="0.3">
      <c r="B78" s="32" t="s">
        <v>863</v>
      </c>
      <c r="C78" s="32" t="str">
        <f>IFERROR(VLOOKUP(B78,'DATA MASTER'!A:O,2,0)," ")</f>
        <v>Panel Bailey</v>
      </c>
      <c r="D78" s="32" t="str">
        <f>IFERROR(VLOOKUP(B78,'DATA MASTER'!A:V,4,0)," ")</f>
        <v>39 DSR2H**-EW</v>
      </c>
      <c r="E78" s="33">
        <v>60675.763281859785</v>
      </c>
      <c r="F78" s="34">
        <v>70</v>
      </c>
      <c r="G78" s="34">
        <v>200</v>
      </c>
      <c r="H78" s="34">
        <f>Table32[[#This Row],[Harga Satuan
(Rp) WGJ]]*Table32[[#This Row],[Berat Packing]]</f>
        <v>12135152.656371957</v>
      </c>
      <c r="I78" s="34">
        <f>Table32[[#This Row],[Harga Satuan
(Rp)]]*Table32[[#This Row],[Berat Packing]]</f>
        <v>4247303.4297301853</v>
      </c>
      <c r="J78" s="178">
        <v>45162</v>
      </c>
      <c r="K78" s="101" t="s">
        <v>312</v>
      </c>
      <c r="L78" s="153"/>
      <c r="M78" s="59"/>
      <c r="N78" s="58"/>
      <c r="O78" s="58"/>
      <c r="P78" s="58"/>
    </row>
    <row r="79" spans="2:16" x14ac:dyDescent="0.3">
      <c r="B79" s="32" t="s">
        <v>685</v>
      </c>
      <c r="C79" s="32" t="str">
        <f>IFERROR(VLOOKUP(B79,'DATA MASTER'!A:O,2,0)," ")</f>
        <v>Girder</v>
      </c>
      <c r="D79" s="32" t="str">
        <f>IFERROR(VLOOKUP(B79,'DATA MASTER'!A:V,4,0)," ")</f>
        <v>CG12</v>
      </c>
      <c r="E79" s="33">
        <f>'DATA FABRIKASI'!E70+'Data Aksesories'!L194+'Data Aksesories'!L195+'Data Aksesories'!L196+'Data Aksesories'!L197+'Data Aksesories'!L198+'Data Aksesories'!L199+'Data Aksesories'!L200</f>
        <v>23119.665648000013</v>
      </c>
      <c r="F79" s="34">
        <v>70</v>
      </c>
      <c r="G79" s="34">
        <v>200</v>
      </c>
      <c r="H79" s="34">
        <f>Table32[[#This Row],[Harga Satuan
(Rp) WGJ]]*Table32[[#This Row],[Berat Packing]]</f>
        <v>4623933.1296000024</v>
      </c>
      <c r="I79" s="34">
        <f>Table32[[#This Row],[Harga Satuan
(Rp)]]*Table32[[#This Row],[Berat Packing]]</f>
        <v>1618376.5953600009</v>
      </c>
      <c r="J79" s="178">
        <v>45168</v>
      </c>
      <c r="K79" s="101" t="s">
        <v>312</v>
      </c>
      <c r="L79" s="153"/>
      <c r="M79" s="59"/>
      <c r="N79" s="58"/>
      <c r="O79" s="58"/>
      <c r="P79" s="58"/>
    </row>
    <row r="80" spans="2:16" x14ac:dyDescent="0.3">
      <c r="B80" s="32" t="s">
        <v>944</v>
      </c>
      <c r="C80" s="32" t="str">
        <f>IFERROR(VLOOKUP(B80,'DATA MASTER'!A:O,2,0)," ")</f>
        <v>Panel Bailey</v>
      </c>
      <c r="D80" s="32" t="str">
        <f>IFERROR(VLOOKUP(B80,'DATA MASTER'!A:V,4,0)," ")</f>
        <v>9 SSR-EW</v>
      </c>
      <c r="E80" s="33">
        <f>('DATA FABRIKASI'!E86+'Data Aksesories'!L290+'Data Aksesories'!L291)*2</f>
        <v>4712.8468400000002</v>
      </c>
      <c r="F80" s="34">
        <v>70</v>
      </c>
      <c r="G80" s="34">
        <v>200</v>
      </c>
      <c r="H80" s="34">
        <f>Table32[[#This Row],[Harga Satuan
(Rp) WGJ]]*Table32[[#This Row],[Berat Packing]]</f>
        <v>942569.36800000002</v>
      </c>
      <c r="I80" s="34">
        <f>Table32[[#This Row],[Harga Satuan
(Rp)]]*Table32[[#This Row],[Berat Packing]]</f>
        <v>329899.27880000003</v>
      </c>
      <c r="J80" s="178">
        <v>45168</v>
      </c>
      <c r="K80" s="101" t="s">
        <v>312</v>
      </c>
      <c r="L80" s="153"/>
      <c r="M80" s="59"/>
      <c r="N80" s="58"/>
      <c r="O80" s="58"/>
      <c r="P80" s="58"/>
    </row>
    <row r="81" spans="2:16" x14ac:dyDescent="0.3">
      <c r="B81" s="32" t="s">
        <v>718</v>
      </c>
      <c r="C81" s="32" t="str">
        <f>IFERROR(VLOOKUP(B81,'DATA MASTER'!A:O,2,0)," ")</f>
        <v>Girder</v>
      </c>
      <c r="D81" s="32" t="str">
        <f>IFERROR(VLOOKUP(B81,'DATA MASTER'!A:V,4,0)," ")</f>
        <v>AG20</v>
      </c>
      <c r="E81" s="33">
        <f>'DATA FABRIKASI'!E73+'Data Aksesories'!L167+'Data Aksesories'!L168+'Data Aksesories'!L169+'Data Aksesories'!L170+'Data Aksesories'!L171+'Data Aksesories'!L172+'Data Aksesories'!L173</f>
        <v>33045.302000000011</v>
      </c>
      <c r="F81" s="34">
        <v>70</v>
      </c>
      <c r="G81" s="34"/>
      <c r="H81" s="34">
        <f>Table32[[#This Row],[Harga Satuan
(Rp) WGJ]]*Table32[[#This Row],[Berat Packing]]</f>
        <v>0</v>
      </c>
      <c r="I81" s="34">
        <f>Table32[[#This Row],[Harga Satuan
(Rp)]]*Table32[[#This Row],[Berat Packing]]</f>
        <v>2313171.1400000006</v>
      </c>
      <c r="J81" s="178">
        <v>45173</v>
      </c>
      <c r="K81" s="101" t="s">
        <v>312</v>
      </c>
      <c r="L81" s="153"/>
      <c r="M81" s="59"/>
      <c r="N81" s="58"/>
      <c r="O81" s="58"/>
      <c r="P81" s="58"/>
    </row>
    <row r="82" spans="2:16" x14ac:dyDescent="0.3">
      <c r="B82" s="32" t="s">
        <v>967</v>
      </c>
      <c r="C82" s="32" t="str">
        <f>IFERROR(VLOOKUP(B82,'DATA MASTER'!A:O,2,0)," ")</f>
        <v>Panel Bailey</v>
      </c>
      <c r="D82" s="32" t="str">
        <f>IFERROR(VLOOKUP(B82,'DATA MASTER'!A:V,4,0)," ")</f>
        <v>24 DSR2-EW</v>
      </c>
      <c r="E82" s="33">
        <f>'DATA FABRIKASI'!E91+'Data Aksesories'!L300+'Data Aksesories'!L301</f>
        <v>11490.280000000002</v>
      </c>
      <c r="F82" s="34">
        <v>70</v>
      </c>
      <c r="G82" s="34"/>
      <c r="H82" s="34">
        <f>Table32[[#This Row],[Harga Satuan
(Rp) WGJ]]*Table32[[#This Row],[Berat Packing]]</f>
        <v>0</v>
      </c>
      <c r="I82" s="34">
        <f>Table32[[#This Row],[Harga Satuan
(Rp)]]*Table32[[#This Row],[Berat Packing]]</f>
        <v>804319.60000000021</v>
      </c>
      <c r="J82" s="178">
        <v>45173</v>
      </c>
      <c r="K82" s="101" t="s">
        <v>312</v>
      </c>
      <c r="L82" s="164"/>
      <c r="M82" s="59"/>
      <c r="N82" s="58"/>
      <c r="O82" s="58"/>
      <c r="P82" s="58"/>
    </row>
    <row r="83" spans="2:16" x14ac:dyDescent="0.3">
      <c r="B83" s="32" t="s">
        <v>758</v>
      </c>
      <c r="C83" s="32" t="str">
        <f>IFERROR(VLOOKUP(B83,'DATA MASTER'!A:O,2,0)," ")</f>
        <v>Jembatan Gantung</v>
      </c>
      <c r="D83" s="32" t="str">
        <f>IFERROR(VLOOKUP(B83,'DATA MASTER'!A:V,4,0)," ")</f>
        <v>JG150</v>
      </c>
      <c r="E83" s="33"/>
      <c r="F83" s="33"/>
      <c r="G83" s="34"/>
      <c r="H83" s="34">
        <f>Table32[[#This Row],[Harga Satuan
(Rp) WGJ]]*Table32[[#This Row],[Berat Packing]]</f>
        <v>0</v>
      </c>
      <c r="I83" s="34"/>
      <c r="J83" s="178"/>
      <c r="K83" s="101"/>
      <c r="L83" s="173"/>
      <c r="M83" s="59"/>
      <c r="N83" s="58"/>
      <c r="O83" s="58"/>
      <c r="P83" s="58"/>
    </row>
    <row r="84" spans="2:16" x14ac:dyDescent="0.3">
      <c r="B84" s="32" t="s">
        <v>697</v>
      </c>
      <c r="C84" s="32" t="str">
        <f>IFERROR(VLOOKUP(B84,'DATA MASTER'!A:O,2,0)," ")</f>
        <v>Truss Modullar</v>
      </c>
      <c r="D84" s="32" t="str">
        <f>IFERROR(VLOOKUP(B84,'DATA MASTER'!A:V,4,0)," ")</f>
        <v>RB60</v>
      </c>
      <c r="E84" s="33">
        <v>136765.77684400001</v>
      </c>
      <c r="F84" s="33"/>
      <c r="G84" s="34"/>
      <c r="H84" s="34">
        <f>Table32[[#This Row],[Harga Satuan
(Rp) WGJ]]*Table32[[#This Row],[Berat Packing]]</f>
        <v>0</v>
      </c>
      <c r="I84" s="34"/>
      <c r="J84" s="178"/>
      <c r="K84" s="101"/>
      <c r="L84" s="196"/>
      <c r="M84" s="59"/>
      <c r="N84" s="58"/>
      <c r="O84" s="58"/>
      <c r="P84" s="58"/>
    </row>
    <row r="85" spans="2:16" x14ac:dyDescent="0.3">
      <c r="B85" s="32" t="s">
        <v>787</v>
      </c>
      <c r="C85" s="32" t="str">
        <f>IFERROR(VLOOKUP(B85,'DATA MASTER'!A:O,2,0)," ")</f>
        <v>Girder</v>
      </c>
      <c r="D85" s="32" t="str">
        <f>IFERROR(VLOOKUP(B85,'DATA MASTER'!A:V,4,0)," ")</f>
        <v>AG40</v>
      </c>
      <c r="E85" s="33" t="e">
        <f>'DATA FABRIKASI'!#REF!+'Data Aksesories'!L278+'Data Aksesories'!L279+'Data Aksesories'!L280+'Data Aksesories'!L281+'Data Aksesories'!L282+'Data Aksesories'!L283+'Data Aksesories'!L284+'Data Aksesories'!L285</f>
        <v>#REF!</v>
      </c>
      <c r="F85" s="33"/>
      <c r="G85" s="34"/>
      <c r="H85" s="34" t="e">
        <f>Table32[[#This Row],[Harga Satuan
(Rp) WGJ]]*Table32[[#This Row],[Berat Packing]]</f>
        <v>#REF!</v>
      </c>
      <c r="I85" s="34"/>
      <c r="J85" s="178"/>
      <c r="K85" s="101"/>
      <c r="L85" s="197"/>
      <c r="M85" s="59"/>
      <c r="N85" s="58"/>
      <c r="O85" s="58"/>
      <c r="P85" s="58"/>
    </row>
    <row r="86" spans="2:16" x14ac:dyDescent="0.3">
      <c r="B86" s="32" t="s">
        <v>948</v>
      </c>
      <c r="C86" s="32" t="str">
        <f>IFERROR(VLOOKUP(B86,'DATA MASTER'!A:O,2,0)," ")</f>
        <v>Truss Modullar</v>
      </c>
      <c r="D86" s="32" t="str">
        <f>IFERROR(VLOOKUP(B86,'DATA MASTER'!A:V,4,0)," ")</f>
        <v>RB30</v>
      </c>
      <c r="E86" s="33">
        <f>'DATA FABRIKASI'!E92+'Data Aksesories'!L318+'Data Aksesories'!L319+'Data Aksesories'!L320+'Data Aksesories'!L321+'Data Aksesories'!L322+'Data Aksesories'!L323+'Data Aksesories'!L324+'Data Aksesories'!L325</f>
        <v>8392.3334239496016</v>
      </c>
      <c r="F86" s="33"/>
      <c r="G86" s="34"/>
      <c r="H86" s="34">
        <f>Table32[[#This Row],[Harga Satuan
(Rp) WGJ]]*Table32[[#This Row],[Berat Packing]]</f>
        <v>0</v>
      </c>
      <c r="I86" s="34"/>
      <c r="J86" s="178"/>
      <c r="K86" s="101"/>
      <c r="L86" s="197"/>
      <c r="M86" s="59"/>
      <c r="N86" s="58"/>
      <c r="O86" s="58"/>
      <c r="P86" s="58"/>
    </row>
    <row r="87" spans="2:16" x14ac:dyDescent="0.3">
      <c r="E87" s="16" t="e">
        <f>SUBTOTAL(109,Table32[Berat Packing])</f>
        <v>#REF!</v>
      </c>
      <c r="F87" s="16"/>
      <c r="G87" s="16"/>
      <c r="H87" s="16" t="e">
        <f>SUBTOTAL(109,Table32[Total Tagihan WGJ])</f>
        <v>#REF!</v>
      </c>
      <c r="I87" s="31">
        <f>SUBTOTAL(109,Table32[Total Tagihan
(Rp)])</f>
        <v>176662241.67964116</v>
      </c>
      <c r="L87" s="39"/>
    </row>
    <row r="88" spans="2:16" x14ac:dyDescent="0.3">
      <c r="E88" s="272"/>
      <c r="F88" s="272"/>
      <c r="G88" s="174"/>
      <c r="H88" s="174"/>
    </row>
    <row r="89" spans="2:16" x14ac:dyDescent="0.3">
      <c r="J89" s="172"/>
    </row>
    <row r="90" spans="2:16" x14ac:dyDescent="0.3">
      <c r="E90" s="175" t="e">
        <f>Table32[[#Totals],[Berat Packing]]*130</f>
        <v>#REF!</v>
      </c>
      <c r="I90" s="172">
        <f>E70+E71+E72+E73</f>
        <v>115462.63608000001</v>
      </c>
      <c r="J90" s="31"/>
    </row>
    <row r="91" spans="2:16" x14ac:dyDescent="0.3">
      <c r="E91" s="176" t="e">
        <f>E90-Table32[[#Totals],[Total Tagihan
(Rp)]]</f>
        <v>#REF!</v>
      </c>
    </row>
    <row r="94" spans="2:16" x14ac:dyDescent="0.3">
      <c r="E94">
        <v>115462.63608</v>
      </c>
    </row>
  </sheetData>
  <mergeCells count="1">
    <mergeCell ref="E88:F88"/>
  </mergeCells>
  <phoneticPr fontId="2" type="noConversion"/>
  <pageMargins left="0.23" right="0.24" top="0.28000000000000003" bottom="0.74803149606299213" header="0.31496062992125984" footer="0.31496062992125984"/>
  <pageSetup paperSize="9" scale="43" orientation="landscape" r:id="rId1"/>
  <tableParts count="1">
    <tablePart r:id="rId2"/>
  </tableParts>
  <extLst>
    <ext xmlns:x14="http://schemas.microsoft.com/office/spreadsheetml/2009/9/main" uri="{CCE6A557-97BC-4b89-ADB6-D9C93CAAB3DF}">
      <x14:dataValidations xmlns:xm="http://schemas.microsoft.com/office/excel/2006/main" count="1">
        <x14:dataValidation type="list" allowBlank="1" showInputMessage="1" showErrorMessage="1" xr:uid="{8E400295-1524-45A5-BE0D-34F1D286B2FA}">
          <x14:formula1>
            <xm:f>'DATA MASTER'!$A:$A</xm:f>
          </x14:formula1>
          <xm:sqref>B88:B1048576 B6:B86</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521399-B70F-4329-AB89-5011A172BFCC}">
  <sheetPr codeName="Sheet11">
    <pageSetUpPr fitToPage="1"/>
  </sheetPr>
  <dimension ref="B1:M61"/>
  <sheetViews>
    <sheetView showGridLines="0" topLeftCell="A30" workbookViewId="0">
      <selection activeCell="E43" sqref="E43"/>
    </sheetView>
  </sheetViews>
  <sheetFormatPr defaultRowHeight="14.4" x14ac:dyDescent="0.3"/>
  <cols>
    <col min="2" max="2" width="11.21875" bestFit="1" customWidth="1"/>
    <col min="3" max="3" width="9.6640625" customWidth="1"/>
    <col min="4" max="4" width="39.88671875" bestFit="1" customWidth="1"/>
    <col min="5" max="5" width="21.109375" bestFit="1" customWidth="1"/>
    <col min="6" max="6" width="24" bestFit="1" customWidth="1"/>
    <col min="7" max="7" width="15" bestFit="1" customWidth="1"/>
    <col min="8" max="8" width="10.5546875" customWidth="1"/>
    <col min="9" max="9" width="16.77734375" bestFit="1" customWidth="1"/>
    <col min="10" max="10" width="22.6640625" bestFit="1" customWidth="1"/>
    <col min="11" max="11" width="19.21875" bestFit="1" customWidth="1"/>
    <col min="12" max="12" width="10.5546875" hidden="1" customWidth="1"/>
    <col min="13" max="13" width="14.109375" hidden="1" customWidth="1"/>
    <col min="15" max="15" width="31.5546875" bestFit="1" customWidth="1"/>
  </cols>
  <sheetData>
    <row r="1" spans="2:13" ht="18" x14ac:dyDescent="0.35">
      <c r="C1" s="37" t="s">
        <v>256</v>
      </c>
    </row>
    <row r="2" spans="2:13" s="1" customFormat="1" ht="28.8" x14ac:dyDescent="0.3">
      <c r="C2" s="1" t="s">
        <v>27</v>
      </c>
      <c r="D2" s="1" t="s">
        <v>11</v>
      </c>
      <c r="E2" s="11" t="s">
        <v>12</v>
      </c>
      <c r="F2" s="1" t="s">
        <v>257</v>
      </c>
      <c r="G2" s="11" t="s">
        <v>231</v>
      </c>
      <c r="H2" s="11" t="s">
        <v>47</v>
      </c>
      <c r="I2" s="11" t="s">
        <v>258</v>
      </c>
      <c r="J2" s="11" t="s">
        <v>259</v>
      </c>
      <c r="K2" s="1" t="s">
        <v>234</v>
      </c>
      <c r="L2" s="11" t="s">
        <v>37</v>
      </c>
      <c r="M2" s="1" t="s">
        <v>235</v>
      </c>
    </row>
    <row r="3" spans="2:13" ht="18" x14ac:dyDescent="0.35">
      <c r="B3" s="38" t="s">
        <v>264</v>
      </c>
      <c r="C3" t="s">
        <v>215</v>
      </c>
      <c r="D3" t="str">
        <f>IFERROR(VLOOKUP(C3,'DATA MASTER'!A:O,2,0)," ")</f>
        <v>Panel Bailey</v>
      </c>
      <c r="E3" t="str">
        <f>IFERROR(VLOOKUP(C3,'DATA MASTER'!A:V,4,0)," ")</f>
        <v>12 SSR-EW</v>
      </c>
      <c r="F3" s="35" t="s">
        <v>260</v>
      </c>
      <c r="G3" s="185">
        <v>70000</v>
      </c>
      <c r="H3" s="36">
        <v>1</v>
      </c>
      <c r="I3" s="27">
        <f>Table328[[#This Row],[Harga Satuan
(Rp)]]*Table328[[#This Row],[Qty
(pcs)]]</f>
        <v>70000</v>
      </c>
      <c r="J3" s="182">
        <v>45010</v>
      </c>
      <c r="K3" s="28" t="s">
        <v>261</v>
      </c>
      <c r="L3" s="9"/>
      <c r="M3" s="9"/>
    </row>
    <row r="4" spans="2:13" x14ac:dyDescent="0.3">
      <c r="C4" t="s">
        <v>17</v>
      </c>
      <c r="D4" t="str">
        <f>IFERROR(VLOOKUP(C4,'DATA MASTER'!A:O,2,0)," ")</f>
        <v>Panel Bailey</v>
      </c>
      <c r="E4" t="str">
        <f>IFERROR(VLOOKUP(C4,'DATA MASTER'!A:V,4,0)," ")</f>
        <v>33M DSR2 - SS400</v>
      </c>
      <c r="F4" s="35" t="s">
        <v>262</v>
      </c>
      <c r="G4" s="185">
        <v>150000</v>
      </c>
      <c r="H4" s="36">
        <v>3</v>
      </c>
      <c r="I4" s="27">
        <f>Table328[[#This Row],[Harga Satuan
(Rp)]]*Table328[[#This Row],[Qty
(pcs)]]</f>
        <v>450000</v>
      </c>
      <c r="J4" s="182">
        <v>45012</v>
      </c>
      <c r="K4" s="20"/>
    </row>
    <row r="5" spans="2:13" x14ac:dyDescent="0.3">
      <c r="C5" t="s">
        <v>248</v>
      </c>
      <c r="D5" t="str">
        <f>IFERROR(VLOOKUP(C5,'DATA MASTER'!A:O,2,0)," ")</f>
        <v xml:space="preserve"> </v>
      </c>
      <c r="E5" t="str">
        <f>IFERROR(VLOOKUP(C5,'DATA MASTER'!A:V,4,0)," ")</f>
        <v xml:space="preserve"> </v>
      </c>
      <c r="F5" s="35" t="s">
        <v>262</v>
      </c>
      <c r="G5" s="185">
        <v>150000</v>
      </c>
      <c r="H5" s="36">
        <v>3</v>
      </c>
      <c r="I5" s="27">
        <f>Table328[[#This Row],[Harga Satuan
(Rp)]]*Table328[[#This Row],[Qty
(pcs)]]</f>
        <v>450000</v>
      </c>
      <c r="J5" s="182">
        <v>45016</v>
      </c>
      <c r="K5" s="20"/>
    </row>
    <row r="6" spans="2:13" x14ac:dyDescent="0.3">
      <c r="C6" t="s">
        <v>248</v>
      </c>
      <c r="D6" t="str">
        <f>IFERROR(VLOOKUP(C6,'DATA MASTER'!A:O,2,0)," ")</f>
        <v xml:space="preserve"> </v>
      </c>
      <c r="E6" t="str">
        <f>IFERROR(VLOOKUP(C6,'DATA MASTER'!A:V,4,0)," ")</f>
        <v xml:space="preserve"> </v>
      </c>
      <c r="F6" s="35" t="s">
        <v>263</v>
      </c>
      <c r="G6" s="185">
        <v>12500</v>
      </c>
      <c r="H6" s="36">
        <v>40</v>
      </c>
      <c r="I6" s="27">
        <f>Table328[[#This Row],[Harga Satuan
(Rp)]]*Table328[[#This Row],[Qty
(pcs)]]</f>
        <v>500000</v>
      </c>
      <c r="J6" s="182">
        <v>45016</v>
      </c>
      <c r="K6" s="20"/>
    </row>
    <row r="7" spans="2:13" ht="18" x14ac:dyDescent="0.35">
      <c r="B7" s="38" t="s">
        <v>340</v>
      </c>
      <c r="C7" t="s">
        <v>286</v>
      </c>
      <c r="D7" t="str">
        <f>IFERROR(VLOOKUP(C7,'DATA MASTER'!A:O,2,0)," ")</f>
        <v>Panel Bailey</v>
      </c>
      <c r="E7" t="str">
        <f>IFERROR(VLOOKUP(C7,'DATA MASTER'!A:V,4,0)," ")</f>
        <v>42 DSR2-EW (U120)</v>
      </c>
      <c r="F7" s="35" t="s">
        <v>262</v>
      </c>
      <c r="G7" s="186">
        <v>150000</v>
      </c>
      <c r="H7" s="52">
        <v>3</v>
      </c>
      <c r="I7" s="27">
        <f>Table328[[#This Row],[Qty
(pcs)]]*Table328[[#This Row],[Harga Satuan
(Rp)]]</f>
        <v>450000</v>
      </c>
      <c r="J7" s="183">
        <v>45023</v>
      </c>
      <c r="K7" s="20"/>
    </row>
    <row r="8" spans="2:13" x14ac:dyDescent="0.3">
      <c r="C8" t="s">
        <v>286</v>
      </c>
      <c r="D8" t="str">
        <f>IFERROR(VLOOKUP(C8,'DATA MASTER'!A:O,2,0)," ")</f>
        <v>Panel Bailey</v>
      </c>
      <c r="E8" t="str">
        <f>IFERROR(VLOOKUP(C8,'DATA MASTER'!A:V,4,0)," ")</f>
        <v>42 DSR2-EW (U120)</v>
      </c>
      <c r="F8" s="35" t="s">
        <v>260</v>
      </c>
      <c r="G8" s="186">
        <v>38000</v>
      </c>
      <c r="H8" s="52">
        <v>2</v>
      </c>
      <c r="I8" s="27">
        <f>Table328[[#This Row],[Qty
(pcs)]]*Table328[[#This Row],[Harga Satuan
(Rp)]]</f>
        <v>76000</v>
      </c>
      <c r="J8" s="183">
        <v>45023</v>
      </c>
      <c r="K8" s="20"/>
    </row>
    <row r="9" spans="2:13" x14ac:dyDescent="0.3">
      <c r="C9" t="s">
        <v>289</v>
      </c>
      <c r="D9" t="str">
        <f>IFERROR(VLOOKUP(C9,'DATA MASTER'!A:O,2,0)," ")</f>
        <v>Panel Bailey STOCK</v>
      </c>
      <c r="E9" t="str">
        <f>IFERROR(VLOOKUP(C9,'DATA MASTER'!A:V,4,0)," ")</f>
        <v>KOMPONEN BAILEY</v>
      </c>
      <c r="F9" s="35" t="s">
        <v>262</v>
      </c>
      <c r="G9" s="186">
        <f>135000</f>
        <v>135000</v>
      </c>
      <c r="H9" s="52">
        <v>10</v>
      </c>
      <c r="I9" s="27">
        <f>Table328[[#This Row],[Qty
(pcs)]]*Table328[[#This Row],[Harga Satuan
(Rp)]]</f>
        <v>1350000</v>
      </c>
      <c r="J9" s="183">
        <v>45027</v>
      </c>
      <c r="K9" s="20"/>
    </row>
    <row r="10" spans="2:13" ht="18" x14ac:dyDescent="0.35">
      <c r="B10" s="38" t="s">
        <v>408</v>
      </c>
      <c r="C10" t="s">
        <v>358</v>
      </c>
      <c r="D10" t="str">
        <f>IFERROR(VLOOKUP(C10,'DATA MASTER'!A:O,2,0)," ")</f>
        <v>Panel Bailey</v>
      </c>
      <c r="E10" t="str">
        <f>IFERROR(VLOOKUP(C10,'DATA MASTER'!A:V,4,0)," ")</f>
        <v>30 DSR2-EW</v>
      </c>
      <c r="F10" s="35" t="s">
        <v>260</v>
      </c>
      <c r="G10" s="186">
        <f>38000</f>
        <v>38000</v>
      </c>
      <c r="H10" s="52">
        <f>2</f>
        <v>2</v>
      </c>
      <c r="I10" s="27">
        <f>Table328[[#This Row],[Qty
(pcs)]]*Table328[[#This Row],[Harga Satuan
(Rp)]]</f>
        <v>76000</v>
      </c>
      <c r="J10" s="183">
        <v>45058</v>
      </c>
      <c r="K10" s="20"/>
    </row>
    <row r="11" spans="2:13" x14ac:dyDescent="0.3">
      <c r="C11" t="s">
        <v>305</v>
      </c>
      <c r="D11" t="str">
        <f>IFERROR(VLOOKUP(C11,'DATA MASTER'!A:O,2,0)," ")</f>
        <v>Panel Bailey</v>
      </c>
      <c r="E11" t="str">
        <f>IFERROR(VLOOKUP(C11,'DATA MASTER'!A:V,4,0)," ")</f>
        <v>24 DSR2-EW</v>
      </c>
      <c r="F11" s="35" t="s">
        <v>407</v>
      </c>
      <c r="G11" s="186">
        <f>38000</f>
        <v>38000</v>
      </c>
      <c r="H11" s="52">
        <f>3</f>
        <v>3</v>
      </c>
      <c r="I11" s="27">
        <f>Table328[[#This Row],[Qty
(pcs)]]*Table328[[#This Row],[Harga Satuan
(Rp)]]</f>
        <v>114000</v>
      </c>
      <c r="J11" s="183">
        <v>45058</v>
      </c>
      <c r="K11" s="20"/>
    </row>
    <row r="12" spans="2:13" ht="18" x14ac:dyDescent="0.35">
      <c r="B12" s="38"/>
      <c r="C12" t="s">
        <v>310</v>
      </c>
      <c r="D12" t="str">
        <f>IFERROR(VLOOKUP(C12,'DATA MASTER'!A:O,2,0)," ")</f>
        <v>Panel Bailey</v>
      </c>
      <c r="E12" t="str">
        <f>IFERROR(VLOOKUP(C12,'DATA MASTER'!A:V,4,0)," ")</f>
        <v>18 DSR2-EW</v>
      </c>
      <c r="F12" s="35" t="s">
        <v>260</v>
      </c>
      <c r="G12" s="186">
        <f>380000</f>
        <v>380000</v>
      </c>
      <c r="H12" s="52">
        <f>1</f>
        <v>1</v>
      </c>
      <c r="I12" s="27">
        <f>Table328[[#This Row],[Qty
(pcs)]]*Table328[[#This Row],[Harga Satuan
(Rp)]]</f>
        <v>380000</v>
      </c>
      <c r="J12" s="183">
        <v>45058</v>
      </c>
      <c r="K12" s="20"/>
    </row>
    <row r="13" spans="2:13" x14ac:dyDescent="0.3">
      <c r="C13" t="s">
        <v>310</v>
      </c>
      <c r="D13" t="str">
        <f>IFERROR(VLOOKUP(C13,'DATA MASTER'!A:O,2,0)," ")</f>
        <v>Panel Bailey</v>
      </c>
      <c r="E13" t="str">
        <f>IFERROR(VLOOKUP(C13,'DATA MASTER'!A:V,4,0)," ")</f>
        <v>18 DSR2-EW</v>
      </c>
      <c r="F13" s="35" t="s">
        <v>262</v>
      </c>
      <c r="G13" s="186">
        <f>150000</f>
        <v>150000</v>
      </c>
      <c r="H13" s="52">
        <f>1</f>
        <v>1</v>
      </c>
      <c r="I13" s="27">
        <f>Table328[[#This Row],[Qty
(pcs)]]*Table328[[#This Row],[Harga Satuan
(Rp)]]</f>
        <v>150000</v>
      </c>
      <c r="J13" s="183">
        <v>45063</v>
      </c>
      <c r="K13" s="20"/>
    </row>
    <row r="14" spans="2:13" x14ac:dyDescent="0.3">
      <c r="C14" t="s">
        <v>309</v>
      </c>
      <c r="D14" t="str">
        <f>IFERROR(VLOOKUP(C14,'DATA MASTER'!A:O,2,0)," ")</f>
        <v>Panel Bailey</v>
      </c>
      <c r="E14" t="str">
        <f>IFERROR(VLOOKUP(C14,'DATA MASTER'!A:V,4,0)," ")</f>
        <v>18 DSR1-EW</v>
      </c>
      <c r="F14" s="35" t="s">
        <v>262</v>
      </c>
      <c r="G14" s="186">
        <f>150000</f>
        <v>150000</v>
      </c>
      <c r="H14" s="52">
        <f>1</f>
        <v>1</v>
      </c>
      <c r="I14" s="27">
        <f>Table328[[#This Row],[Qty
(pcs)]]*Table328[[#This Row],[Harga Satuan
(Rp)]]</f>
        <v>150000</v>
      </c>
      <c r="J14" s="183">
        <v>45063</v>
      </c>
      <c r="K14" s="20"/>
    </row>
    <row r="15" spans="2:13" x14ac:dyDescent="0.3">
      <c r="C15" t="s">
        <v>308</v>
      </c>
      <c r="D15" t="str">
        <f>IFERROR(VLOOKUP(C15,'DATA MASTER'!A:O,2,0)," ")</f>
        <v>Panel Bailey</v>
      </c>
      <c r="E15" t="str">
        <f>IFERROR(VLOOKUP(C15,'DATA MASTER'!A:V,4,0)," ")</f>
        <v>21 DS-EW</v>
      </c>
      <c r="F15" s="35" t="s">
        <v>262</v>
      </c>
      <c r="G15" s="186">
        <f>150000</f>
        <v>150000</v>
      </c>
      <c r="H15" s="52">
        <f>2</f>
        <v>2</v>
      </c>
      <c r="I15" s="27">
        <f>Table328[[#This Row],[Qty
(pcs)]]*Table328[[#This Row],[Harga Satuan
(Rp)]]</f>
        <v>300000</v>
      </c>
      <c r="J15" s="183">
        <v>45063</v>
      </c>
      <c r="K15" s="20"/>
    </row>
    <row r="16" spans="2:13" x14ac:dyDescent="0.3">
      <c r="C16" t="s">
        <v>367</v>
      </c>
      <c r="D16" t="str">
        <f>IFERROR(VLOOKUP(C16,'DATA MASTER'!A:O,2,0)," ")</f>
        <v>Panel Bailey</v>
      </c>
      <c r="E16" t="str">
        <f>IFERROR(VLOOKUP(C16,'DATA MASTER'!A:V,4,0)," ")</f>
        <v>33 DSR2H*-EW (U120)</v>
      </c>
      <c r="F16" s="35" t="s">
        <v>262</v>
      </c>
      <c r="G16" s="186">
        <f>150000</f>
        <v>150000</v>
      </c>
      <c r="H16" s="52">
        <v>3</v>
      </c>
      <c r="I16" s="27">
        <f>Table328[[#This Row],[Qty
(pcs)]]*Table328[[#This Row],[Harga Satuan
(Rp)]]</f>
        <v>450000</v>
      </c>
      <c r="J16" s="183">
        <v>45063</v>
      </c>
      <c r="K16" s="20"/>
    </row>
    <row r="17" spans="2:11" x14ac:dyDescent="0.3">
      <c r="C17" t="s">
        <v>418</v>
      </c>
      <c r="D17" t="str">
        <f>IFERROR(VLOOKUP(C17,'DATA MASTER'!A:O,2,0)," ")</f>
        <v>Panel Bailey</v>
      </c>
      <c r="E17" t="str">
        <f>IFERROR(VLOOKUP(C17,'DATA MASTER'!A:V,4,0)," ")</f>
        <v>36 DSR2-EW</v>
      </c>
      <c r="F17" s="35" t="s">
        <v>262</v>
      </c>
      <c r="G17" s="186">
        <f>150000</f>
        <v>150000</v>
      </c>
      <c r="H17" s="52">
        <f>4</f>
        <v>4</v>
      </c>
      <c r="I17" s="27">
        <f>Table328[[#This Row],[Qty
(pcs)]]*Table328[[#This Row],[Harga Satuan
(Rp)]]</f>
        <v>600000</v>
      </c>
      <c r="J17" s="183">
        <v>45071</v>
      </c>
      <c r="K17" s="20"/>
    </row>
    <row r="18" spans="2:11" ht="18" x14ac:dyDescent="0.35">
      <c r="B18" s="38" t="s">
        <v>460</v>
      </c>
      <c r="C18" t="s">
        <v>422</v>
      </c>
      <c r="D18" t="str">
        <f>IFERROR(VLOOKUP(C18,'DATA MASTER'!A:O,2,0)," ")</f>
        <v>Panel Bailey</v>
      </c>
      <c r="E18" t="str">
        <f>IFERROR(VLOOKUP(C18,'DATA MASTER'!A:V,4,0)," ")</f>
        <v>30 DSR2-EW</v>
      </c>
      <c r="F18" s="35" t="s">
        <v>262</v>
      </c>
      <c r="G18" s="186">
        <v>150000</v>
      </c>
      <c r="H18" s="52">
        <v>2</v>
      </c>
      <c r="I18" s="27">
        <f>Table328[[#This Row],[Qty
(pcs)]]*Table328[[#This Row],[Harga Satuan
(Rp)]]</f>
        <v>300000</v>
      </c>
      <c r="J18" s="183">
        <v>45079</v>
      </c>
      <c r="K18" s="20" t="s">
        <v>236</v>
      </c>
    </row>
    <row r="19" spans="2:11" x14ac:dyDescent="0.3">
      <c r="C19" t="s">
        <v>290</v>
      </c>
      <c r="D19" t="str">
        <f>IFERROR(VLOOKUP(C19,'DATA MASTER'!A:O,2,0)," ")</f>
        <v>Panel Bailey</v>
      </c>
      <c r="E19" t="str">
        <f>IFERROR(VLOOKUP(C19,'DATA MASTER'!A:V,4,0)," ")</f>
        <v>45 DSR2H**-EW (U120)</v>
      </c>
      <c r="F19" s="35" t="s">
        <v>262</v>
      </c>
      <c r="G19" s="186">
        <v>150000</v>
      </c>
      <c r="H19" s="52">
        <v>3</v>
      </c>
      <c r="I19" s="27">
        <f>Table328[[#This Row],[Qty
(pcs)]]*Table328[[#This Row],[Harga Satuan
(Rp)]]</f>
        <v>450000</v>
      </c>
      <c r="J19" s="183">
        <v>45079</v>
      </c>
      <c r="K19" s="20" t="s">
        <v>236</v>
      </c>
    </row>
    <row r="20" spans="2:11" x14ac:dyDescent="0.3">
      <c r="C20" t="s">
        <v>469</v>
      </c>
      <c r="D20" t="str">
        <f>IFERROR(VLOOKUP(C20,'DATA MASTER'!A:O,2,0)," ")</f>
        <v>Girder Spesial</v>
      </c>
      <c r="E20" t="str">
        <f>IFERROR(VLOOKUP(C20,'DATA MASTER'!A:V,4,0)," ")</f>
        <v>GD14</v>
      </c>
      <c r="F20" s="35" t="s">
        <v>262</v>
      </c>
      <c r="G20" s="186">
        <v>150000</v>
      </c>
      <c r="H20" s="52">
        <v>2</v>
      </c>
      <c r="I20" s="27">
        <f>Table328[[#This Row],[Qty
(pcs)]]*Table328[[#This Row],[Harga Satuan
(Rp)]]</f>
        <v>300000</v>
      </c>
      <c r="J20" s="183">
        <v>45091</v>
      </c>
      <c r="K20" s="39"/>
    </row>
    <row r="21" spans="2:11" x14ac:dyDescent="0.3">
      <c r="C21" t="s">
        <v>479</v>
      </c>
      <c r="D21" t="str">
        <f>IFERROR(VLOOKUP(C21,'DATA MASTER'!A:O,2,0)," ")</f>
        <v>Girder Spesial</v>
      </c>
      <c r="E21" t="str">
        <f>IFERROR(VLOOKUP(C21,'DATA MASTER'!A:V,4,0)," ")</f>
        <v>GD16</v>
      </c>
      <c r="F21" s="35" t="s">
        <v>262</v>
      </c>
      <c r="G21" s="186">
        <v>150000</v>
      </c>
      <c r="H21" s="52">
        <v>4</v>
      </c>
      <c r="I21" s="27">
        <f>Table328[[#This Row],[Qty
(pcs)]]*Table328[[#This Row],[Harga Satuan
(Rp)]]</f>
        <v>600000</v>
      </c>
      <c r="J21" s="183">
        <v>45091</v>
      </c>
      <c r="K21" s="141"/>
    </row>
    <row r="22" spans="2:11" x14ac:dyDescent="0.3">
      <c r="C22" t="s">
        <v>482</v>
      </c>
      <c r="D22" t="str">
        <f>IFERROR(VLOOKUP(C22,'DATA MASTER'!A:O,2,0)," ")</f>
        <v>Girder Spesial</v>
      </c>
      <c r="E22" t="str">
        <f>IFERROR(VLOOKUP(C22,'DATA MASTER'!A:V,4,0)," ")</f>
        <v>GD18</v>
      </c>
      <c r="F22" s="35" t="s">
        <v>262</v>
      </c>
      <c r="G22" s="186">
        <v>150000</v>
      </c>
      <c r="H22" s="52">
        <v>2</v>
      </c>
      <c r="I22" s="27">
        <f>Table328[[#This Row],[Qty
(pcs)]]*Table328[[#This Row],[Harga Satuan
(Rp)]]</f>
        <v>300000</v>
      </c>
      <c r="J22" s="183">
        <v>45091</v>
      </c>
      <c r="K22" s="142"/>
    </row>
    <row r="23" spans="2:11" x14ac:dyDescent="0.3">
      <c r="C23" t="s">
        <v>487</v>
      </c>
      <c r="D23" t="str">
        <f>IFERROR(VLOOKUP(C23,'DATA MASTER'!A:O,2,0)," ")</f>
        <v>Girder Spesial</v>
      </c>
      <c r="E23" t="str">
        <f>IFERROR(VLOOKUP(C23,'DATA MASTER'!A:V,4,0)," ")</f>
        <v>GD20</v>
      </c>
      <c r="F23" s="35" t="s">
        <v>262</v>
      </c>
      <c r="G23" s="186">
        <v>150000</v>
      </c>
      <c r="H23" s="52">
        <v>2</v>
      </c>
      <c r="I23" s="27">
        <f>Table328[[#This Row],[Qty
(pcs)]]*Table328[[#This Row],[Harga Satuan
(Rp)]]</f>
        <v>300000</v>
      </c>
      <c r="J23" s="183">
        <v>45091</v>
      </c>
      <c r="K23" s="143"/>
    </row>
    <row r="24" spans="2:11" x14ac:dyDescent="0.3">
      <c r="C24" t="s">
        <v>489</v>
      </c>
      <c r="D24" t="str">
        <f>IFERROR(VLOOKUP(C24,'DATA MASTER'!A:O,2,0)," ")</f>
        <v>Girder</v>
      </c>
      <c r="E24" t="str">
        <f>IFERROR(VLOOKUP(C24,'DATA MASTER'!A:V,4,0)," ")</f>
        <v>BG25</v>
      </c>
      <c r="F24" s="35" t="s">
        <v>262</v>
      </c>
      <c r="G24" s="186">
        <v>150000</v>
      </c>
      <c r="H24" s="52">
        <v>2</v>
      </c>
      <c r="I24" s="27">
        <f>Table328[[#This Row],[Qty
(pcs)]]*Table328[[#This Row],[Harga Satuan
(Rp)]]</f>
        <v>300000</v>
      </c>
      <c r="J24" s="183">
        <v>45091</v>
      </c>
      <c r="K24" s="144"/>
    </row>
    <row r="25" spans="2:11" x14ac:dyDescent="0.3">
      <c r="C25" t="s">
        <v>498</v>
      </c>
      <c r="D25" t="str">
        <f>IFERROR(VLOOKUP(C25,'DATA MASTER'!A:O,2,0)," ")</f>
        <v>Truss Modullar</v>
      </c>
      <c r="E25" t="str">
        <f>IFERROR(VLOOKUP(C25,'DATA MASTER'!A:V,4,0)," ")</f>
        <v>KOMPONEN STRINGGER</v>
      </c>
      <c r="F25" s="35" t="s">
        <v>262</v>
      </c>
      <c r="G25" s="186">
        <v>150000</v>
      </c>
      <c r="H25" s="52">
        <v>1</v>
      </c>
      <c r="I25" s="27">
        <f>Table328[[#This Row],[Qty
(pcs)]]*Table328[[#This Row],[Harga Satuan
(Rp)]]</f>
        <v>150000</v>
      </c>
      <c r="J25" s="183">
        <v>45091</v>
      </c>
      <c r="K25" s="145"/>
    </row>
    <row r="26" spans="2:11" x14ac:dyDescent="0.3">
      <c r="C26" t="s">
        <v>504</v>
      </c>
      <c r="D26" t="str">
        <f>IFERROR(VLOOKUP(C26,'DATA MASTER'!A:O,2,0)," ")</f>
        <v>Girder</v>
      </c>
      <c r="E26" t="str">
        <f>IFERROR(VLOOKUP(C26,'DATA MASTER'!A:V,4,0)," ")</f>
        <v>BG25</v>
      </c>
      <c r="F26" s="35" t="s">
        <v>262</v>
      </c>
      <c r="G26" s="186">
        <v>150000</v>
      </c>
      <c r="H26" s="52">
        <v>2</v>
      </c>
      <c r="I26" s="27">
        <f>Table328[[#This Row],[Qty
(pcs)]]*Table328[[#This Row],[Harga Satuan
(Rp)]]</f>
        <v>300000</v>
      </c>
      <c r="J26" s="183">
        <v>45091</v>
      </c>
      <c r="K26" s="146"/>
    </row>
    <row r="27" spans="2:11" x14ac:dyDescent="0.3">
      <c r="C27" t="s">
        <v>514</v>
      </c>
      <c r="D27" t="str">
        <f>IFERROR(VLOOKUP(C27,'DATA MASTER'!A:O,2,0)," ")</f>
        <v>Girder</v>
      </c>
      <c r="E27" t="str">
        <f>IFERROR(VLOOKUP(C27,'DATA MASTER'!A:V,4,0)," ")</f>
        <v>BG30</v>
      </c>
      <c r="F27" s="35" t="s">
        <v>262</v>
      </c>
      <c r="G27" s="186">
        <v>150000</v>
      </c>
      <c r="H27" s="52">
        <v>3</v>
      </c>
      <c r="I27" s="27">
        <f>Table328[[#This Row],[Qty
(pcs)]]*Table328[[#This Row],[Harga Satuan
(Rp)]]</f>
        <v>450000</v>
      </c>
      <c r="J27" s="183">
        <v>45091</v>
      </c>
      <c r="K27" s="147"/>
    </row>
    <row r="28" spans="2:11" x14ac:dyDescent="0.3">
      <c r="C28" t="s">
        <v>518</v>
      </c>
      <c r="D28" t="str">
        <f>IFERROR(VLOOKUP(C28,'DATA MASTER'!A:O,2,0)," ")</f>
        <v>Girder</v>
      </c>
      <c r="E28" t="str">
        <f>IFERROR(VLOOKUP(C28,'DATA MASTER'!A:V,4,0)," ")</f>
        <v>CG30</v>
      </c>
      <c r="F28" s="35" t="s">
        <v>262</v>
      </c>
      <c r="G28" s="186">
        <v>150000</v>
      </c>
      <c r="H28" s="52">
        <v>3</v>
      </c>
      <c r="I28" s="27">
        <f>Table328[[#This Row],[Qty
(pcs)]]*Table328[[#This Row],[Harga Satuan
(Rp)]]</f>
        <v>450000</v>
      </c>
      <c r="J28" s="183">
        <v>45091</v>
      </c>
      <c r="K28" s="148"/>
    </row>
    <row r="29" spans="2:11" x14ac:dyDescent="0.3">
      <c r="C29" t="s">
        <v>548</v>
      </c>
      <c r="D29" t="str">
        <f>IFERROR(VLOOKUP(C29,'DATA MASTER'!A:O,2,0)," ")</f>
        <v>Girder</v>
      </c>
      <c r="E29" t="str">
        <f>IFERROR(VLOOKUP(C29,'DATA MASTER'!A:V,4,0)," ")</f>
        <v>BG35</v>
      </c>
      <c r="F29" s="35" t="s">
        <v>262</v>
      </c>
      <c r="G29" s="186">
        <v>150000</v>
      </c>
      <c r="H29" s="52">
        <v>3</v>
      </c>
      <c r="I29" s="27">
        <f>Table328[[#This Row],[Qty
(pcs)]]*Table328[[#This Row],[Harga Satuan
(Rp)]]</f>
        <v>450000</v>
      </c>
      <c r="J29" s="183">
        <v>45091</v>
      </c>
      <c r="K29" s="149"/>
    </row>
    <row r="30" spans="2:11" ht="18" x14ac:dyDescent="0.35">
      <c r="B30" s="38" t="s">
        <v>631</v>
      </c>
      <c r="C30" t="s">
        <v>498</v>
      </c>
      <c r="D30" t="str">
        <f>IFERROR(VLOOKUP(C30,'DATA MASTER'!A:O,2,0)," ")</f>
        <v>Truss Modullar</v>
      </c>
      <c r="E30" t="str">
        <f>IFERROR(VLOOKUP(C30,'DATA MASTER'!A:V,4,0)," ")</f>
        <v>KOMPONEN STRINGGER</v>
      </c>
      <c r="F30" s="35" t="s">
        <v>260</v>
      </c>
      <c r="G30" s="186">
        <v>38000</v>
      </c>
      <c r="H30" s="52">
        <v>3</v>
      </c>
      <c r="I30" s="27">
        <f>Table328[[#This Row],[Qty
(pcs)]]*Table328[[#This Row],[Harga Satuan
(Rp)]]</f>
        <v>114000</v>
      </c>
      <c r="J30" s="183">
        <v>45113</v>
      </c>
      <c r="K30" s="150"/>
    </row>
    <row r="31" spans="2:11" x14ac:dyDescent="0.3">
      <c r="C31" t="s">
        <v>676</v>
      </c>
      <c r="D31" t="str">
        <f>IFERROR(VLOOKUP(C31,'DATA MASTER'!A:O,2,0)," ")</f>
        <v>Truss Modullar</v>
      </c>
      <c r="E31" t="str">
        <f>IFERROR(VLOOKUP(C31,'DATA MASTER'!A:V,4,0)," ")</f>
        <v>RB60-BU+LINKSET</v>
      </c>
      <c r="F31" s="35" t="s">
        <v>682</v>
      </c>
      <c r="G31" s="186">
        <v>250000</v>
      </c>
      <c r="H31" s="52">
        <v>6</v>
      </c>
      <c r="I31" s="27">
        <f>Table328[[#This Row],[Qty
(pcs)]]*Table328[[#This Row],[Harga Satuan
(Rp)]]</f>
        <v>1500000</v>
      </c>
      <c r="J31" s="183">
        <v>45123</v>
      </c>
      <c r="K31" s="160"/>
    </row>
    <row r="32" spans="2:11" x14ac:dyDescent="0.3">
      <c r="C32" t="s">
        <v>676</v>
      </c>
      <c r="D32" t="str">
        <f>IFERROR(VLOOKUP(C32,'DATA MASTER'!A:O,2,0)," ")</f>
        <v>Truss Modullar</v>
      </c>
      <c r="E32" t="str">
        <f>IFERROR(VLOOKUP(C32,'DATA MASTER'!A:V,4,0)," ")</f>
        <v>RB60-BU+LINKSET</v>
      </c>
      <c r="F32" s="35" t="s">
        <v>263</v>
      </c>
      <c r="G32" s="186">
        <v>12500</v>
      </c>
      <c r="H32" s="52">
        <v>40</v>
      </c>
      <c r="I32" s="27">
        <f>Table328[[#This Row],[Qty
(pcs)]]*Table328[[#This Row],[Harga Satuan
(Rp)]]</f>
        <v>500000</v>
      </c>
      <c r="J32" s="183">
        <v>45123</v>
      </c>
      <c r="K32" s="161"/>
    </row>
    <row r="33" spans="2:11" x14ac:dyDescent="0.3">
      <c r="C33" t="s">
        <v>676</v>
      </c>
      <c r="D33" t="str">
        <f>IFERROR(VLOOKUP(C33,'DATA MASTER'!A:O,2,0)," ")</f>
        <v>Truss Modullar</v>
      </c>
      <c r="E33" t="str">
        <f>IFERROR(VLOOKUP(C33,'DATA MASTER'!A:V,4,0)," ")</f>
        <v>RB60-BU+LINKSET</v>
      </c>
      <c r="F33" s="35" t="s">
        <v>260</v>
      </c>
      <c r="G33" s="186">
        <v>38000</v>
      </c>
      <c r="H33" s="52">
        <v>4</v>
      </c>
      <c r="I33" s="27">
        <f>Table328[[#This Row],[Qty
(pcs)]]*Table328[[#This Row],[Harga Satuan
(Rp)]]</f>
        <v>152000</v>
      </c>
      <c r="J33" s="183">
        <v>45123</v>
      </c>
      <c r="K33" s="166"/>
    </row>
    <row r="34" spans="2:11" x14ac:dyDescent="0.3">
      <c r="C34" t="s">
        <v>676</v>
      </c>
      <c r="D34" t="str">
        <f>IFERROR(VLOOKUP(C34,'DATA MASTER'!A:O,2,0)," ")</f>
        <v>Truss Modullar</v>
      </c>
      <c r="E34" t="str">
        <f>IFERROR(VLOOKUP(C34,'DATA MASTER'!A:V,4,0)," ")</f>
        <v>RB60-BU+LINKSET</v>
      </c>
      <c r="F34" s="35" t="s">
        <v>263</v>
      </c>
      <c r="G34" s="186">
        <v>12500</v>
      </c>
      <c r="H34" s="52">
        <v>80</v>
      </c>
      <c r="I34" s="27">
        <f>Table328[[#This Row],[Qty
(pcs)]]*Table328[[#This Row],[Harga Satuan
(Rp)]]</f>
        <v>1000000</v>
      </c>
      <c r="J34" s="183">
        <v>45126</v>
      </c>
      <c r="K34" s="167"/>
    </row>
    <row r="35" spans="2:11" x14ac:dyDescent="0.3">
      <c r="C35" t="s">
        <v>442</v>
      </c>
      <c r="D35" t="str">
        <f>IFERROR(VLOOKUP(C35,'DATA MASTER'!A:O,2,0)," ")</f>
        <v>Panel Bailey</v>
      </c>
      <c r="E35" t="str">
        <f>IFERROR(VLOOKUP(C35,'DATA MASTER'!A:V,4,0)," ")</f>
        <v>30 DSR2-EW</v>
      </c>
      <c r="F35" s="35" t="s">
        <v>260</v>
      </c>
      <c r="G35" s="186">
        <v>38000</v>
      </c>
      <c r="H35" s="52">
        <v>2</v>
      </c>
      <c r="I35" s="27">
        <f>Table328[[#This Row],[Qty
(pcs)]]*Table328[[#This Row],[Harga Satuan
(Rp)]]</f>
        <v>76000</v>
      </c>
      <c r="J35" s="183">
        <v>45126</v>
      </c>
      <c r="K35" s="169" t="s">
        <v>684</v>
      </c>
    </row>
    <row r="36" spans="2:11" x14ac:dyDescent="0.3">
      <c r="C36" t="s">
        <v>676</v>
      </c>
      <c r="D36" t="str">
        <f>IFERROR(VLOOKUP(C36,'DATA MASTER'!A:O,2,0)," ")</f>
        <v>Truss Modullar</v>
      </c>
      <c r="E36" t="str">
        <f>IFERROR(VLOOKUP(C36,'DATA MASTER'!A:V,4,0)," ")</f>
        <v>RB60-BU+LINKSET</v>
      </c>
      <c r="F36" s="35" t="s">
        <v>683</v>
      </c>
      <c r="G36" s="186">
        <v>100000</v>
      </c>
      <c r="H36" s="52">
        <v>1</v>
      </c>
      <c r="I36" s="27">
        <f>Table328[[#This Row],[Qty
(pcs)]]*Table328[[#This Row],[Harga Satuan
(Rp)]]</f>
        <v>100000</v>
      </c>
      <c r="J36" s="183">
        <v>45126</v>
      </c>
      <c r="K36" s="168"/>
    </row>
    <row r="37" spans="2:11" x14ac:dyDescent="0.3">
      <c r="C37" t="s">
        <v>676</v>
      </c>
      <c r="D37" t="str">
        <f>IFERROR(VLOOKUP(C37,'DATA MASTER'!A:O,2,0)," ")</f>
        <v>Truss Modullar</v>
      </c>
      <c r="E37" t="str">
        <f>IFERROR(VLOOKUP(C37,'DATA MASTER'!A:V,4,0)," ")</f>
        <v>RB60-BU+LINKSET</v>
      </c>
      <c r="F37" s="35" t="s">
        <v>696</v>
      </c>
      <c r="G37" s="186">
        <v>2000000</v>
      </c>
      <c r="H37" s="52">
        <v>4</v>
      </c>
      <c r="I37" s="27">
        <f>Table328[[#This Row],[Qty
(pcs)]]*Table328[[#This Row],[Harga Satuan
(Rp)]]</f>
        <v>8000000</v>
      </c>
      <c r="J37" s="183"/>
      <c r="K37" s="171"/>
    </row>
    <row r="38" spans="2:11" ht="18" x14ac:dyDescent="0.35">
      <c r="B38" s="38" t="s">
        <v>959</v>
      </c>
      <c r="C38" t="s">
        <v>566</v>
      </c>
      <c r="D38" t="str">
        <f>IFERROR(VLOOKUP(C38,'DATA MASTER'!A:O,2,0)," ")</f>
        <v>Truss Modullar</v>
      </c>
      <c r="E38" t="str">
        <f>IFERROR(VLOOKUP(C38,'DATA MASTER'!A:V,4,0)," ")</f>
        <v>RB50</v>
      </c>
      <c r="F38" s="35" t="s">
        <v>263</v>
      </c>
      <c r="G38" s="186">
        <v>12500</v>
      </c>
      <c r="H38" s="52">
        <v>80</v>
      </c>
      <c r="I38" s="27">
        <f>Table328[[#This Row],[Qty
(pcs)]]*Table328[[#This Row],[Harga Satuan
(Rp)]]</f>
        <v>1000000</v>
      </c>
      <c r="J38" s="183">
        <v>45160</v>
      </c>
      <c r="K38" s="171"/>
    </row>
    <row r="39" spans="2:11" x14ac:dyDescent="0.3">
      <c r="C39" t="s">
        <v>566</v>
      </c>
      <c r="D39" t="str">
        <f>IFERROR(VLOOKUP(C39,'DATA MASTER'!A:O,2,0)," ")</f>
        <v>Truss Modullar</v>
      </c>
      <c r="E39" t="str">
        <f>IFERROR(VLOOKUP(C39,'DATA MASTER'!A:V,4,0)," ")</f>
        <v>RB50</v>
      </c>
      <c r="F39" s="35" t="s">
        <v>682</v>
      </c>
      <c r="G39" s="186">
        <v>250000</v>
      </c>
      <c r="H39" s="52">
        <v>4</v>
      </c>
      <c r="I39" s="27">
        <f>Table328[[#This Row],[Qty
(pcs)]]*Table328[[#This Row],[Harga Satuan
(Rp)]]</f>
        <v>1000000</v>
      </c>
      <c r="J39" s="184">
        <v>45159</v>
      </c>
      <c r="K39" s="171"/>
    </row>
    <row r="40" spans="2:11" x14ac:dyDescent="0.3">
      <c r="C40" t="s">
        <v>566</v>
      </c>
      <c r="D40" t="str">
        <f>IFERROR(VLOOKUP(C40,'DATA MASTER'!A:O,2,0)," ")</f>
        <v>Truss Modullar</v>
      </c>
      <c r="E40" t="str">
        <f>IFERROR(VLOOKUP(C40,'DATA MASTER'!A:V,4,0)," ")</f>
        <v>RB50</v>
      </c>
      <c r="F40" s="35" t="s">
        <v>260</v>
      </c>
      <c r="G40" s="186">
        <v>38000</v>
      </c>
      <c r="H40" s="52">
        <v>4</v>
      </c>
      <c r="I40" s="27">
        <f>Table328[[#This Row],[Qty
(pcs)]]*Table328[[#This Row],[Harga Satuan
(Rp)]]</f>
        <v>152000</v>
      </c>
      <c r="J40" s="184">
        <v>45159</v>
      </c>
      <c r="K40" s="171"/>
    </row>
    <row r="41" spans="2:11" x14ac:dyDescent="0.3">
      <c r="C41" t="s">
        <v>514</v>
      </c>
      <c r="D41" t="str">
        <f>IFERROR(VLOOKUP(C41,'DATA MASTER'!A:O,2,0)," ")</f>
        <v>Girder</v>
      </c>
      <c r="E41" t="str">
        <f>IFERROR(VLOOKUP(C41,'DATA MASTER'!A:V,4,0)," ")</f>
        <v>BG30</v>
      </c>
      <c r="F41" s="35"/>
      <c r="G41" s="186"/>
      <c r="H41" s="52"/>
      <c r="I41" s="27"/>
      <c r="J41" s="184"/>
      <c r="K41" s="171"/>
    </row>
    <row r="42" spans="2:11" x14ac:dyDescent="0.3">
      <c r="C42" t="s">
        <v>685</v>
      </c>
      <c r="D42" t="str">
        <f>IFERROR(VLOOKUP(C42,'DATA MASTER'!A:O,2,0)," ")</f>
        <v>Girder</v>
      </c>
      <c r="E42" t="str">
        <f>IFERROR(VLOOKUP(C42,'DATA MASTER'!A:V,4,0)," ")</f>
        <v>CG12</v>
      </c>
      <c r="F42" s="35"/>
      <c r="G42" s="186"/>
      <c r="H42" s="52"/>
      <c r="I42" s="27"/>
      <c r="J42" s="184"/>
      <c r="K42" s="171"/>
    </row>
    <row r="43" spans="2:11" x14ac:dyDescent="0.3">
      <c r="C43" t="s">
        <v>627</v>
      </c>
      <c r="D43" t="str">
        <f>IFERROR(VLOOKUP(C43,'DATA MASTER'!A:O,2,0)," ")</f>
        <v>Panel Bailey</v>
      </c>
      <c r="E43" t="str">
        <f>IFERROR(VLOOKUP(C43,'DATA MASTER'!A:V,4,0)," ")</f>
        <v>30 SSR-EW</v>
      </c>
      <c r="F43" s="35"/>
      <c r="G43" s="186"/>
      <c r="H43" s="52"/>
      <c r="I43" s="27"/>
      <c r="J43" s="184"/>
      <c r="K43" s="171"/>
    </row>
    <row r="44" spans="2:11" x14ac:dyDescent="0.3">
      <c r="D44" t="str">
        <f>IFERROR(VLOOKUP(C44,'DATA MASTER'!A:O,2,0)," ")</f>
        <v xml:space="preserve"> </v>
      </c>
      <c r="E44" t="str">
        <f>IFERROR(VLOOKUP(C44,'DATA MASTER'!A:V,4,0)," ")</f>
        <v xml:space="preserve"> </v>
      </c>
      <c r="F44" s="35"/>
      <c r="G44" s="186"/>
      <c r="H44" s="52"/>
      <c r="I44" s="27"/>
      <c r="J44" s="184"/>
      <c r="K44" s="171"/>
    </row>
    <row r="45" spans="2:11" x14ac:dyDescent="0.3">
      <c r="D45" t="str">
        <f>IFERROR(VLOOKUP(C45,'DATA MASTER'!A:O,2,0)," ")</f>
        <v xml:space="preserve"> </v>
      </c>
      <c r="E45" t="str">
        <f>IFERROR(VLOOKUP(C45,'DATA MASTER'!A:V,4,0)," ")</f>
        <v xml:space="preserve"> </v>
      </c>
      <c r="F45" s="35"/>
      <c r="G45" s="186"/>
      <c r="H45" s="52"/>
      <c r="I45" s="27"/>
      <c r="J45" s="184"/>
      <c r="K45" s="171"/>
    </row>
    <row r="46" spans="2:11" x14ac:dyDescent="0.3">
      <c r="D46" t="str">
        <f>IFERROR(VLOOKUP(C46,'DATA MASTER'!A:O,2,0)," ")</f>
        <v xml:space="preserve"> </v>
      </c>
      <c r="E46" t="str">
        <f>IFERROR(VLOOKUP(C46,'DATA MASTER'!A:V,4,0)," ")</f>
        <v xml:space="preserve"> </v>
      </c>
      <c r="F46" s="35"/>
      <c r="G46" s="186"/>
      <c r="H46" s="52"/>
      <c r="I46" s="27"/>
      <c r="J46" s="184"/>
      <c r="K46" s="171"/>
    </row>
    <row r="47" spans="2:11" x14ac:dyDescent="0.3">
      <c r="D47" t="str">
        <f>IFERROR(VLOOKUP(C47,'DATA MASTER'!A:O,2,0)," ")</f>
        <v xml:space="preserve"> </v>
      </c>
      <c r="E47" t="str">
        <f>IFERROR(VLOOKUP(C47,'DATA MASTER'!A:V,4,0)," ")</f>
        <v xml:space="preserve"> </v>
      </c>
      <c r="F47" s="35"/>
      <c r="G47" s="186"/>
      <c r="H47" s="52"/>
      <c r="I47" s="27"/>
      <c r="J47" s="184"/>
      <c r="K47" s="171"/>
    </row>
    <row r="48" spans="2:11" x14ac:dyDescent="0.3">
      <c r="D48" t="str">
        <f>IFERROR(VLOOKUP(C48,'DATA MASTER'!A:O,2,0)," ")</f>
        <v xml:space="preserve"> </v>
      </c>
      <c r="E48" t="str">
        <f>IFERROR(VLOOKUP(C48,'DATA MASTER'!A:V,4,0)," ")</f>
        <v xml:space="preserve"> </v>
      </c>
      <c r="F48" s="35"/>
      <c r="G48" s="186"/>
      <c r="H48" s="52"/>
      <c r="I48" s="27"/>
      <c r="J48" s="184"/>
      <c r="K48" s="171"/>
    </row>
    <row r="49" spans="4:11" x14ac:dyDescent="0.3">
      <c r="D49" t="str">
        <f>IFERROR(VLOOKUP(C49,'DATA MASTER'!A:O,2,0)," ")</f>
        <v xml:space="preserve"> </v>
      </c>
      <c r="E49" t="str">
        <f>IFERROR(VLOOKUP(C49,'DATA MASTER'!A:V,4,0)," ")</f>
        <v xml:space="preserve"> </v>
      </c>
      <c r="F49" s="35"/>
      <c r="G49" s="186"/>
      <c r="H49" s="52"/>
      <c r="I49" s="27"/>
      <c r="J49" s="184"/>
      <c r="K49" s="171"/>
    </row>
    <row r="50" spans="4:11" x14ac:dyDescent="0.3">
      <c r="D50" t="str">
        <f>IFERROR(VLOOKUP(C50,'DATA MASTER'!A:O,2,0)," ")</f>
        <v xml:space="preserve"> </v>
      </c>
      <c r="E50" t="str">
        <f>IFERROR(VLOOKUP(C50,'DATA MASTER'!A:V,4,0)," ")</f>
        <v xml:space="preserve"> </v>
      </c>
      <c r="F50" s="35"/>
      <c r="G50" s="186"/>
      <c r="H50" s="52"/>
      <c r="I50" s="27"/>
      <c r="J50" s="184"/>
      <c r="K50" s="171"/>
    </row>
    <row r="51" spans="4:11" x14ac:dyDescent="0.3">
      <c r="D51" t="str">
        <f>IFERROR(VLOOKUP(C51,'DATA MASTER'!A:O,2,0)," ")</f>
        <v xml:space="preserve"> </v>
      </c>
      <c r="E51" t="str">
        <f>IFERROR(VLOOKUP(C51,'DATA MASTER'!A:V,4,0)," ")</f>
        <v xml:space="preserve"> </v>
      </c>
      <c r="F51" s="35"/>
      <c r="G51" s="186"/>
      <c r="H51" s="52"/>
      <c r="I51" s="27"/>
      <c r="J51" s="184"/>
      <c r="K51" s="171"/>
    </row>
    <row r="52" spans="4:11" x14ac:dyDescent="0.3">
      <c r="G52" s="16"/>
      <c r="H52" s="16"/>
      <c r="I52" s="31">
        <f>SUBTOTAL(109,Table328[Total Belanja])</f>
        <v>23510000</v>
      </c>
      <c r="J52" s="31"/>
      <c r="K52" s="20"/>
    </row>
    <row r="55" spans="4:11" x14ac:dyDescent="0.3">
      <c r="F55">
        <f>1500/6</f>
        <v>250</v>
      </c>
      <c r="G55">
        <f>152000/4</f>
        <v>38000</v>
      </c>
    </row>
    <row r="58" spans="4:11" x14ac:dyDescent="0.3">
      <c r="F58">
        <f>500/40</f>
        <v>12.5</v>
      </c>
    </row>
    <row r="61" spans="4:11" x14ac:dyDescent="0.3">
      <c r="F61">
        <f>1350/10</f>
        <v>135</v>
      </c>
    </row>
  </sheetData>
  <pageMargins left="0.23" right="0.24" top="0.28000000000000003" bottom="0.74803149606299213" header="0.31496062992125984" footer="0.31496062992125984"/>
  <pageSetup paperSize="9" scale="75" orientation="landscape" r:id="rId1"/>
  <tableParts count="1">
    <tablePart r:id="rId2"/>
  </tableParts>
  <extLst>
    <ext xmlns:x14="http://schemas.microsoft.com/office/spreadsheetml/2009/9/main" uri="{CCE6A557-97BC-4b89-ADB6-D9C93CAAB3DF}">
      <x14:dataValidations xmlns:xm="http://schemas.microsoft.com/office/excel/2006/main" count="1">
        <x14:dataValidation type="list" allowBlank="1" showInputMessage="1" showErrorMessage="1" xr:uid="{AA5DFFC0-276F-450A-94CF-01D065004008}">
          <x14:formula1>
            <xm:f>'DATA MASTER'!$A:$A</xm:f>
          </x14:formula1>
          <xm:sqref>C53:C1048576 C2:C51</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688340-1D45-4D79-892C-1E0F86F61A1D}">
  <sheetPr codeName="Sheet12">
    <pageSetUpPr fitToPage="1"/>
  </sheetPr>
  <dimension ref="C3:P34"/>
  <sheetViews>
    <sheetView showGridLines="0" topLeftCell="C18" workbookViewId="0">
      <selection activeCell="H16" sqref="H16"/>
    </sheetView>
  </sheetViews>
  <sheetFormatPr defaultRowHeight="14.4" x14ac:dyDescent="0.3"/>
  <cols>
    <col min="4" max="4" width="16.77734375" bestFit="1" customWidth="1"/>
    <col min="5" max="5" width="16" bestFit="1" customWidth="1"/>
    <col min="6" max="6" width="16" hidden="1" customWidth="1"/>
    <col min="7" max="7" width="12.6640625" customWidth="1"/>
    <col min="8" max="8" width="17.109375" customWidth="1"/>
    <col min="9" max="9" width="17.109375" hidden="1" customWidth="1"/>
    <col min="10" max="10" width="13.6640625" customWidth="1"/>
    <col min="11" max="11" width="18.21875" customWidth="1"/>
    <col min="12" max="13" width="20.33203125" customWidth="1"/>
    <col min="14" max="14" width="15" bestFit="1" customWidth="1"/>
    <col min="15" max="16" width="20.33203125" customWidth="1"/>
  </cols>
  <sheetData>
    <row r="3" spans="3:16" ht="23.4" x14ac:dyDescent="0.45">
      <c r="C3" s="273" t="s">
        <v>339</v>
      </c>
      <c r="D3" s="273"/>
      <c r="E3" s="273"/>
      <c r="F3" s="273"/>
      <c r="G3" s="273"/>
      <c r="H3" s="273"/>
      <c r="I3" s="273"/>
      <c r="J3" s="273"/>
      <c r="K3" s="273"/>
      <c r="L3" s="273"/>
      <c r="M3" s="273"/>
      <c r="N3" s="273"/>
      <c r="O3" s="273"/>
      <c r="P3" s="273"/>
    </row>
    <row r="6" spans="3:16" ht="37.799999999999997" customHeight="1" thickBot="1" x14ac:dyDescent="0.35">
      <c r="C6" s="46" t="s">
        <v>0</v>
      </c>
      <c r="D6" s="46" t="s">
        <v>323</v>
      </c>
      <c r="E6" s="47" t="s">
        <v>326</v>
      </c>
      <c r="F6" s="47" t="s">
        <v>337</v>
      </c>
      <c r="G6" s="47" t="s">
        <v>328</v>
      </c>
      <c r="H6" s="47" t="s">
        <v>327</v>
      </c>
      <c r="I6" s="47" t="s">
        <v>338</v>
      </c>
      <c r="J6" s="46" t="s">
        <v>27</v>
      </c>
      <c r="K6" s="46" t="s">
        <v>324</v>
      </c>
      <c r="L6" s="47" t="s">
        <v>325</v>
      </c>
      <c r="M6" s="47" t="s">
        <v>341</v>
      </c>
      <c r="N6" s="47" t="s">
        <v>342</v>
      </c>
      <c r="O6" s="47" t="s">
        <v>346</v>
      </c>
      <c r="P6" s="47" t="s">
        <v>345</v>
      </c>
    </row>
    <row r="7" spans="3:16" ht="15" thickTop="1" x14ac:dyDescent="0.3">
      <c r="C7" s="30">
        <v>1</v>
      </c>
      <c r="D7" s="48" t="s">
        <v>225</v>
      </c>
      <c r="E7" s="50">
        <v>200</v>
      </c>
      <c r="F7" s="50">
        <v>500</v>
      </c>
      <c r="G7" s="49">
        <v>43245.47</v>
      </c>
      <c r="H7" s="50">
        <f>Table10[[#This Row],[Berat
(Kg)]]*Table10[[#This Row],[Harga ke Tim Trial
(Rp)]]</f>
        <v>8649094</v>
      </c>
      <c r="I7" s="50">
        <f>Table10[[#This Row],[Harga ke DHJ]]*Table10[[#This Row],[Berat
(Kg)]]</f>
        <v>21622735</v>
      </c>
      <c r="J7" s="30" t="s">
        <v>329</v>
      </c>
      <c r="K7" s="29">
        <v>44987</v>
      </c>
      <c r="L7" s="51">
        <v>44987</v>
      </c>
      <c r="M7" s="51">
        <v>44992</v>
      </c>
      <c r="N7" s="51"/>
      <c r="O7" s="51" t="s">
        <v>347</v>
      </c>
      <c r="P7" s="45" t="s">
        <v>312</v>
      </c>
    </row>
    <row r="8" spans="3:16" x14ac:dyDescent="0.3">
      <c r="C8" s="30">
        <v>2</v>
      </c>
      <c r="D8" s="48" t="s">
        <v>214</v>
      </c>
      <c r="E8" s="50">
        <v>200</v>
      </c>
      <c r="F8" s="50">
        <v>500</v>
      </c>
      <c r="G8" s="49">
        <v>21962.04</v>
      </c>
      <c r="H8" s="50">
        <f>Table10[[#This Row],[Berat
(Kg)]]*Table10[[#This Row],[Harga ke Tim Trial
(Rp)]]</f>
        <v>4392408</v>
      </c>
      <c r="I8" s="50">
        <f>Table10[[#This Row],[Harga ke DHJ]]*Table10[[#This Row],[Berat
(Kg)]]</f>
        <v>10981020</v>
      </c>
      <c r="J8" s="30" t="s">
        <v>330</v>
      </c>
      <c r="K8" s="29">
        <v>44991</v>
      </c>
      <c r="L8" s="51">
        <v>44991</v>
      </c>
      <c r="M8" s="51">
        <v>44992</v>
      </c>
      <c r="N8" s="51"/>
      <c r="O8" s="51" t="s">
        <v>347</v>
      </c>
      <c r="P8" s="45" t="s">
        <v>312</v>
      </c>
    </row>
    <row r="9" spans="3:16" x14ac:dyDescent="0.3">
      <c r="C9" s="30">
        <v>3</v>
      </c>
      <c r="D9" s="48" t="s">
        <v>225</v>
      </c>
      <c r="E9" s="50">
        <v>200</v>
      </c>
      <c r="F9" s="50">
        <v>500</v>
      </c>
      <c r="G9" s="49">
        <v>43245.47</v>
      </c>
      <c r="H9" s="50">
        <f>Table10[[#This Row],[Berat
(Kg)]]*Table10[[#This Row],[Harga ke Tim Trial
(Rp)]]</f>
        <v>8649094</v>
      </c>
      <c r="I9" s="50">
        <f>Table10[[#This Row],[Harga ke DHJ]]*Table10[[#This Row],[Berat
(Kg)]]</f>
        <v>21622735</v>
      </c>
      <c r="J9" s="30" t="s">
        <v>329</v>
      </c>
      <c r="K9" s="29">
        <v>44999</v>
      </c>
      <c r="L9" s="51">
        <v>45000</v>
      </c>
      <c r="M9" s="51">
        <v>45001</v>
      </c>
      <c r="N9" s="51"/>
      <c r="O9" s="51" t="s">
        <v>347</v>
      </c>
      <c r="P9" s="45" t="s">
        <v>312</v>
      </c>
    </row>
    <row r="10" spans="3:16" x14ac:dyDescent="0.3">
      <c r="C10" s="30">
        <v>4</v>
      </c>
      <c r="D10" s="48" t="s">
        <v>210</v>
      </c>
      <c r="E10" s="50">
        <v>200</v>
      </c>
      <c r="F10" s="50">
        <v>500</v>
      </c>
      <c r="G10" s="49">
        <v>13068.509999999997</v>
      </c>
      <c r="H10" s="50">
        <f>Table10[[#This Row],[Berat
(Kg)]]*Table10[[#This Row],[Harga ke Tim Trial
(Rp)]]</f>
        <v>2613701.9999999995</v>
      </c>
      <c r="I10" s="50">
        <f>Table10[[#This Row],[Harga ke DHJ]]*Table10[[#This Row],[Berat
(Kg)]]</f>
        <v>6534254.9999999981</v>
      </c>
      <c r="J10" s="30" t="s">
        <v>330</v>
      </c>
      <c r="K10" s="29">
        <v>45000</v>
      </c>
      <c r="L10" s="51">
        <v>45000</v>
      </c>
      <c r="M10" s="51">
        <v>45001</v>
      </c>
      <c r="N10" s="51"/>
      <c r="O10" s="51" t="s">
        <v>347</v>
      </c>
      <c r="P10" s="45" t="s">
        <v>312</v>
      </c>
    </row>
    <row r="11" spans="3:16" x14ac:dyDescent="0.3">
      <c r="C11" s="30">
        <v>5</v>
      </c>
      <c r="D11" s="48" t="s">
        <v>331</v>
      </c>
      <c r="E11" s="50">
        <v>200</v>
      </c>
      <c r="F11" s="50">
        <v>500</v>
      </c>
      <c r="G11" s="49">
        <v>18263.609999999997</v>
      </c>
      <c r="H11" s="50">
        <f>Table10[[#This Row],[Berat
(Kg)]]*Table10[[#This Row],[Harga ke Tim Trial
(Rp)]]</f>
        <v>3652721.9999999995</v>
      </c>
      <c r="I11" s="50">
        <f>Table10[[#This Row],[Harga ke DHJ]]*Table10[[#This Row],[Berat
(Kg)]]</f>
        <v>9131804.9999999981</v>
      </c>
      <c r="J11" s="30" t="s">
        <v>332</v>
      </c>
      <c r="K11" s="29">
        <v>45008</v>
      </c>
      <c r="L11" s="51">
        <v>45008</v>
      </c>
      <c r="M11" s="51">
        <v>45009</v>
      </c>
      <c r="N11" s="51"/>
      <c r="O11" s="51" t="s">
        <v>347</v>
      </c>
      <c r="P11" s="45" t="s">
        <v>312</v>
      </c>
    </row>
    <row r="12" spans="3:16" x14ac:dyDescent="0.3">
      <c r="C12" s="30">
        <v>6</v>
      </c>
      <c r="D12" s="48" t="s">
        <v>333</v>
      </c>
      <c r="E12" s="50">
        <v>200</v>
      </c>
      <c r="F12" s="50">
        <v>500</v>
      </c>
      <c r="G12" s="49">
        <v>32746.119999999995</v>
      </c>
      <c r="H12" s="50">
        <f>Table10[[#This Row],[Berat
(Kg)]]*Table10[[#This Row],[Harga ke Tim Trial
(Rp)]]</f>
        <v>6549223.9999999991</v>
      </c>
      <c r="I12" s="50">
        <f>Table10[[#This Row],[Harga ke DHJ]]*Table10[[#This Row],[Berat
(Kg)]]</f>
        <v>16373059.999999998</v>
      </c>
      <c r="J12" s="30" t="s">
        <v>334</v>
      </c>
      <c r="K12" s="29">
        <v>45008</v>
      </c>
      <c r="L12" s="51">
        <v>45008</v>
      </c>
      <c r="M12" s="51">
        <v>45009</v>
      </c>
      <c r="N12" s="51"/>
      <c r="O12" s="51" t="s">
        <v>347</v>
      </c>
      <c r="P12" s="45" t="s">
        <v>312</v>
      </c>
    </row>
    <row r="13" spans="3:16" x14ac:dyDescent="0.3">
      <c r="C13" s="30">
        <v>7</v>
      </c>
      <c r="D13" s="48" t="s">
        <v>213</v>
      </c>
      <c r="E13" s="50">
        <v>200</v>
      </c>
      <c r="F13" s="50">
        <v>500</v>
      </c>
      <c r="G13" s="49">
        <v>16033.02</v>
      </c>
      <c r="H13" s="50">
        <f>Table10[[#This Row],[Berat
(Kg)]]*Table10[[#This Row],[Harga ke Tim Trial
(Rp)]]</f>
        <v>3206604</v>
      </c>
      <c r="I13" s="50">
        <f>Table10[[#This Row],[Harga ke DHJ]]*Table10[[#This Row],[Berat
(Kg)]]</f>
        <v>8016510</v>
      </c>
      <c r="J13" s="30" t="s">
        <v>330</v>
      </c>
      <c r="K13" s="29">
        <v>45008</v>
      </c>
      <c r="L13" s="51">
        <v>45008</v>
      </c>
      <c r="M13" s="51">
        <v>45015</v>
      </c>
      <c r="N13" s="51"/>
      <c r="O13" s="51" t="s">
        <v>347</v>
      </c>
      <c r="P13" s="45" t="s">
        <v>312</v>
      </c>
    </row>
    <row r="14" spans="3:16" x14ac:dyDescent="0.3">
      <c r="C14" s="30">
        <v>8</v>
      </c>
      <c r="D14" s="48" t="s">
        <v>213</v>
      </c>
      <c r="E14" s="50">
        <v>200</v>
      </c>
      <c r="F14" s="50">
        <v>500</v>
      </c>
      <c r="G14" s="49">
        <v>16075.369999999999</v>
      </c>
      <c r="H14" s="50">
        <f>Table10[[#This Row],[Berat
(Kg)]]*Table10[[#This Row],[Harga ke Tim Trial
(Rp)]]</f>
        <v>3215074</v>
      </c>
      <c r="I14" s="50">
        <f>Table10[[#This Row],[Harga ke DHJ]]*Table10[[#This Row],[Berat
(Kg)]]</f>
        <v>8037684.9999999991</v>
      </c>
      <c r="J14" s="30" t="s">
        <v>330</v>
      </c>
      <c r="K14" s="29">
        <v>45013</v>
      </c>
      <c r="L14" s="51">
        <v>45013</v>
      </c>
      <c r="M14" s="51">
        <v>45026</v>
      </c>
      <c r="N14" s="51"/>
      <c r="O14" s="51" t="s">
        <v>347</v>
      </c>
      <c r="P14" s="45" t="s">
        <v>312</v>
      </c>
    </row>
    <row r="15" spans="3:16" ht="15" customHeight="1" x14ac:dyDescent="0.3">
      <c r="C15" s="30">
        <v>9</v>
      </c>
      <c r="D15" s="48" t="s">
        <v>335</v>
      </c>
      <c r="E15" s="50">
        <v>200</v>
      </c>
      <c r="F15" s="50">
        <v>500</v>
      </c>
      <c r="G15" s="49">
        <v>56096.67</v>
      </c>
      <c r="H15" s="50">
        <f>Table10[[#This Row],[Berat
(Kg)]]*Table10[[#This Row],[Harga ke Tim Trial
(Rp)]]</f>
        <v>11219334</v>
      </c>
      <c r="I15" s="50">
        <f>Table10[[#This Row],[Harga ke DHJ]]*Table10[[#This Row],[Berat
(Kg)]]</f>
        <v>28048335</v>
      </c>
      <c r="J15" s="30" t="s">
        <v>336</v>
      </c>
      <c r="K15" s="29">
        <v>45021</v>
      </c>
      <c r="L15" s="51">
        <v>45021</v>
      </c>
      <c r="M15" s="51">
        <v>45026</v>
      </c>
      <c r="N15" s="51"/>
      <c r="O15" s="51" t="s">
        <v>347</v>
      </c>
      <c r="P15" s="45" t="s">
        <v>312</v>
      </c>
    </row>
    <row r="16" spans="3:16" x14ac:dyDescent="0.3">
      <c r="C16" s="30">
        <v>10</v>
      </c>
      <c r="D16" s="48" t="s">
        <v>369</v>
      </c>
      <c r="E16" s="50">
        <v>200</v>
      </c>
      <c r="F16" s="50">
        <v>500</v>
      </c>
      <c r="G16" s="49">
        <v>18997.530000000002</v>
      </c>
      <c r="H16" s="50">
        <f>Table10[[#This Row],[Berat
(Kg)]]*Table10[[#This Row],[Harga ke Tim Trial
(Rp)]]</f>
        <v>3799506.0000000005</v>
      </c>
      <c r="I16" s="50">
        <f>Table10[[#This Row],[Harga ke DHJ]]*Table10[[#This Row],[Berat
(Kg)]]</f>
        <v>9498765.0000000019</v>
      </c>
      <c r="J16" s="30" t="s">
        <v>344</v>
      </c>
      <c r="K16" s="29">
        <v>45026</v>
      </c>
      <c r="L16" s="51">
        <v>45026</v>
      </c>
      <c r="M16" s="51">
        <v>45027</v>
      </c>
      <c r="N16" s="51"/>
      <c r="O16" s="51" t="s">
        <v>347</v>
      </c>
      <c r="P16" s="45" t="s">
        <v>312</v>
      </c>
    </row>
    <row r="17" spans="3:16" x14ac:dyDescent="0.3">
      <c r="C17" s="30">
        <v>11</v>
      </c>
      <c r="D17" s="48" t="s">
        <v>225</v>
      </c>
      <c r="E17" s="50">
        <v>200</v>
      </c>
      <c r="F17" s="50">
        <v>500</v>
      </c>
      <c r="G17" s="49">
        <v>43245.47</v>
      </c>
      <c r="H17" s="50">
        <f>Table10[[#This Row],[Berat
(Kg)]]*Table10[[#This Row],[Harga ke Tim Trial
(Rp)]]</f>
        <v>8649094</v>
      </c>
      <c r="I17" s="50">
        <f>Table10[[#This Row],[Harga ke DHJ]]*Table10[[#This Row],[Berat
(Kg)]]</f>
        <v>21622735</v>
      </c>
      <c r="J17" s="30" t="s">
        <v>361</v>
      </c>
      <c r="K17" s="29">
        <v>45033</v>
      </c>
      <c r="L17" s="51">
        <v>45034</v>
      </c>
      <c r="M17" s="51">
        <v>45050</v>
      </c>
      <c r="N17" s="51"/>
      <c r="O17" s="51" t="s">
        <v>347</v>
      </c>
      <c r="P17" s="45" t="s">
        <v>312</v>
      </c>
    </row>
    <row r="18" spans="3:16" x14ac:dyDescent="0.3">
      <c r="C18" s="30">
        <v>12</v>
      </c>
      <c r="D18" s="48" t="s">
        <v>343</v>
      </c>
      <c r="E18" s="50">
        <v>200</v>
      </c>
      <c r="F18" s="50"/>
      <c r="G18" s="49">
        <v>18997.530000000002</v>
      </c>
      <c r="H18" s="50">
        <f>Table10[[#This Row],[Berat
(Kg)]]*Table10[[#This Row],[Harga ke Tim Trial
(Rp)]]</f>
        <v>3799506.0000000005</v>
      </c>
      <c r="I18" s="50">
        <f>Table10[[#This Row],[Harga ke DHJ]]*Table10[[#This Row],[Berat
(Kg)]]</f>
        <v>0</v>
      </c>
      <c r="J18" s="30" t="s">
        <v>344</v>
      </c>
      <c r="K18" s="29">
        <v>45049</v>
      </c>
      <c r="L18" s="51">
        <v>45054</v>
      </c>
      <c r="M18" s="51">
        <v>45056</v>
      </c>
      <c r="N18" s="51"/>
      <c r="O18" s="51" t="s">
        <v>347</v>
      </c>
      <c r="P18" s="45" t="s">
        <v>312</v>
      </c>
    </row>
    <row r="19" spans="3:16" x14ac:dyDescent="0.3">
      <c r="C19" s="30">
        <v>13</v>
      </c>
      <c r="D19" s="48" t="s">
        <v>402</v>
      </c>
      <c r="E19" s="50">
        <v>200</v>
      </c>
      <c r="F19" s="50"/>
      <c r="G19" s="49">
        <v>34984.383281859802</v>
      </c>
      <c r="H19" s="50">
        <f>Table10[[#This Row],[Berat
(Kg)]]*Table10[[#This Row],[Harga ke Tim Trial
(Rp)]]</f>
        <v>6996876.6563719604</v>
      </c>
      <c r="I19" s="50">
        <f>Table10[[#This Row],[Harga ke DHJ]]*Table10[[#This Row],[Berat
(Kg)]]</f>
        <v>0</v>
      </c>
      <c r="J19" s="30" t="s">
        <v>344</v>
      </c>
      <c r="K19" s="29">
        <v>45051</v>
      </c>
      <c r="L19" s="51">
        <v>45054</v>
      </c>
      <c r="M19" s="51">
        <v>45056</v>
      </c>
      <c r="N19" s="51"/>
      <c r="O19" s="51" t="s">
        <v>347</v>
      </c>
      <c r="P19" s="45" t="s">
        <v>312</v>
      </c>
    </row>
    <row r="20" spans="3:16" x14ac:dyDescent="0.3">
      <c r="C20" s="30">
        <v>14</v>
      </c>
      <c r="D20" s="48" t="s">
        <v>402</v>
      </c>
      <c r="E20" s="50">
        <v>200</v>
      </c>
      <c r="F20" s="50"/>
      <c r="G20" s="49">
        <v>34984.383281859802</v>
      </c>
      <c r="H20" s="50">
        <f>Table10[[#This Row],[Berat
(Kg)]]*Table10[[#This Row],[Harga ke Tim Trial
(Rp)]]</f>
        <v>6996876.6563719604</v>
      </c>
      <c r="I20" s="50">
        <f>Table10[[#This Row],[Harga ke DHJ]]*Table10[[#This Row],[Berat
(Kg)]]</f>
        <v>0</v>
      </c>
      <c r="J20" s="30" t="s">
        <v>344</v>
      </c>
      <c r="K20" s="29">
        <v>45056</v>
      </c>
      <c r="L20" s="51">
        <v>45057</v>
      </c>
      <c r="M20" s="51">
        <v>45062</v>
      </c>
      <c r="N20" s="51"/>
      <c r="O20" s="51" t="s">
        <v>347</v>
      </c>
      <c r="P20" s="45" t="s">
        <v>312</v>
      </c>
    </row>
    <row r="21" spans="3:16" x14ac:dyDescent="0.3">
      <c r="C21" s="30">
        <v>15</v>
      </c>
      <c r="D21" s="48" t="s">
        <v>406</v>
      </c>
      <c r="E21" s="50">
        <v>200</v>
      </c>
      <c r="F21" s="50"/>
      <c r="G21" s="49">
        <v>16570.967117766813</v>
      </c>
      <c r="H21" s="50">
        <f>Table10[[#This Row],[Berat
(Kg)]]*Table10[[#This Row],[Harga ke Tim Trial
(Rp)]]</f>
        <v>3314193.4235533625</v>
      </c>
      <c r="I21" s="50">
        <f>Table10[[#This Row],[Harga ke DHJ]]*Table10[[#This Row],[Berat
(Kg)]]</f>
        <v>0</v>
      </c>
      <c r="J21" s="30" t="s">
        <v>344</v>
      </c>
      <c r="K21" s="29">
        <v>45056</v>
      </c>
      <c r="L21" s="51">
        <v>45057</v>
      </c>
      <c r="M21" s="51">
        <v>45062</v>
      </c>
      <c r="N21" s="51"/>
      <c r="O21" s="51" t="s">
        <v>347</v>
      </c>
      <c r="P21" s="45" t="s">
        <v>312</v>
      </c>
    </row>
    <row r="22" spans="3:16" x14ac:dyDescent="0.3">
      <c r="C22" s="30">
        <v>16</v>
      </c>
      <c r="D22" s="48" t="s">
        <v>414</v>
      </c>
      <c r="E22" s="50">
        <v>200</v>
      </c>
      <c r="F22" s="50"/>
      <c r="G22" s="49">
        <v>24561.778117766804</v>
      </c>
      <c r="H22" s="50">
        <f>Table10[[#This Row],[Berat
(Kg)]]*Table10[[#This Row],[Harga ke Tim Trial
(Rp)]]</f>
        <v>4912355.6235533608</v>
      </c>
      <c r="I22" s="50">
        <f>Table10[[#This Row],[Harga ke DHJ]]*Table10[[#This Row],[Berat
(Kg)]]</f>
        <v>0</v>
      </c>
      <c r="J22" s="30" t="s">
        <v>344</v>
      </c>
      <c r="K22" s="29">
        <v>45056</v>
      </c>
      <c r="L22" s="51">
        <v>45057</v>
      </c>
      <c r="M22" s="51">
        <v>45062</v>
      </c>
      <c r="N22" s="51"/>
      <c r="O22" s="51" t="s">
        <v>347</v>
      </c>
      <c r="P22" s="45" t="s">
        <v>312</v>
      </c>
    </row>
    <row r="23" spans="3:16" x14ac:dyDescent="0.3">
      <c r="C23" s="30">
        <v>17</v>
      </c>
      <c r="D23" s="48" t="s">
        <v>419</v>
      </c>
      <c r="E23" s="50">
        <v>200</v>
      </c>
      <c r="F23" s="50"/>
      <c r="G23" s="49">
        <v>47802.920117766807</v>
      </c>
      <c r="H23" s="50">
        <f>Table10[[#This Row],[Berat
(Kg)]]*Table10[[#This Row],[Harga ke Tim Trial
(Rp)]]</f>
        <v>9560584.0235533621</v>
      </c>
      <c r="I23" s="50">
        <f>Table10[[#This Row],[Harga ke DHJ]]*Table10[[#This Row],[Berat
(Kg)]]</f>
        <v>0</v>
      </c>
      <c r="J23" s="30" t="s">
        <v>344</v>
      </c>
      <c r="K23" s="29">
        <v>45061</v>
      </c>
      <c r="L23" s="51">
        <v>45061</v>
      </c>
      <c r="M23" s="51">
        <v>45065</v>
      </c>
      <c r="N23" s="51"/>
      <c r="O23" s="51" t="s">
        <v>347</v>
      </c>
      <c r="P23" s="45" t="s">
        <v>312</v>
      </c>
    </row>
    <row r="24" spans="3:16" x14ac:dyDescent="0.3">
      <c r="C24" s="30">
        <v>18</v>
      </c>
      <c r="D24" s="48" t="s">
        <v>420</v>
      </c>
      <c r="E24" s="50">
        <f>200</f>
        <v>200</v>
      </c>
      <c r="F24" s="50"/>
      <c r="G24" s="49">
        <v>49008.584117766812</v>
      </c>
      <c r="H24" s="50">
        <f>Table10[[#This Row],[Berat
(Kg)]]*Table10[[#This Row],[Harga ke Tim Trial
(Rp)]]</f>
        <v>9801716.8235533629</v>
      </c>
      <c r="I24" s="50">
        <f>Table10[[#This Row],[Harga ke DHJ]]*Table10[[#This Row],[Berat
(Kg)]]</f>
        <v>0</v>
      </c>
      <c r="J24" s="30" t="s">
        <v>421</v>
      </c>
      <c r="K24" s="29">
        <v>45071</v>
      </c>
      <c r="L24" s="51">
        <v>45071</v>
      </c>
      <c r="M24" s="51">
        <v>45077</v>
      </c>
      <c r="N24" s="51"/>
      <c r="O24" s="51" t="s">
        <v>347</v>
      </c>
      <c r="P24" s="45" t="s">
        <v>312</v>
      </c>
    </row>
    <row r="25" spans="3:16" x14ac:dyDescent="0.3">
      <c r="C25" s="30">
        <v>19</v>
      </c>
      <c r="D25" s="48" t="s">
        <v>461</v>
      </c>
      <c r="E25" s="50">
        <v>200</v>
      </c>
      <c r="F25" s="50"/>
      <c r="G25" s="49">
        <v>64945.062117766793</v>
      </c>
      <c r="H25" s="50">
        <f>Table10[[#This Row],[Berat
(Kg)]]*Table10[[#This Row],[Harga ke Tim Trial
(Rp)]]</f>
        <v>12989012.423553359</v>
      </c>
      <c r="I25" s="50">
        <f>Table10[[#This Row],[Harga ke DHJ]]*Table10[[#This Row],[Berat
(Kg)]]</f>
        <v>0</v>
      </c>
      <c r="J25" s="30" t="s">
        <v>336</v>
      </c>
      <c r="K25" s="29">
        <v>45080</v>
      </c>
      <c r="L25" s="51"/>
      <c r="M25" s="51"/>
      <c r="N25" s="51"/>
      <c r="O25" s="51" t="s">
        <v>347</v>
      </c>
      <c r="P25" s="45" t="s">
        <v>312</v>
      </c>
    </row>
    <row r="26" spans="3:16" x14ac:dyDescent="0.3">
      <c r="C26" s="30"/>
      <c r="D26" s="48"/>
      <c r="E26" s="93"/>
      <c r="F26" s="93"/>
      <c r="G26" s="94">
        <f>SUBTOTAL(109,Table10[Berat
(Kg)])</f>
        <v>614834.8881525537</v>
      </c>
      <c r="H26" s="93"/>
      <c r="I26" s="93"/>
      <c r="J26" s="30"/>
      <c r="K26" s="29"/>
      <c r="L26" s="51"/>
      <c r="M26" s="51"/>
      <c r="N26" s="51"/>
      <c r="O26" s="51"/>
      <c r="P26" s="45"/>
    </row>
    <row r="34" spans="8:8" x14ac:dyDescent="0.3">
      <c r="H34" s="31">
        <f>SUM(H26:H33)</f>
        <v>0</v>
      </c>
    </row>
  </sheetData>
  <mergeCells count="1">
    <mergeCell ref="C3:P3"/>
  </mergeCells>
  <pageMargins left="0.23" right="0.24" top="0.28000000000000003" bottom="0.74803149606299213" header="0.31496062992125984" footer="0.31496062992125984"/>
  <pageSetup paperSize="9" scale="75" orientation="landscape" r:id="rId1"/>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8B27A8-0566-406B-859A-2A7BC2F3A609}">
  <sheetPr codeName="Sheet13"/>
  <dimension ref="C3:P41"/>
  <sheetViews>
    <sheetView showGridLines="0" topLeftCell="A14" workbookViewId="0">
      <selection activeCell="G31" sqref="G31"/>
    </sheetView>
  </sheetViews>
  <sheetFormatPr defaultRowHeight="14.4" x14ac:dyDescent="0.3"/>
  <cols>
    <col min="3" max="3" width="3.5546875" style="1" bestFit="1" customWidth="1"/>
    <col min="4" max="4" width="7.33203125" bestFit="1" customWidth="1"/>
    <col min="5" max="5" width="12.88671875" style="10" customWidth="1"/>
    <col min="6" max="6" width="33.44140625" bestFit="1" customWidth="1"/>
    <col min="7" max="7" width="21.44140625" customWidth="1"/>
    <col min="8" max="8" width="19" style="10" customWidth="1"/>
    <col min="9" max="9" width="19.6640625" style="10" customWidth="1"/>
    <col min="10" max="10" width="32.6640625" customWidth="1"/>
    <col min="11" max="11" width="16.77734375" customWidth="1"/>
    <col min="12" max="12" width="14.88671875" bestFit="1" customWidth="1"/>
    <col min="13" max="13" width="11.5546875" bestFit="1" customWidth="1"/>
    <col min="14" max="14" width="11.33203125" customWidth="1"/>
    <col min="15" max="15" width="11.33203125" bestFit="1" customWidth="1"/>
    <col min="16" max="16" width="14.88671875" bestFit="1" customWidth="1"/>
  </cols>
  <sheetData>
    <row r="3" spans="3:16" ht="31.8" customHeight="1" x14ac:dyDescent="0.3">
      <c r="C3" s="60" t="s">
        <v>370</v>
      </c>
      <c r="D3" s="60" t="s">
        <v>371</v>
      </c>
      <c r="E3" s="61" t="s">
        <v>372</v>
      </c>
      <c r="F3" s="60" t="s">
        <v>373</v>
      </c>
      <c r="G3" s="60" t="s">
        <v>403</v>
      </c>
      <c r="H3" s="62" t="s">
        <v>374</v>
      </c>
      <c r="I3" s="62" t="s">
        <v>375</v>
      </c>
      <c r="J3" s="60" t="s">
        <v>376</v>
      </c>
      <c r="K3" s="63" t="s">
        <v>377</v>
      </c>
      <c r="L3" s="60" t="s">
        <v>378</v>
      </c>
      <c r="M3" s="60" t="s">
        <v>379</v>
      </c>
      <c r="N3" s="63" t="s">
        <v>380</v>
      </c>
      <c r="O3" s="60" t="s">
        <v>381</v>
      </c>
    </row>
    <row r="4" spans="3:16" x14ac:dyDescent="0.3">
      <c r="C4" s="274">
        <v>1</v>
      </c>
      <c r="D4" s="64" t="s">
        <v>382</v>
      </c>
      <c r="E4" s="65"/>
      <c r="F4" s="128" t="s">
        <v>383</v>
      </c>
      <c r="G4" s="64"/>
      <c r="H4" s="65"/>
      <c r="I4" s="66">
        <v>44992</v>
      </c>
      <c r="J4" s="64" t="s">
        <v>384</v>
      </c>
      <c r="K4" s="67">
        <v>12110.419999999998</v>
      </c>
      <c r="L4" s="67">
        <f>K4</f>
        <v>12110.419999999998</v>
      </c>
      <c r="M4" s="68">
        <f>K4-E4</f>
        <v>12110.419999999998</v>
      </c>
      <c r="N4" s="68"/>
      <c r="O4" s="68"/>
      <c r="P4" s="100">
        <f t="shared" ref="P4:P17" si="0">K4*500</f>
        <v>6055209.9999999991</v>
      </c>
    </row>
    <row r="5" spans="3:16" x14ac:dyDescent="0.3">
      <c r="C5" s="275"/>
      <c r="D5" s="70" t="s">
        <v>385</v>
      </c>
      <c r="E5" s="71">
        <v>189231.53000000003</v>
      </c>
      <c r="F5" s="129" t="s">
        <v>383</v>
      </c>
      <c r="G5" s="70"/>
      <c r="H5" s="71">
        <v>43245.47</v>
      </c>
      <c r="I5" s="72">
        <v>44992</v>
      </c>
      <c r="J5" s="70" t="s">
        <v>386</v>
      </c>
      <c r="K5" s="73">
        <v>31135.049999999996</v>
      </c>
      <c r="L5" s="73">
        <f>K5</f>
        <v>31135.049999999996</v>
      </c>
      <c r="M5" s="74">
        <f>K5-E5</f>
        <v>-158096.48000000004</v>
      </c>
      <c r="N5" s="74">
        <f>SUM(K5:K12)</f>
        <v>189071.44999999998</v>
      </c>
      <c r="O5" s="74">
        <f>E5-N5</f>
        <v>160.0800000000454</v>
      </c>
      <c r="P5" s="100">
        <f t="shared" si="0"/>
        <v>15567524.999999998</v>
      </c>
    </row>
    <row r="6" spans="3:16" x14ac:dyDescent="0.3">
      <c r="C6" s="69">
        <v>2</v>
      </c>
      <c r="D6" s="75"/>
      <c r="E6" s="76"/>
      <c r="F6" s="130" t="s">
        <v>599</v>
      </c>
      <c r="G6" s="75"/>
      <c r="H6" s="76">
        <v>21962.04</v>
      </c>
      <c r="I6" s="77">
        <v>44992</v>
      </c>
      <c r="J6" s="75" t="s">
        <v>387</v>
      </c>
      <c r="K6" s="78">
        <v>21962.04</v>
      </c>
      <c r="L6" s="78">
        <f>L5+K6</f>
        <v>53097.09</v>
      </c>
      <c r="M6" s="79">
        <f>M5+K6</f>
        <v>-136134.44000000003</v>
      </c>
      <c r="N6" s="79"/>
      <c r="O6" s="79"/>
      <c r="P6" s="100">
        <f t="shared" si="0"/>
        <v>10981020</v>
      </c>
    </row>
    <row r="7" spans="3:16" x14ac:dyDescent="0.3">
      <c r="C7" s="69">
        <v>3</v>
      </c>
      <c r="D7" s="75"/>
      <c r="E7" s="76"/>
      <c r="F7" s="130" t="s">
        <v>600</v>
      </c>
      <c r="G7" s="75"/>
      <c r="H7" s="76">
        <v>43245.47</v>
      </c>
      <c r="I7" s="77">
        <v>45001</v>
      </c>
      <c r="J7" s="75" t="s">
        <v>388</v>
      </c>
      <c r="K7" s="78">
        <v>43245.47</v>
      </c>
      <c r="L7" s="78">
        <f t="shared" ref="L7:L12" si="1">L6+K7</f>
        <v>96342.56</v>
      </c>
      <c r="M7" s="79">
        <f t="shared" ref="M7:M12" si="2">M6+K7</f>
        <v>-92888.97000000003</v>
      </c>
      <c r="N7" s="79"/>
      <c r="O7" s="79"/>
      <c r="P7" s="100">
        <f t="shared" si="0"/>
        <v>21622735</v>
      </c>
    </row>
    <row r="8" spans="3:16" x14ac:dyDescent="0.3">
      <c r="C8" s="69">
        <v>4</v>
      </c>
      <c r="D8" s="75"/>
      <c r="E8" s="76"/>
      <c r="F8" s="130" t="s">
        <v>601</v>
      </c>
      <c r="G8" s="75"/>
      <c r="H8" s="76">
        <v>13068.509999999997</v>
      </c>
      <c r="I8" s="77">
        <v>45001</v>
      </c>
      <c r="J8" s="75" t="s">
        <v>389</v>
      </c>
      <c r="K8" s="78">
        <v>13068.509999999997</v>
      </c>
      <c r="L8" s="78">
        <f t="shared" si="1"/>
        <v>109411.06999999999</v>
      </c>
      <c r="M8" s="79">
        <f t="shared" si="2"/>
        <v>-79820.460000000036</v>
      </c>
      <c r="N8" s="79"/>
      <c r="O8" s="79"/>
      <c r="P8" s="100">
        <f t="shared" si="0"/>
        <v>6534254.9999999981</v>
      </c>
    </row>
    <row r="9" spans="3:16" x14ac:dyDescent="0.3">
      <c r="C9" s="69">
        <v>5</v>
      </c>
      <c r="D9" s="75"/>
      <c r="E9" s="76"/>
      <c r="F9" s="130" t="s">
        <v>602</v>
      </c>
      <c r="G9" s="75"/>
      <c r="H9" s="76">
        <v>18263.609999999997</v>
      </c>
      <c r="I9" s="77">
        <v>45009</v>
      </c>
      <c r="J9" s="75" t="s">
        <v>390</v>
      </c>
      <c r="K9" s="78">
        <v>18263.609999999997</v>
      </c>
      <c r="L9" s="78">
        <f t="shared" si="1"/>
        <v>127674.68</v>
      </c>
      <c r="M9" s="79">
        <f t="shared" si="2"/>
        <v>-61556.850000000035</v>
      </c>
      <c r="N9" s="79"/>
      <c r="O9" s="79"/>
      <c r="P9" s="100">
        <f t="shared" si="0"/>
        <v>9131804.9999999981</v>
      </c>
    </row>
    <row r="10" spans="3:16" x14ac:dyDescent="0.3">
      <c r="C10" s="69">
        <v>6</v>
      </c>
      <c r="D10" s="75"/>
      <c r="E10" s="76"/>
      <c r="F10" s="130" t="s">
        <v>603</v>
      </c>
      <c r="G10" s="75"/>
      <c r="H10" s="76">
        <v>16033.02</v>
      </c>
      <c r="I10" s="77">
        <v>45008</v>
      </c>
      <c r="J10" s="75" t="s">
        <v>391</v>
      </c>
      <c r="K10" s="78">
        <v>16033.02</v>
      </c>
      <c r="L10" s="78">
        <f t="shared" si="1"/>
        <v>143707.69999999998</v>
      </c>
      <c r="M10" s="79">
        <f t="shared" si="2"/>
        <v>-45523.830000000031</v>
      </c>
      <c r="N10" s="79"/>
      <c r="O10" s="79"/>
      <c r="P10" s="100">
        <f t="shared" si="0"/>
        <v>8016510</v>
      </c>
    </row>
    <row r="11" spans="3:16" x14ac:dyDescent="0.3">
      <c r="C11" s="69">
        <v>7</v>
      </c>
      <c r="D11" s="75"/>
      <c r="E11" s="76"/>
      <c r="F11" s="130" t="s">
        <v>604</v>
      </c>
      <c r="G11" s="75"/>
      <c r="H11" s="76">
        <v>16075.369999999999</v>
      </c>
      <c r="I11" s="77">
        <v>45015</v>
      </c>
      <c r="J11" s="75" t="s">
        <v>392</v>
      </c>
      <c r="K11" s="78">
        <v>16075.369999999999</v>
      </c>
      <c r="L11" s="78">
        <f t="shared" si="1"/>
        <v>159783.06999999998</v>
      </c>
      <c r="M11" s="79">
        <f t="shared" si="2"/>
        <v>-29448.460000000032</v>
      </c>
      <c r="N11" s="79"/>
      <c r="O11" s="79"/>
      <c r="P11" s="100">
        <f t="shared" si="0"/>
        <v>8037684.9999999991</v>
      </c>
    </row>
    <row r="12" spans="3:16" x14ac:dyDescent="0.3">
      <c r="C12" s="275">
        <v>8</v>
      </c>
      <c r="D12" s="80"/>
      <c r="E12" s="81"/>
      <c r="F12" s="131" t="s">
        <v>395</v>
      </c>
      <c r="G12" s="80"/>
      <c r="H12" s="81">
        <v>56096.67</v>
      </c>
      <c r="I12" s="82">
        <v>45026</v>
      </c>
      <c r="J12" s="80" t="s">
        <v>393</v>
      </c>
      <c r="K12" s="83">
        <v>29288.379999999997</v>
      </c>
      <c r="L12" s="83">
        <f t="shared" si="1"/>
        <v>189071.44999999998</v>
      </c>
      <c r="M12" s="84">
        <f t="shared" si="2"/>
        <v>-160.08000000003449</v>
      </c>
      <c r="N12" s="84"/>
      <c r="O12" s="84"/>
      <c r="P12" s="100">
        <f t="shared" si="0"/>
        <v>14644189.999999998</v>
      </c>
    </row>
    <row r="13" spans="3:16" x14ac:dyDescent="0.3">
      <c r="C13" s="275"/>
      <c r="D13" s="70" t="s">
        <v>394</v>
      </c>
      <c r="E13" s="71">
        <v>155985</v>
      </c>
      <c r="F13" s="129" t="s">
        <v>395</v>
      </c>
      <c r="G13" s="70"/>
      <c r="H13" s="71"/>
      <c r="I13" s="72">
        <v>45026</v>
      </c>
      <c r="J13" s="70" t="s">
        <v>396</v>
      </c>
      <c r="K13" s="73">
        <v>26808.289999999994</v>
      </c>
      <c r="L13" s="73">
        <f>K13</f>
        <v>26808.289999999994</v>
      </c>
      <c r="M13" s="74">
        <f>L13-E13</f>
        <v>-129176.71</v>
      </c>
      <c r="N13" s="74">
        <f>SUM(K13:K18)</f>
        <v>155885.32999999999</v>
      </c>
      <c r="O13" s="74">
        <f>E13-N13</f>
        <v>99.670000000012806</v>
      </c>
      <c r="P13" s="100">
        <f t="shared" si="0"/>
        <v>13404144.999999996</v>
      </c>
    </row>
    <row r="14" spans="3:16" x14ac:dyDescent="0.3">
      <c r="C14" s="69">
        <v>9</v>
      </c>
      <c r="D14" s="75"/>
      <c r="E14" s="76"/>
      <c r="F14" s="130" t="s">
        <v>605</v>
      </c>
      <c r="G14" s="75"/>
      <c r="H14" s="76">
        <v>18997.53</v>
      </c>
      <c r="I14" s="77">
        <v>45027</v>
      </c>
      <c r="J14" s="75" t="s">
        <v>397</v>
      </c>
      <c r="K14" s="78">
        <v>18997.53</v>
      </c>
      <c r="L14" s="78">
        <f>L13+K14</f>
        <v>45805.819999999992</v>
      </c>
      <c r="M14" s="79">
        <f>M13+K14</f>
        <v>-110179.18000000001</v>
      </c>
      <c r="N14" s="79"/>
      <c r="O14" s="79"/>
      <c r="P14" s="100">
        <f t="shared" si="0"/>
        <v>9498765</v>
      </c>
    </row>
    <row r="15" spans="3:16" x14ac:dyDescent="0.3">
      <c r="C15" s="69">
        <v>10</v>
      </c>
      <c r="D15" s="75"/>
      <c r="E15" s="76"/>
      <c r="F15" s="130" t="s">
        <v>606</v>
      </c>
      <c r="G15" s="75"/>
      <c r="H15" s="76">
        <v>43245.47</v>
      </c>
      <c r="I15" s="77">
        <v>45050</v>
      </c>
      <c r="J15" s="75" t="s">
        <v>398</v>
      </c>
      <c r="K15" s="78">
        <v>43245.47</v>
      </c>
      <c r="L15" s="78">
        <f t="shared" ref="L15:L17" si="3">L14+K15</f>
        <v>89051.29</v>
      </c>
      <c r="M15" s="79">
        <f t="shared" ref="M15:M17" si="4">M14+K15</f>
        <v>-66933.710000000006</v>
      </c>
      <c r="N15" s="79"/>
      <c r="O15" s="79"/>
      <c r="P15" s="100">
        <f t="shared" si="0"/>
        <v>21622735</v>
      </c>
    </row>
    <row r="16" spans="3:16" x14ac:dyDescent="0.3">
      <c r="C16" s="69">
        <v>11</v>
      </c>
      <c r="D16" s="75"/>
      <c r="E16" s="76"/>
      <c r="F16" s="130" t="s">
        <v>607</v>
      </c>
      <c r="G16" s="75"/>
      <c r="H16" s="76">
        <v>18997.53</v>
      </c>
      <c r="I16" s="77">
        <v>45056</v>
      </c>
      <c r="J16" s="75" t="s">
        <v>399</v>
      </c>
      <c r="K16" s="78">
        <v>18997.53</v>
      </c>
      <c r="L16" s="78">
        <f t="shared" si="3"/>
        <v>108048.81999999999</v>
      </c>
      <c r="M16" s="79">
        <f t="shared" si="4"/>
        <v>-47936.180000000008</v>
      </c>
      <c r="N16" s="79"/>
      <c r="O16" s="79"/>
      <c r="P16" s="100">
        <f t="shared" si="0"/>
        <v>9498765</v>
      </c>
    </row>
    <row r="17" spans="3:16" x14ac:dyDescent="0.3">
      <c r="C17" s="69">
        <v>12</v>
      </c>
      <c r="D17" s="75"/>
      <c r="E17" s="76"/>
      <c r="F17" s="130" t="s">
        <v>607</v>
      </c>
      <c r="G17" s="75"/>
      <c r="H17" s="76">
        <v>35639.360000000001</v>
      </c>
      <c r="I17" s="77">
        <v>45056</v>
      </c>
      <c r="J17" s="75" t="s">
        <v>400</v>
      </c>
      <c r="K17" s="78">
        <v>35639.360000000001</v>
      </c>
      <c r="L17" s="78">
        <f t="shared" si="3"/>
        <v>143688.18</v>
      </c>
      <c r="M17" s="79">
        <f t="shared" si="4"/>
        <v>-12296.820000000007</v>
      </c>
      <c r="N17" s="79"/>
      <c r="O17" s="79"/>
      <c r="P17" s="100">
        <f t="shared" si="0"/>
        <v>17819680</v>
      </c>
    </row>
    <row r="18" spans="3:16" x14ac:dyDescent="0.3">
      <c r="C18" s="69">
        <v>13</v>
      </c>
      <c r="D18" s="102"/>
      <c r="E18" s="103"/>
      <c r="F18" s="132" t="s">
        <v>410</v>
      </c>
      <c r="G18" s="102" t="s">
        <v>404</v>
      </c>
      <c r="H18" s="103">
        <v>35465.94</v>
      </c>
      <c r="I18" s="104"/>
      <c r="J18" s="102" t="s">
        <v>412</v>
      </c>
      <c r="K18" s="105">
        <f>12197.15</f>
        <v>12197.15</v>
      </c>
      <c r="L18" s="105">
        <f>L17+K18</f>
        <v>155885.32999999999</v>
      </c>
      <c r="M18" s="106">
        <f>M17+K18</f>
        <v>-99.670000000007349</v>
      </c>
      <c r="N18" s="106"/>
      <c r="O18" s="106"/>
      <c r="P18" s="100">
        <f>K18*500</f>
        <v>6098575</v>
      </c>
    </row>
    <row r="19" spans="3:16" x14ac:dyDescent="0.3">
      <c r="C19" s="69">
        <v>14</v>
      </c>
      <c r="D19" s="107" t="s">
        <v>289</v>
      </c>
      <c r="E19" s="108">
        <v>285621</v>
      </c>
      <c r="F19" s="133" t="s">
        <v>410</v>
      </c>
      <c r="G19" s="107" t="s">
        <v>404</v>
      </c>
      <c r="H19" s="108"/>
      <c r="I19" s="109"/>
      <c r="J19" s="107" t="s">
        <v>412</v>
      </c>
      <c r="K19" s="110">
        <v>23268.789999999997</v>
      </c>
      <c r="L19" s="110">
        <f>K19</f>
        <v>23268.789999999997</v>
      </c>
      <c r="M19" s="111">
        <f>L19-E19</f>
        <v>-262352.21000000002</v>
      </c>
      <c r="N19" s="74">
        <f>SUM(K19:K27)</f>
        <v>285621</v>
      </c>
      <c r="O19" s="111">
        <f>E19-N19</f>
        <v>0</v>
      </c>
      <c r="P19" s="100">
        <f>K19*500</f>
        <v>11634394.999999998</v>
      </c>
    </row>
    <row r="20" spans="3:16" x14ac:dyDescent="0.3">
      <c r="C20" s="69">
        <v>15</v>
      </c>
      <c r="D20" s="95"/>
      <c r="E20" s="96"/>
      <c r="F20" s="134" t="s">
        <v>410</v>
      </c>
      <c r="G20" s="112" t="s">
        <v>405</v>
      </c>
      <c r="H20" s="96">
        <v>17764.679999999997</v>
      </c>
      <c r="I20" s="97"/>
      <c r="J20" s="95" t="s">
        <v>413</v>
      </c>
      <c r="K20" s="98">
        <f t="shared" ref="K20:K26" si="5">H20</f>
        <v>17764.679999999997</v>
      </c>
      <c r="L20" s="98">
        <f t="shared" ref="L20:L31" si="6">L19+K20</f>
        <v>41033.469999999994</v>
      </c>
      <c r="M20" s="99">
        <f>M19+K20</f>
        <v>-244587.53000000003</v>
      </c>
      <c r="N20" s="99"/>
      <c r="O20" s="99"/>
      <c r="P20" s="100">
        <f>K20*500</f>
        <v>8882339.9999999981</v>
      </c>
    </row>
    <row r="21" spans="3:16" x14ac:dyDescent="0.3">
      <c r="C21" s="69">
        <v>16</v>
      </c>
      <c r="D21" s="95"/>
      <c r="E21" s="96"/>
      <c r="F21" s="134" t="s">
        <v>409</v>
      </c>
      <c r="G21" s="95" t="s">
        <v>411</v>
      </c>
      <c r="H21" s="96">
        <v>25958.929999999997</v>
      </c>
      <c r="I21" s="97"/>
      <c r="J21" s="95" t="s">
        <v>452</v>
      </c>
      <c r="K21" s="98">
        <f t="shared" si="5"/>
        <v>25958.929999999997</v>
      </c>
      <c r="L21" s="98">
        <f t="shared" si="6"/>
        <v>66992.399999999994</v>
      </c>
      <c r="M21" s="99">
        <f t="shared" ref="M21:M31" si="7">M20+K21</f>
        <v>-218628.60000000003</v>
      </c>
      <c r="N21" s="79"/>
      <c r="O21" s="79"/>
      <c r="P21" s="100">
        <f t="shared" ref="P21:P24" si="8">K21*500</f>
        <v>12979464.999999998</v>
      </c>
    </row>
    <row r="22" spans="3:16" x14ac:dyDescent="0.3">
      <c r="C22" s="69">
        <v>17</v>
      </c>
      <c r="D22" s="75"/>
      <c r="E22" s="76"/>
      <c r="F22" s="130" t="s">
        <v>449</v>
      </c>
      <c r="G22" s="75" t="s">
        <v>450</v>
      </c>
      <c r="H22" s="76">
        <v>50142.92</v>
      </c>
      <c r="I22" s="77"/>
      <c r="J22" s="95" t="s">
        <v>451</v>
      </c>
      <c r="K22" s="98">
        <f t="shared" si="5"/>
        <v>50142.92</v>
      </c>
      <c r="L22" s="98">
        <f t="shared" si="6"/>
        <v>117135.31999999999</v>
      </c>
      <c r="M22" s="99">
        <f t="shared" si="7"/>
        <v>-168485.68000000005</v>
      </c>
      <c r="N22" s="79"/>
      <c r="O22" s="79"/>
      <c r="P22" s="100">
        <f t="shared" si="8"/>
        <v>25071460</v>
      </c>
    </row>
    <row r="23" spans="3:16" x14ac:dyDescent="0.3">
      <c r="C23" s="69">
        <v>18</v>
      </c>
      <c r="D23" s="75"/>
      <c r="E23" s="76"/>
      <c r="F23" s="130" t="s">
        <v>453</v>
      </c>
      <c r="G23" s="75" t="s">
        <v>454</v>
      </c>
      <c r="H23" s="113">
        <v>51592.239999999991</v>
      </c>
      <c r="I23" s="114"/>
      <c r="J23" s="95" t="s">
        <v>455</v>
      </c>
      <c r="K23" s="98">
        <f t="shared" si="5"/>
        <v>51592.239999999991</v>
      </c>
      <c r="L23" s="98">
        <f t="shared" si="6"/>
        <v>168727.56</v>
      </c>
      <c r="M23" s="99">
        <f t="shared" si="7"/>
        <v>-116893.44000000006</v>
      </c>
      <c r="N23" s="79"/>
      <c r="O23" s="79"/>
      <c r="P23" s="100">
        <f t="shared" si="8"/>
        <v>25796119.999999996</v>
      </c>
    </row>
    <row r="24" spans="3:16" x14ac:dyDescent="0.3">
      <c r="C24" s="85"/>
      <c r="D24" s="80"/>
      <c r="E24" s="116"/>
      <c r="F24" s="135" t="s">
        <v>555</v>
      </c>
      <c r="G24" s="122" t="s">
        <v>456</v>
      </c>
      <c r="H24" s="123">
        <v>21962.04</v>
      </c>
      <c r="I24" s="124"/>
      <c r="J24" s="95" t="s">
        <v>462</v>
      </c>
      <c r="K24" s="125">
        <f t="shared" si="5"/>
        <v>21962.04</v>
      </c>
      <c r="L24" s="98">
        <f t="shared" si="6"/>
        <v>190689.6</v>
      </c>
      <c r="M24" s="99">
        <f t="shared" si="7"/>
        <v>-94931.400000000052</v>
      </c>
      <c r="N24" s="117"/>
      <c r="O24" s="117"/>
      <c r="P24" s="100">
        <f t="shared" si="8"/>
        <v>10981020</v>
      </c>
    </row>
    <row r="25" spans="3:16" x14ac:dyDescent="0.3">
      <c r="C25" s="85"/>
      <c r="D25" s="115"/>
      <c r="E25" s="76"/>
      <c r="F25" s="130" t="s">
        <v>463</v>
      </c>
      <c r="G25" s="75" t="s">
        <v>464</v>
      </c>
      <c r="H25" s="76">
        <v>68299.439999999988</v>
      </c>
      <c r="I25" s="77"/>
      <c r="J25" s="75" t="s">
        <v>557</v>
      </c>
      <c r="K25" s="125">
        <f t="shared" si="5"/>
        <v>68299.439999999988</v>
      </c>
      <c r="L25" s="98">
        <f t="shared" si="6"/>
        <v>258989.03999999998</v>
      </c>
      <c r="M25" s="99">
        <f t="shared" si="7"/>
        <v>-26631.960000000065</v>
      </c>
      <c r="N25" s="79"/>
      <c r="O25" s="79"/>
    </row>
    <row r="26" spans="3:16" x14ac:dyDescent="0.3">
      <c r="C26" s="85"/>
      <c r="D26" s="115"/>
      <c r="E26" s="76"/>
      <c r="F26" s="130" t="s">
        <v>556</v>
      </c>
      <c r="G26" s="75" t="s">
        <v>456</v>
      </c>
      <c r="H26" s="76">
        <v>21962.04</v>
      </c>
      <c r="I26" s="77"/>
      <c r="J26" s="75" t="s">
        <v>558</v>
      </c>
      <c r="K26" s="125">
        <f t="shared" si="5"/>
        <v>21962.04</v>
      </c>
      <c r="L26" s="98">
        <f t="shared" si="6"/>
        <v>280951.07999999996</v>
      </c>
      <c r="M26" s="99">
        <f t="shared" si="7"/>
        <v>-4669.9200000000637</v>
      </c>
      <c r="N26" s="79"/>
      <c r="O26" s="79"/>
    </row>
    <row r="27" spans="3:16" x14ac:dyDescent="0.3">
      <c r="C27" s="85"/>
      <c r="D27" s="115"/>
      <c r="E27" s="81"/>
      <c r="F27" s="131" t="s">
        <v>559</v>
      </c>
      <c r="G27" s="80" t="s">
        <v>560</v>
      </c>
      <c r="H27" s="81">
        <v>43274.030000000006</v>
      </c>
      <c r="I27" s="82"/>
      <c r="J27" s="80" t="s">
        <v>632</v>
      </c>
      <c r="K27" s="125">
        <v>4669.9200000000601</v>
      </c>
      <c r="L27" s="98">
        <f t="shared" si="6"/>
        <v>285621</v>
      </c>
      <c r="M27" s="99">
        <f t="shared" si="7"/>
        <v>0</v>
      </c>
      <c r="N27" s="84"/>
      <c r="O27" s="84"/>
    </row>
    <row r="28" spans="3:16" x14ac:dyDescent="0.3">
      <c r="C28" s="85">
        <v>19</v>
      </c>
      <c r="D28" s="86" t="s">
        <v>362</v>
      </c>
      <c r="E28" s="136">
        <v>174798.16000000003</v>
      </c>
      <c r="F28" s="133" t="s">
        <v>559</v>
      </c>
      <c r="G28" s="137" t="s">
        <v>560</v>
      </c>
      <c r="H28" s="136">
        <f>H27-K27</f>
        <v>38604.109999999942</v>
      </c>
      <c r="I28" s="138"/>
      <c r="J28" s="137" t="s">
        <v>639</v>
      </c>
      <c r="K28" s="139">
        <f>H28</f>
        <v>38604.109999999942</v>
      </c>
      <c r="L28" s="139">
        <f>K28</f>
        <v>38604.109999999942</v>
      </c>
      <c r="M28" s="140">
        <f>L28-E28</f>
        <v>-136194.0500000001</v>
      </c>
      <c r="N28" s="74">
        <f>SUM(K28:K33)</f>
        <v>146078.0199999999</v>
      </c>
      <c r="O28" s="140">
        <f>E28-N28</f>
        <v>28720.14000000013</v>
      </c>
    </row>
    <row r="29" spans="3:16" x14ac:dyDescent="0.3">
      <c r="C29" s="85"/>
      <c r="D29" s="86"/>
      <c r="E29" s="76"/>
      <c r="F29" s="134" t="s">
        <v>633</v>
      </c>
      <c r="G29" s="75" t="s">
        <v>634</v>
      </c>
      <c r="H29" s="76">
        <v>24926.55</v>
      </c>
      <c r="I29" s="77"/>
      <c r="J29" s="75" t="s">
        <v>638</v>
      </c>
      <c r="K29" s="78">
        <v>24926.55</v>
      </c>
      <c r="L29" s="98">
        <f t="shared" si="6"/>
        <v>63530.659999999945</v>
      </c>
      <c r="M29" s="99">
        <f t="shared" si="7"/>
        <v>-111267.5000000001</v>
      </c>
      <c r="N29" s="79"/>
      <c r="O29" s="79"/>
    </row>
    <row r="30" spans="3:16" x14ac:dyDescent="0.3">
      <c r="C30" s="85"/>
      <c r="D30" s="86"/>
      <c r="E30" s="76"/>
      <c r="F30" s="134" t="s">
        <v>635</v>
      </c>
      <c r="G30" s="75" t="s">
        <v>636</v>
      </c>
      <c r="H30" s="76">
        <v>39121.759999999987</v>
      </c>
      <c r="I30" s="77"/>
      <c r="J30" s="75" t="s">
        <v>637</v>
      </c>
      <c r="K30" s="125">
        <f t="shared" ref="K30:K31" si="9">H30</f>
        <v>39121.759999999987</v>
      </c>
      <c r="L30" s="98">
        <f t="shared" si="6"/>
        <v>102652.41999999993</v>
      </c>
      <c r="M30" s="99">
        <f t="shared" si="7"/>
        <v>-72145.740000000107</v>
      </c>
      <c r="N30" s="79"/>
      <c r="O30" s="79"/>
    </row>
    <row r="31" spans="3:16" x14ac:dyDescent="0.3">
      <c r="C31" s="85"/>
      <c r="D31" s="86"/>
      <c r="E31" s="76"/>
      <c r="F31" s="134" t="s">
        <v>640</v>
      </c>
      <c r="G31" s="75" t="s">
        <v>560</v>
      </c>
      <c r="H31" s="76">
        <v>43425.599999999991</v>
      </c>
      <c r="I31" s="77"/>
      <c r="J31" s="75"/>
      <c r="K31" s="125">
        <f t="shared" si="9"/>
        <v>43425.599999999991</v>
      </c>
      <c r="L31" s="98">
        <f t="shared" si="6"/>
        <v>146078.0199999999</v>
      </c>
      <c r="M31" s="99">
        <f t="shared" si="7"/>
        <v>-28720.140000000116</v>
      </c>
      <c r="N31" s="79"/>
      <c r="O31" s="79"/>
    </row>
    <row r="34" spans="4:16" x14ac:dyDescent="0.3">
      <c r="D34" s="86" t="s">
        <v>423</v>
      </c>
      <c r="E34" s="87">
        <v>313254.65999999992</v>
      </c>
      <c r="F34" s="86"/>
      <c r="G34" s="86"/>
      <c r="H34" s="87"/>
      <c r="I34" s="88"/>
      <c r="J34" s="86"/>
      <c r="K34" s="89"/>
      <c r="L34" s="89"/>
      <c r="M34" s="90"/>
      <c r="N34" s="90"/>
      <c r="O34" s="90">
        <f>E34-N34</f>
        <v>313254.65999999992</v>
      </c>
    </row>
    <row r="35" spans="4:16" x14ac:dyDescent="0.3">
      <c r="D35" s="86"/>
      <c r="E35" s="91">
        <f>SUM(E4:E34)</f>
        <v>1118890.3500000001</v>
      </c>
      <c r="F35" s="86"/>
      <c r="G35" s="86"/>
      <c r="H35" s="87"/>
      <c r="I35" s="88"/>
      <c r="J35" s="86"/>
      <c r="K35" s="89"/>
      <c r="L35" s="89"/>
      <c r="M35" s="90"/>
      <c r="N35" s="92">
        <f>SUM(N4:N34)</f>
        <v>776655.79999999993</v>
      </c>
      <c r="O35" s="92" t="s">
        <v>401</v>
      </c>
      <c r="P35" s="120">
        <f>SUM(P4:P28)</f>
        <v>273878400</v>
      </c>
    </row>
    <row r="36" spans="4:16" x14ac:dyDescent="0.3">
      <c r="D36" s="56"/>
      <c r="E36" s="118"/>
      <c r="F36" s="56"/>
      <c r="G36" s="56"/>
      <c r="H36" s="118"/>
      <c r="I36" s="118"/>
      <c r="J36" s="56"/>
      <c r="K36" s="56"/>
      <c r="L36" s="56"/>
      <c r="M36" s="56"/>
      <c r="N36" s="56"/>
      <c r="O36" s="56"/>
    </row>
    <row r="37" spans="4:16" x14ac:dyDescent="0.3">
      <c r="D37" s="56"/>
      <c r="E37" s="118"/>
      <c r="F37" s="57" t="s">
        <v>465</v>
      </c>
      <c r="G37" s="56"/>
      <c r="H37" s="118"/>
      <c r="I37" s="118"/>
      <c r="J37" s="56"/>
      <c r="K37" s="56">
        <v>35465.94</v>
      </c>
      <c r="L37" s="119">
        <f>E35</f>
        <v>1118890.3500000001</v>
      </c>
      <c r="M37" s="56" t="s">
        <v>458</v>
      </c>
      <c r="N37" s="56"/>
      <c r="O37" s="56"/>
    </row>
    <row r="38" spans="4:16" x14ac:dyDescent="0.3">
      <c r="D38" s="56"/>
      <c r="E38" s="118"/>
      <c r="F38" s="57" t="s">
        <v>457</v>
      </c>
      <c r="G38" s="56"/>
      <c r="H38" s="118"/>
      <c r="I38" s="118"/>
      <c r="J38" s="56"/>
      <c r="K38" s="56"/>
      <c r="L38" s="120">
        <f>N35</f>
        <v>776655.79999999993</v>
      </c>
      <c r="M38" s="56" t="s">
        <v>458</v>
      </c>
      <c r="N38" s="56"/>
      <c r="O38" s="56"/>
    </row>
    <row r="39" spans="4:16" x14ac:dyDescent="0.3">
      <c r="D39" s="56"/>
      <c r="E39" s="118"/>
      <c r="F39" s="57" t="s">
        <v>466</v>
      </c>
      <c r="G39" s="56"/>
      <c r="H39" s="118"/>
      <c r="I39" s="118"/>
      <c r="J39" s="56"/>
      <c r="K39" s="56"/>
      <c r="L39" s="120">
        <f>L37-L38</f>
        <v>342234.55000000016</v>
      </c>
      <c r="M39" s="56" t="s">
        <v>458</v>
      </c>
      <c r="N39" s="56" t="s">
        <v>459</v>
      </c>
      <c r="O39" s="121">
        <f ca="1">TODAY()</f>
        <v>45640</v>
      </c>
    </row>
    <row r="40" spans="4:16" x14ac:dyDescent="0.3">
      <c r="L40" s="27">
        <f>L39*500</f>
        <v>171117275.00000009</v>
      </c>
    </row>
    <row r="41" spans="4:16" x14ac:dyDescent="0.3">
      <c r="L41" s="27">
        <f>L39*200</f>
        <v>68446910.00000003</v>
      </c>
    </row>
  </sheetData>
  <mergeCells count="2">
    <mergeCell ref="C4:C5"/>
    <mergeCell ref="C12:C13"/>
  </mergeCells>
  <pageMargins left="0.7" right="0.7" top="0.75" bottom="0.75" header="0.3" footer="0.3"/>
  <pageSetup paperSize="9" orientation="portrait" r:id="rId1"/>
  <ignoredErrors>
    <ignoredError sqref="L13:M19 L28:M28" formula="1"/>
  </ignoredError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0FFEC6-8505-4096-8AD7-C3D425C69C7B}">
  <sheetPr codeName="Sheet14"/>
  <dimension ref="A1:E76"/>
  <sheetViews>
    <sheetView topLeftCell="A13" workbookViewId="0">
      <selection activeCell="F31" sqref="F31"/>
    </sheetView>
  </sheetViews>
  <sheetFormatPr defaultRowHeight="14.4" x14ac:dyDescent="0.3"/>
  <cols>
    <col min="1" max="1" width="6.88671875" bestFit="1" customWidth="1"/>
    <col min="2" max="2" width="11.33203125" bestFit="1" customWidth="1"/>
    <col min="3" max="3" width="14.77734375" bestFit="1" customWidth="1"/>
    <col min="4" max="4" width="9.6640625" bestFit="1" customWidth="1"/>
    <col min="5" max="5" width="8.5546875" bestFit="1" customWidth="1"/>
  </cols>
  <sheetData>
    <row r="1" spans="1:5" x14ac:dyDescent="0.3">
      <c r="A1" t="s">
        <v>1047</v>
      </c>
      <c r="B1" t="s">
        <v>1048</v>
      </c>
      <c r="C1" t="s">
        <v>1049</v>
      </c>
      <c r="D1" t="s">
        <v>1050</v>
      </c>
      <c r="E1" t="s">
        <v>1051</v>
      </c>
    </row>
    <row r="2" spans="1:5" x14ac:dyDescent="0.3">
      <c r="A2">
        <v>2017</v>
      </c>
      <c r="B2" t="s">
        <v>1052</v>
      </c>
      <c r="C2" t="s">
        <v>1053</v>
      </c>
      <c r="D2" s="198">
        <v>20000</v>
      </c>
      <c r="E2" s="199">
        <v>0.75</v>
      </c>
    </row>
    <row r="3" spans="1:5" x14ac:dyDescent="0.3">
      <c r="A3">
        <v>2015</v>
      </c>
      <c r="B3" t="s">
        <v>1054</v>
      </c>
      <c r="C3" t="s">
        <v>1055</v>
      </c>
      <c r="D3" s="198">
        <v>3700</v>
      </c>
      <c r="E3" s="199">
        <v>0.22</v>
      </c>
    </row>
    <row r="4" spans="1:5" x14ac:dyDescent="0.3">
      <c r="A4">
        <v>2017</v>
      </c>
      <c r="B4" t="s">
        <v>1054</v>
      </c>
      <c r="C4" t="s">
        <v>1056</v>
      </c>
      <c r="D4" s="198">
        <v>4000</v>
      </c>
      <c r="E4" s="199">
        <v>0.22</v>
      </c>
    </row>
    <row r="5" spans="1:5" x14ac:dyDescent="0.3">
      <c r="A5">
        <v>2015</v>
      </c>
      <c r="B5" t="s">
        <v>1054</v>
      </c>
      <c r="C5" t="s">
        <v>1057</v>
      </c>
      <c r="D5" s="198">
        <v>13300</v>
      </c>
      <c r="E5" s="199">
        <v>0.56000000000000005</v>
      </c>
    </row>
    <row r="6" spans="1:5" x14ac:dyDescent="0.3">
      <c r="A6">
        <v>2017</v>
      </c>
      <c r="B6" t="s">
        <v>1054</v>
      </c>
      <c r="C6" t="s">
        <v>1058</v>
      </c>
      <c r="D6" s="198">
        <v>36000</v>
      </c>
      <c r="E6" s="199">
        <v>1</v>
      </c>
    </row>
    <row r="7" spans="1:5" x14ac:dyDescent="0.3">
      <c r="A7">
        <v>2015</v>
      </c>
      <c r="B7" t="s">
        <v>1052</v>
      </c>
      <c r="C7" t="s">
        <v>1059</v>
      </c>
      <c r="D7" s="198">
        <v>2300</v>
      </c>
      <c r="E7" s="199">
        <v>0.35</v>
      </c>
    </row>
    <row r="8" spans="1:5" x14ac:dyDescent="0.3">
      <c r="A8">
        <v>2016</v>
      </c>
      <c r="B8" t="s">
        <v>1054</v>
      </c>
      <c r="C8" t="s">
        <v>1055</v>
      </c>
      <c r="D8" s="198">
        <v>2300</v>
      </c>
      <c r="E8" s="199">
        <v>0.28000000000000003</v>
      </c>
    </row>
    <row r="9" spans="1:5" x14ac:dyDescent="0.3">
      <c r="A9">
        <v>2016</v>
      </c>
      <c r="B9" t="s">
        <v>1052</v>
      </c>
      <c r="C9" t="s">
        <v>1060</v>
      </c>
      <c r="D9" s="198">
        <v>3400</v>
      </c>
      <c r="E9" s="199">
        <v>0.36</v>
      </c>
    </row>
    <row r="10" spans="1:5" x14ac:dyDescent="0.3">
      <c r="A10">
        <v>2016</v>
      </c>
      <c r="B10" t="s">
        <v>1061</v>
      </c>
      <c r="C10" t="s">
        <v>1062</v>
      </c>
      <c r="D10" s="198">
        <v>6300</v>
      </c>
      <c r="E10" s="199">
        <v>0.4</v>
      </c>
    </row>
    <row r="11" spans="1:5" x14ac:dyDescent="0.3">
      <c r="A11">
        <v>2017</v>
      </c>
      <c r="B11" t="s">
        <v>1052</v>
      </c>
      <c r="C11" t="s">
        <v>1060</v>
      </c>
      <c r="D11" s="198">
        <v>5400</v>
      </c>
      <c r="E11" s="199">
        <v>0.38</v>
      </c>
    </row>
    <row r="12" spans="1:5" x14ac:dyDescent="0.3">
      <c r="A12">
        <v>2016</v>
      </c>
      <c r="B12" t="s">
        <v>1063</v>
      </c>
      <c r="C12" t="s">
        <v>1064</v>
      </c>
      <c r="D12" s="198">
        <v>17000</v>
      </c>
      <c r="E12" s="199">
        <v>0.9</v>
      </c>
    </row>
    <row r="13" spans="1:5" x14ac:dyDescent="0.3">
      <c r="A13">
        <v>2016</v>
      </c>
      <c r="B13" t="s">
        <v>1063</v>
      </c>
      <c r="C13" t="s">
        <v>1065</v>
      </c>
      <c r="D13" s="198">
        <v>21600</v>
      </c>
      <c r="E13" s="199">
        <v>0.9</v>
      </c>
    </row>
    <row r="14" spans="1:5" x14ac:dyDescent="0.3">
      <c r="A14">
        <v>2016</v>
      </c>
      <c r="B14" t="s">
        <v>1063</v>
      </c>
      <c r="C14" t="s">
        <v>1066</v>
      </c>
      <c r="D14" s="198">
        <v>29800</v>
      </c>
      <c r="E14" s="199">
        <v>0.9</v>
      </c>
    </row>
    <row r="15" spans="1:5" x14ac:dyDescent="0.3">
      <c r="A15">
        <v>2016</v>
      </c>
      <c r="B15" t="s">
        <v>1052</v>
      </c>
      <c r="C15" t="s">
        <v>1067</v>
      </c>
      <c r="D15" s="198">
        <v>1000</v>
      </c>
      <c r="E15" s="199">
        <v>0.23</v>
      </c>
    </row>
    <row r="16" spans="1:5" x14ac:dyDescent="0.3">
      <c r="A16">
        <v>2015</v>
      </c>
      <c r="B16" t="s">
        <v>1054</v>
      </c>
      <c r="C16" t="s">
        <v>1068</v>
      </c>
      <c r="D16" s="198">
        <v>6700</v>
      </c>
      <c r="E16" s="199">
        <v>0.05</v>
      </c>
    </row>
    <row r="17" spans="1:5" x14ac:dyDescent="0.3">
      <c r="A17">
        <v>2017</v>
      </c>
      <c r="B17" t="s">
        <v>1052</v>
      </c>
      <c r="C17" t="s">
        <v>1067</v>
      </c>
      <c r="D17" s="198">
        <v>600</v>
      </c>
      <c r="E17" s="199">
        <v>0.27</v>
      </c>
    </row>
    <row r="18" spans="1:5" x14ac:dyDescent="0.3">
      <c r="A18">
        <v>2015</v>
      </c>
      <c r="B18" t="s">
        <v>1061</v>
      </c>
      <c r="C18" t="s">
        <v>1069</v>
      </c>
      <c r="D18" s="198">
        <v>3500</v>
      </c>
      <c r="E18" s="199">
        <v>0.5</v>
      </c>
    </row>
    <row r="19" spans="1:5" x14ac:dyDescent="0.3">
      <c r="A19">
        <v>2017</v>
      </c>
      <c r="B19" t="s">
        <v>1054</v>
      </c>
      <c r="C19" t="s">
        <v>1068</v>
      </c>
      <c r="D19" s="198">
        <v>7500</v>
      </c>
      <c r="E19" s="199">
        <v>0.4</v>
      </c>
    </row>
    <row r="20" spans="1:5" x14ac:dyDescent="0.3">
      <c r="A20">
        <v>2017</v>
      </c>
      <c r="B20" t="s">
        <v>1063</v>
      </c>
      <c r="C20" t="s">
        <v>1070</v>
      </c>
      <c r="D20" s="198">
        <v>63700</v>
      </c>
      <c r="E20" s="199">
        <v>0.9</v>
      </c>
    </row>
    <row r="21" spans="1:5" x14ac:dyDescent="0.3">
      <c r="A21">
        <v>2017</v>
      </c>
      <c r="B21" t="s">
        <v>1061</v>
      </c>
      <c r="C21" t="s">
        <v>1071</v>
      </c>
      <c r="D21" s="198">
        <v>9300</v>
      </c>
      <c r="E21" s="199">
        <v>0.6</v>
      </c>
    </row>
    <row r="22" spans="1:5" x14ac:dyDescent="0.3">
      <c r="A22">
        <v>2017</v>
      </c>
      <c r="B22" t="s">
        <v>1061</v>
      </c>
      <c r="C22" t="s">
        <v>1062</v>
      </c>
      <c r="D22" s="198">
        <v>8500</v>
      </c>
      <c r="E22" s="199">
        <v>0.46</v>
      </c>
    </row>
    <row r="23" spans="1:5" x14ac:dyDescent="0.3">
      <c r="A23">
        <v>2017</v>
      </c>
      <c r="B23" t="s">
        <v>1063</v>
      </c>
      <c r="C23" t="s">
        <v>1072</v>
      </c>
      <c r="D23" s="198">
        <v>33700</v>
      </c>
      <c r="E23" s="199">
        <v>0.92</v>
      </c>
    </row>
    <row r="24" spans="1:5" x14ac:dyDescent="0.3">
      <c r="A24">
        <v>2017</v>
      </c>
      <c r="B24" t="s">
        <v>1054</v>
      </c>
      <c r="C24" t="s">
        <v>1073</v>
      </c>
      <c r="D24" s="198">
        <v>600</v>
      </c>
      <c r="E24" s="199">
        <v>0.15</v>
      </c>
    </row>
    <row r="25" spans="1:5" x14ac:dyDescent="0.3">
      <c r="A25">
        <v>2015</v>
      </c>
      <c r="B25" t="s">
        <v>1061</v>
      </c>
      <c r="C25" t="s">
        <v>1062</v>
      </c>
      <c r="D25" s="198">
        <v>3100</v>
      </c>
      <c r="E25" s="199">
        <v>0.35</v>
      </c>
    </row>
    <row r="26" spans="1:5" x14ac:dyDescent="0.3">
      <c r="A26">
        <v>2017</v>
      </c>
      <c r="B26" t="s">
        <v>1063</v>
      </c>
      <c r="C26" t="s">
        <v>1074</v>
      </c>
      <c r="D26" s="198">
        <v>30700</v>
      </c>
      <c r="E26" s="199">
        <v>0.95</v>
      </c>
    </row>
    <row r="27" spans="1:5" x14ac:dyDescent="0.3">
      <c r="A27">
        <v>2016</v>
      </c>
      <c r="B27" t="s">
        <v>1063</v>
      </c>
      <c r="C27" t="s">
        <v>1074</v>
      </c>
      <c r="D27" s="198">
        <v>16400</v>
      </c>
      <c r="E27" s="199">
        <v>0.8</v>
      </c>
    </row>
    <row r="28" spans="1:5" x14ac:dyDescent="0.3">
      <c r="A28">
        <v>2016</v>
      </c>
      <c r="B28" t="s">
        <v>1063</v>
      </c>
      <c r="C28" t="s">
        <v>1072</v>
      </c>
      <c r="D28" s="198">
        <v>22100</v>
      </c>
      <c r="E28" s="199">
        <v>0.9</v>
      </c>
    </row>
    <row r="29" spans="1:5" x14ac:dyDescent="0.3">
      <c r="A29">
        <v>2017</v>
      </c>
      <c r="B29" t="s">
        <v>1063</v>
      </c>
      <c r="C29" t="s">
        <v>1064</v>
      </c>
      <c r="D29" s="198">
        <v>34000</v>
      </c>
      <c r="E29" s="199">
        <v>0.95</v>
      </c>
    </row>
    <row r="30" spans="1:5" x14ac:dyDescent="0.3">
      <c r="A30">
        <v>2015</v>
      </c>
      <c r="B30" t="s">
        <v>1063</v>
      </c>
      <c r="C30" t="s">
        <v>1074</v>
      </c>
      <c r="D30" s="198">
        <v>700</v>
      </c>
      <c r="E30" s="199">
        <v>0.1</v>
      </c>
    </row>
    <row r="31" spans="1:5" x14ac:dyDescent="0.3">
      <c r="A31">
        <v>2015</v>
      </c>
      <c r="B31" t="s">
        <v>1054</v>
      </c>
      <c r="C31" t="s">
        <v>1058</v>
      </c>
      <c r="D31" s="198">
        <v>3300</v>
      </c>
      <c r="E31" s="199">
        <v>0.3</v>
      </c>
    </row>
    <row r="32" spans="1:5" x14ac:dyDescent="0.3">
      <c r="A32">
        <v>2017</v>
      </c>
      <c r="B32" t="s">
        <v>1061</v>
      </c>
      <c r="C32" t="s">
        <v>1069</v>
      </c>
      <c r="D32" s="198">
        <v>16900</v>
      </c>
      <c r="E32" s="199">
        <v>0.65</v>
      </c>
    </row>
    <row r="33" spans="1:5" x14ac:dyDescent="0.3">
      <c r="A33">
        <v>2017</v>
      </c>
      <c r="B33" t="s">
        <v>1063</v>
      </c>
      <c r="C33" t="s">
        <v>1065</v>
      </c>
      <c r="D33" s="198">
        <v>36700</v>
      </c>
      <c r="E33" s="199">
        <v>0.9</v>
      </c>
    </row>
    <row r="34" spans="1:5" x14ac:dyDescent="0.3">
      <c r="A34">
        <v>2015</v>
      </c>
      <c r="B34" t="s">
        <v>1063</v>
      </c>
      <c r="C34" t="s">
        <v>1064</v>
      </c>
      <c r="D34" s="198">
        <v>8300</v>
      </c>
      <c r="E34" s="199">
        <v>0.99</v>
      </c>
    </row>
    <row r="35" spans="1:5" x14ac:dyDescent="0.3">
      <c r="A35">
        <v>2016</v>
      </c>
      <c r="B35" t="s">
        <v>1054</v>
      </c>
      <c r="C35" t="s">
        <v>1056</v>
      </c>
      <c r="D35" s="198">
        <v>2900</v>
      </c>
      <c r="E35" s="199">
        <v>0.36</v>
      </c>
    </row>
    <row r="36" spans="1:5" x14ac:dyDescent="0.3">
      <c r="A36">
        <v>2015</v>
      </c>
      <c r="B36" t="s">
        <v>1063</v>
      </c>
      <c r="C36" t="s">
        <v>1070</v>
      </c>
      <c r="D36" s="198">
        <v>8700</v>
      </c>
      <c r="E36" s="199">
        <v>0.9</v>
      </c>
    </row>
    <row r="37" spans="1:5" x14ac:dyDescent="0.3">
      <c r="A37">
        <v>2017</v>
      </c>
      <c r="B37" t="s">
        <v>1063</v>
      </c>
      <c r="C37" t="s">
        <v>1066</v>
      </c>
      <c r="D37" s="198">
        <v>35000</v>
      </c>
      <c r="E37" s="199">
        <v>1</v>
      </c>
    </row>
    <row r="38" spans="1:5" x14ac:dyDescent="0.3">
      <c r="A38">
        <v>2016</v>
      </c>
      <c r="B38" t="s">
        <v>1061</v>
      </c>
      <c r="C38" t="s">
        <v>1069</v>
      </c>
      <c r="D38" s="198">
        <v>8300</v>
      </c>
      <c r="E38" s="199">
        <v>0.46</v>
      </c>
    </row>
    <row r="39" spans="1:5" x14ac:dyDescent="0.3">
      <c r="A39">
        <v>2016</v>
      </c>
      <c r="B39" t="s">
        <v>1052</v>
      </c>
      <c r="C39" t="s">
        <v>1075</v>
      </c>
      <c r="D39" s="198">
        <v>16700</v>
      </c>
      <c r="E39" s="199">
        <v>0.75</v>
      </c>
    </row>
    <row r="40" spans="1:5" x14ac:dyDescent="0.3">
      <c r="A40">
        <v>2016</v>
      </c>
      <c r="B40" t="s">
        <v>1061</v>
      </c>
      <c r="C40" t="s">
        <v>1076</v>
      </c>
      <c r="D40" s="198">
        <v>1800</v>
      </c>
      <c r="E40" s="199">
        <v>0.15</v>
      </c>
    </row>
    <row r="41" spans="1:5" x14ac:dyDescent="0.3">
      <c r="A41">
        <v>2017</v>
      </c>
      <c r="B41" t="s">
        <v>1054</v>
      </c>
      <c r="C41" t="s">
        <v>1055</v>
      </c>
      <c r="D41" s="198">
        <v>3700</v>
      </c>
      <c r="E41" s="199">
        <v>0.48</v>
      </c>
    </row>
    <row r="42" spans="1:5" x14ac:dyDescent="0.3">
      <c r="A42">
        <v>2016</v>
      </c>
      <c r="B42" t="s">
        <v>1054</v>
      </c>
      <c r="C42" t="s">
        <v>1057</v>
      </c>
      <c r="D42" s="198">
        <v>12000</v>
      </c>
      <c r="E42" s="199">
        <v>0.66</v>
      </c>
    </row>
    <row r="43" spans="1:5" x14ac:dyDescent="0.3">
      <c r="A43">
        <v>2015</v>
      </c>
      <c r="B43" t="s">
        <v>1063</v>
      </c>
      <c r="C43" t="s">
        <v>1066</v>
      </c>
      <c r="D43" s="198">
        <v>10000</v>
      </c>
      <c r="E43" s="199">
        <v>0.85</v>
      </c>
    </row>
    <row r="44" spans="1:5" x14ac:dyDescent="0.3">
      <c r="A44">
        <v>2015</v>
      </c>
      <c r="B44" t="s">
        <v>1052</v>
      </c>
      <c r="C44" t="s">
        <v>1067</v>
      </c>
      <c r="D44" s="198">
        <v>500</v>
      </c>
      <c r="E44" s="199">
        <v>0.35</v>
      </c>
    </row>
    <row r="45" spans="1:5" x14ac:dyDescent="0.3">
      <c r="A45">
        <v>2017</v>
      </c>
      <c r="B45" t="s">
        <v>1052</v>
      </c>
      <c r="C45" t="s">
        <v>1075</v>
      </c>
      <c r="D45" s="198">
        <v>21800</v>
      </c>
      <c r="E45" s="199">
        <v>0.96</v>
      </c>
    </row>
    <row r="46" spans="1:5" x14ac:dyDescent="0.3">
      <c r="A46">
        <v>2016</v>
      </c>
      <c r="B46" t="s">
        <v>1052</v>
      </c>
      <c r="C46" t="s">
        <v>1053</v>
      </c>
      <c r="D46" s="198">
        <v>16400</v>
      </c>
      <c r="E46" s="199">
        <v>0.7</v>
      </c>
    </row>
    <row r="47" spans="1:5" x14ac:dyDescent="0.3">
      <c r="A47">
        <v>2016</v>
      </c>
      <c r="B47" t="s">
        <v>1054</v>
      </c>
      <c r="C47" t="s">
        <v>1073</v>
      </c>
      <c r="D47" s="198">
        <v>400</v>
      </c>
      <c r="E47" s="199">
        <v>0.2</v>
      </c>
    </row>
    <row r="48" spans="1:5" x14ac:dyDescent="0.3">
      <c r="A48">
        <v>2015</v>
      </c>
      <c r="B48" t="s">
        <v>1054</v>
      </c>
      <c r="C48" t="s">
        <v>1077</v>
      </c>
      <c r="D48" s="198">
        <v>3300</v>
      </c>
      <c r="E48" s="199">
        <v>0.36</v>
      </c>
    </row>
    <row r="49" spans="1:5" x14ac:dyDescent="0.3">
      <c r="A49">
        <v>2017</v>
      </c>
      <c r="B49" t="s">
        <v>1052</v>
      </c>
      <c r="C49" t="s">
        <v>1059</v>
      </c>
      <c r="D49" s="198">
        <v>5000</v>
      </c>
      <c r="E49" s="199">
        <v>0.35</v>
      </c>
    </row>
    <row r="50" spans="1:5" x14ac:dyDescent="0.3">
      <c r="A50">
        <v>2016</v>
      </c>
      <c r="B50" t="s">
        <v>1052</v>
      </c>
      <c r="C50" t="s">
        <v>1059</v>
      </c>
      <c r="D50" s="198">
        <v>3300</v>
      </c>
      <c r="E50" s="199">
        <v>0.38</v>
      </c>
    </row>
    <row r="51" spans="1:5" x14ac:dyDescent="0.3">
      <c r="A51">
        <v>2015</v>
      </c>
      <c r="B51" t="s">
        <v>1052</v>
      </c>
      <c r="C51" t="s">
        <v>1078</v>
      </c>
      <c r="D51" s="198">
        <v>800</v>
      </c>
      <c r="E51" s="199">
        <v>0.36</v>
      </c>
    </row>
    <row r="52" spans="1:5" x14ac:dyDescent="0.3">
      <c r="A52">
        <v>2016</v>
      </c>
      <c r="B52" t="s">
        <v>1054</v>
      </c>
      <c r="C52" t="s">
        <v>1079</v>
      </c>
      <c r="D52" s="198">
        <v>15600</v>
      </c>
      <c r="E52" s="199">
        <v>0.65</v>
      </c>
    </row>
    <row r="53" spans="1:5" x14ac:dyDescent="0.3">
      <c r="A53">
        <v>2016</v>
      </c>
      <c r="B53" t="s">
        <v>1052</v>
      </c>
      <c r="C53" t="s">
        <v>1078</v>
      </c>
      <c r="D53" s="198">
        <v>1500</v>
      </c>
      <c r="E53" s="199">
        <v>0.17</v>
      </c>
    </row>
    <row r="54" spans="1:5" x14ac:dyDescent="0.3">
      <c r="A54">
        <v>2017</v>
      </c>
      <c r="B54" t="s">
        <v>1052</v>
      </c>
      <c r="C54" t="s">
        <v>1078</v>
      </c>
      <c r="D54" s="198">
        <v>6200</v>
      </c>
      <c r="E54" s="199">
        <v>0.38</v>
      </c>
    </row>
    <row r="55" spans="1:5" x14ac:dyDescent="0.3">
      <c r="A55">
        <v>2017</v>
      </c>
      <c r="B55" t="s">
        <v>1054</v>
      </c>
      <c r="C55" t="s">
        <v>1079</v>
      </c>
      <c r="D55" s="198">
        <v>27000</v>
      </c>
      <c r="E55" s="199">
        <v>0.88</v>
      </c>
    </row>
    <row r="56" spans="1:5" x14ac:dyDescent="0.3">
      <c r="A56">
        <v>2016</v>
      </c>
      <c r="B56" t="s">
        <v>1052</v>
      </c>
      <c r="C56" t="s">
        <v>1080</v>
      </c>
      <c r="D56" s="198">
        <v>2800</v>
      </c>
      <c r="E56" s="199">
        <v>0.38</v>
      </c>
    </row>
    <row r="57" spans="1:5" x14ac:dyDescent="0.3">
      <c r="A57">
        <v>2016</v>
      </c>
      <c r="B57" t="s">
        <v>1061</v>
      </c>
      <c r="C57" t="s">
        <v>1071</v>
      </c>
      <c r="D57" s="198">
        <v>6700</v>
      </c>
      <c r="E57" s="199">
        <v>0.46</v>
      </c>
    </row>
    <row r="58" spans="1:5" x14ac:dyDescent="0.3">
      <c r="A58">
        <v>2015</v>
      </c>
      <c r="B58" t="s">
        <v>1054</v>
      </c>
      <c r="C58" t="s">
        <v>1079</v>
      </c>
      <c r="D58" s="198">
        <v>13300</v>
      </c>
      <c r="E58" s="199">
        <v>0.5</v>
      </c>
    </row>
    <row r="59" spans="1:5" x14ac:dyDescent="0.3">
      <c r="A59">
        <v>2016</v>
      </c>
      <c r="B59" t="s">
        <v>1063</v>
      </c>
      <c r="C59" t="s">
        <v>1070</v>
      </c>
      <c r="D59" s="198">
        <v>13800</v>
      </c>
      <c r="E59" s="199">
        <v>0.85</v>
      </c>
    </row>
    <row r="60" spans="1:5" x14ac:dyDescent="0.3">
      <c r="A60">
        <v>2017</v>
      </c>
      <c r="B60" t="s">
        <v>1054</v>
      </c>
      <c r="C60" t="s">
        <v>1077</v>
      </c>
      <c r="D60" s="198">
        <v>2400</v>
      </c>
      <c r="E60" s="199">
        <v>0.35</v>
      </c>
    </row>
    <row r="61" spans="1:5" x14ac:dyDescent="0.3">
      <c r="A61">
        <v>2015</v>
      </c>
      <c r="B61" t="s">
        <v>1063</v>
      </c>
      <c r="C61" t="s">
        <v>1072</v>
      </c>
      <c r="D61" s="198">
        <v>300</v>
      </c>
      <c r="E61" s="199">
        <v>0.05</v>
      </c>
    </row>
    <row r="62" spans="1:5" x14ac:dyDescent="0.3">
      <c r="A62">
        <v>2015</v>
      </c>
      <c r="B62" t="s">
        <v>1052</v>
      </c>
      <c r="C62" t="s">
        <v>1080</v>
      </c>
      <c r="D62" s="198">
        <v>2100</v>
      </c>
      <c r="E62" s="199">
        <v>0.49</v>
      </c>
    </row>
    <row r="63" spans="1:5" x14ac:dyDescent="0.3">
      <c r="A63">
        <v>2015</v>
      </c>
      <c r="B63" t="s">
        <v>1052</v>
      </c>
      <c r="C63" t="s">
        <v>1060</v>
      </c>
      <c r="D63" s="198">
        <v>2300</v>
      </c>
      <c r="E63" s="199">
        <v>0.34</v>
      </c>
    </row>
    <row r="64" spans="1:5" x14ac:dyDescent="0.3">
      <c r="A64">
        <v>2015</v>
      </c>
      <c r="B64" t="s">
        <v>1052</v>
      </c>
      <c r="C64" t="s">
        <v>1075</v>
      </c>
      <c r="D64" s="198">
        <v>10000</v>
      </c>
      <c r="E64" s="199">
        <v>0.66</v>
      </c>
    </row>
    <row r="65" spans="1:5" x14ac:dyDescent="0.3">
      <c r="A65">
        <v>2015</v>
      </c>
      <c r="B65" t="s">
        <v>1061</v>
      </c>
      <c r="C65" t="s">
        <v>1076</v>
      </c>
      <c r="D65" s="198">
        <v>500</v>
      </c>
      <c r="E65" s="199">
        <v>0.22</v>
      </c>
    </row>
    <row r="66" spans="1:5" x14ac:dyDescent="0.3">
      <c r="A66">
        <v>2016</v>
      </c>
      <c r="B66" t="s">
        <v>1054</v>
      </c>
      <c r="C66" t="s">
        <v>1068</v>
      </c>
      <c r="D66" s="198">
        <v>3800</v>
      </c>
      <c r="E66" s="199">
        <v>0.48</v>
      </c>
    </row>
    <row r="67" spans="1:5" x14ac:dyDescent="0.3">
      <c r="A67">
        <v>2015</v>
      </c>
      <c r="B67" t="s">
        <v>1061</v>
      </c>
      <c r="C67" t="s">
        <v>1071</v>
      </c>
      <c r="D67" s="198">
        <v>3200</v>
      </c>
      <c r="E67" s="199">
        <v>0.48</v>
      </c>
    </row>
    <row r="68" spans="1:5" x14ac:dyDescent="0.3">
      <c r="A68">
        <v>2017</v>
      </c>
      <c r="B68" t="s">
        <v>1054</v>
      </c>
      <c r="C68" t="s">
        <v>1057</v>
      </c>
      <c r="D68" s="198">
        <v>23000</v>
      </c>
      <c r="E68" s="199">
        <v>1</v>
      </c>
    </row>
    <row r="69" spans="1:5" x14ac:dyDescent="0.3">
      <c r="A69">
        <v>2015</v>
      </c>
      <c r="B69" t="s">
        <v>1054</v>
      </c>
      <c r="C69" t="s">
        <v>1056</v>
      </c>
      <c r="D69" s="198">
        <v>700</v>
      </c>
      <c r="E69" s="199">
        <v>0.28000000000000003</v>
      </c>
    </row>
    <row r="70" spans="1:5" x14ac:dyDescent="0.3">
      <c r="A70">
        <v>2015</v>
      </c>
      <c r="B70" t="s">
        <v>1063</v>
      </c>
      <c r="C70" t="s">
        <v>1065</v>
      </c>
      <c r="D70" s="198">
        <v>1300</v>
      </c>
      <c r="E70" s="199">
        <v>0.9</v>
      </c>
    </row>
    <row r="71" spans="1:5" x14ac:dyDescent="0.3">
      <c r="A71">
        <v>2016</v>
      </c>
      <c r="B71" t="s">
        <v>1054</v>
      </c>
      <c r="C71" t="s">
        <v>1077</v>
      </c>
      <c r="D71" s="198">
        <v>1300</v>
      </c>
      <c r="E71" s="199">
        <v>0.25</v>
      </c>
    </row>
    <row r="72" spans="1:5" x14ac:dyDescent="0.3">
      <c r="A72">
        <v>2016</v>
      </c>
      <c r="B72" t="s">
        <v>1054</v>
      </c>
      <c r="C72" t="s">
        <v>1058</v>
      </c>
      <c r="D72" s="198">
        <v>22100</v>
      </c>
      <c r="E72" s="199">
        <v>0.99</v>
      </c>
    </row>
    <row r="73" spans="1:5" x14ac:dyDescent="0.3">
      <c r="A73">
        <v>2017</v>
      </c>
      <c r="B73" t="s">
        <v>1052</v>
      </c>
      <c r="C73" t="s">
        <v>1080</v>
      </c>
      <c r="D73" s="198">
        <v>3100</v>
      </c>
      <c r="E73" s="199">
        <v>0.42</v>
      </c>
    </row>
    <row r="74" spans="1:5" x14ac:dyDescent="0.3">
      <c r="A74">
        <v>2015</v>
      </c>
      <c r="B74" t="s">
        <v>1054</v>
      </c>
      <c r="C74" t="s">
        <v>1073</v>
      </c>
      <c r="D74" s="198">
        <v>500</v>
      </c>
      <c r="E74" s="199">
        <v>0.5</v>
      </c>
    </row>
    <row r="75" spans="1:5" x14ac:dyDescent="0.3">
      <c r="A75">
        <v>2017</v>
      </c>
      <c r="B75" t="s">
        <v>1061</v>
      </c>
      <c r="C75" t="s">
        <v>1076</v>
      </c>
      <c r="D75" s="198">
        <v>3100</v>
      </c>
      <c r="E75" s="199">
        <v>0.22</v>
      </c>
    </row>
    <row r="76" spans="1:5" x14ac:dyDescent="0.3">
      <c r="A76">
        <v>2015</v>
      </c>
      <c r="B76" t="s">
        <v>1052</v>
      </c>
      <c r="C76" t="s">
        <v>1053</v>
      </c>
      <c r="D76" s="198">
        <v>8700</v>
      </c>
      <c r="E76" s="199">
        <v>0.92</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1165B3-669F-4442-92E3-D6D2035E0B29}">
  <sheetPr codeName="Sheet2"/>
  <dimension ref="A1:D5"/>
  <sheetViews>
    <sheetView workbookViewId="0">
      <selection activeCell="G23" sqref="G23"/>
    </sheetView>
  </sheetViews>
  <sheetFormatPr defaultRowHeight="14.4" x14ac:dyDescent="0.3"/>
  <cols>
    <col min="1" max="1" width="11.21875" bestFit="1" customWidth="1"/>
    <col min="2" max="2" width="11.88671875" bestFit="1" customWidth="1"/>
    <col min="3" max="3" width="9.77734375" bestFit="1" customWidth="1"/>
  </cols>
  <sheetData>
    <row r="1" spans="1:4" x14ac:dyDescent="0.3">
      <c r="A1" s="18" t="s">
        <v>32</v>
      </c>
      <c r="B1" s="18" t="s">
        <v>92</v>
      </c>
      <c r="C1" s="18" t="s">
        <v>96</v>
      </c>
      <c r="D1" s="18" t="s">
        <v>29</v>
      </c>
    </row>
    <row r="2" spans="1:4" x14ac:dyDescent="0.3">
      <c r="A2" t="s">
        <v>33</v>
      </c>
      <c r="B2" t="s">
        <v>16</v>
      </c>
    </row>
    <row r="3" spans="1:4" x14ac:dyDescent="0.3">
      <c r="A3" t="s">
        <v>31</v>
      </c>
      <c r="B3" t="s">
        <v>93</v>
      </c>
    </row>
    <row r="4" spans="1:4" x14ac:dyDescent="0.3">
      <c r="A4" t="s">
        <v>95</v>
      </c>
      <c r="B4" t="s">
        <v>23</v>
      </c>
    </row>
    <row r="5" spans="1:4" x14ac:dyDescent="0.3">
      <c r="A5" t="s">
        <v>152</v>
      </c>
      <c r="B5" t="s">
        <v>94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F5AE7A-C89C-4166-9D86-FD75D0955EF3}">
  <sheetPr codeName="Sheet3">
    <pageSetUpPr fitToPage="1"/>
  </sheetPr>
  <dimension ref="C1:N181"/>
  <sheetViews>
    <sheetView showGridLines="0" view="pageBreakPreview" topLeftCell="A28" zoomScale="70" zoomScaleNormal="70" zoomScaleSheetLayoutView="70" workbookViewId="0">
      <selection activeCell="D21" sqref="D21:D28"/>
    </sheetView>
  </sheetViews>
  <sheetFormatPr defaultRowHeight="14.4" x14ac:dyDescent="0.3"/>
  <cols>
    <col min="2" max="2" width="6" customWidth="1"/>
    <col min="3" max="3" width="5.77734375" style="191" customWidth="1"/>
    <col min="4" max="4" width="13.6640625" style="191" bestFit="1" customWidth="1"/>
    <col min="5" max="5" width="33.88671875" style="191" customWidth="1"/>
    <col min="6" max="6" width="30.6640625" style="191" bestFit="1" customWidth="1"/>
    <col min="7" max="7" width="11.88671875" style="191" bestFit="1" customWidth="1"/>
    <col min="8" max="8" width="23.5546875" style="191" bestFit="1" customWidth="1"/>
    <col min="9" max="9" width="18" style="191" bestFit="1" customWidth="1"/>
    <col min="10" max="10" width="25.6640625" style="191" bestFit="1" customWidth="1"/>
    <col min="11" max="11" width="48.5546875" style="191" bestFit="1" customWidth="1"/>
    <col min="12" max="12" width="3.77734375" style="191" customWidth="1"/>
    <col min="14" max="14" width="11.6640625" bestFit="1" customWidth="1"/>
    <col min="17" max="17" width="23.33203125" bestFit="1" customWidth="1"/>
  </cols>
  <sheetData>
    <row r="1" spans="7:14" ht="22.2" customHeight="1" x14ac:dyDescent="0.3"/>
    <row r="4" spans="7:14" ht="3.6" customHeight="1" x14ac:dyDescent="0.3"/>
    <row r="5" spans="7:14" ht="28.8" customHeight="1" x14ac:dyDescent="0.3">
      <c r="J5" s="270"/>
      <c r="K5" s="270"/>
      <c r="N5" s="240">
        <f ca="1">TODAY()</f>
        <v>45640</v>
      </c>
    </row>
    <row r="7" spans="7:14" x14ac:dyDescent="0.3">
      <c r="J7" s="269"/>
      <c r="K7" s="269"/>
    </row>
    <row r="9" spans="7:14" ht="18" x14ac:dyDescent="0.5">
      <c r="G9" s="268"/>
      <c r="H9" s="268"/>
      <c r="K9" s="238"/>
    </row>
    <row r="10" spans="7:14" x14ac:dyDescent="0.3">
      <c r="G10" s="268"/>
      <c r="H10" s="268"/>
    </row>
    <row r="11" spans="7:14" ht="21" x14ac:dyDescent="0.6">
      <c r="G11" s="268"/>
      <c r="H11" s="268"/>
      <c r="K11" s="239"/>
    </row>
    <row r="12" spans="7:14" ht="23.4" customHeight="1" x14ac:dyDescent="0.5">
      <c r="G12" s="268"/>
      <c r="H12" s="268"/>
      <c r="J12" s="193"/>
      <c r="K12" s="192"/>
    </row>
    <row r="13" spans="7:14" ht="19.2" customHeight="1" x14ac:dyDescent="0.6">
      <c r="G13" s="268"/>
      <c r="H13" s="268"/>
      <c r="K13" s="239"/>
    </row>
    <row r="14" spans="7:14" x14ac:dyDescent="0.3">
      <c r="G14" s="268"/>
      <c r="H14" s="268"/>
    </row>
    <row r="19" spans="3:12" ht="40.799999999999997" customHeight="1" x14ac:dyDescent="0.3"/>
    <row r="20" spans="3:12" s="203" customFormat="1" ht="34.799999999999997" x14ac:dyDescent="0.35">
      <c r="C20" s="202"/>
      <c r="D20" s="209" t="s">
        <v>9</v>
      </c>
      <c r="E20" s="209" t="s">
        <v>990</v>
      </c>
      <c r="F20" s="209" t="s">
        <v>988</v>
      </c>
      <c r="G20" s="210" t="s">
        <v>995</v>
      </c>
      <c r="H20" s="210" t="s">
        <v>998</v>
      </c>
      <c r="I20" s="210" t="s">
        <v>218</v>
      </c>
      <c r="J20" s="211" t="s">
        <v>996</v>
      </c>
      <c r="K20" s="212" t="s">
        <v>997</v>
      </c>
      <c r="L20" s="202"/>
    </row>
    <row r="21" spans="3:12" s="195" customFormat="1" ht="15.6" x14ac:dyDescent="0.3">
      <c r="C21" s="194"/>
      <c r="D21" t="s">
        <v>117</v>
      </c>
      <c r="E21" t="s">
        <v>986</v>
      </c>
      <c r="F21" t="s">
        <v>118</v>
      </c>
      <c r="G21" s="1">
        <v>1</v>
      </c>
      <c r="H21" t="s">
        <v>95</v>
      </c>
      <c r="I21" s="246">
        <v>1</v>
      </c>
      <c r="J21" s="172">
        <v>189231.52999999994</v>
      </c>
      <c r="K21" s="248" t="s">
        <v>120</v>
      </c>
      <c r="L21" s="194"/>
    </row>
    <row r="22" spans="3:12" s="195" customFormat="1" ht="15.6" x14ac:dyDescent="0.3">
      <c r="C22" s="194"/>
      <c r="D22" t="s">
        <v>229</v>
      </c>
      <c r="E22" t="s">
        <v>986</v>
      </c>
      <c r="F22" t="s">
        <v>118</v>
      </c>
      <c r="G22" s="1">
        <v>1</v>
      </c>
      <c r="H22" s="56" t="s">
        <v>95</v>
      </c>
      <c r="I22" s="246">
        <v>1</v>
      </c>
      <c r="J22" s="172">
        <v>155984.84</v>
      </c>
      <c r="K22" s="248" t="s">
        <v>120</v>
      </c>
      <c r="L22" s="194"/>
    </row>
    <row r="23" spans="3:12" s="195" customFormat="1" ht="15.6" x14ac:dyDescent="0.3">
      <c r="C23" s="194"/>
      <c r="D23" t="s">
        <v>289</v>
      </c>
      <c r="E23" t="s">
        <v>986</v>
      </c>
      <c r="F23" t="s">
        <v>118</v>
      </c>
      <c r="G23" s="1">
        <v>1</v>
      </c>
      <c r="H23" s="56" t="s">
        <v>95</v>
      </c>
      <c r="I23" s="246">
        <v>1</v>
      </c>
      <c r="J23" s="172">
        <v>285981.33999999991</v>
      </c>
      <c r="K23" s="248" t="s">
        <v>120</v>
      </c>
      <c r="L23" s="194"/>
    </row>
    <row r="24" spans="3:12" s="195" customFormat="1" ht="15.6" x14ac:dyDescent="0.3">
      <c r="C24" s="194"/>
      <c r="D24" t="s">
        <v>362</v>
      </c>
      <c r="E24" t="s">
        <v>986</v>
      </c>
      <c r="F24" t="s">
        <v>118</v>
      </c>
      <c r="G24" s="1">
        <v>1</v>
      </c>
      <c r="H24" s="56" t="s">
        <v>95</v>
      </c>
      <c r="I24" s="246">
        <v>1</v>
      </c>
      <c r="J24" s="172">
        <v>174798.16000000003</v>
      </c>
      <c r="K24" s="248" t="s">
        <v>120</v>
      </c>
      <c r="L24" s="194"/>
    </row>
    <row r="25" spans="3:12" s="195" customFormat="1" ht="15.6" x14ac:dyDescent="0.3">
      <c r="C25" s="194"/>
      <c r="D25" t="s">
        <v>423</v>
      </c>
      <c r="E25" t="s">
        <v>986</v>
      </c>
      <c r="F25" t="s">
        <v>118</v>
      </c>
      <c r="G25" s="1">
        <v>1</v>
      </c>
      <c r="H25" s="56" t="s">
        <v>95</v>
      </c>
      <c r="I25" s="246">
        <v>1</v>
      </c>
      <c r="J25" s="172">
        <v>313247.53999999998</v>
      </c>
      <c r="K25" s="248" t="s">
        <v>120</v>
      </c>
      <c r="L25" s="194"/>
    </row>
    <row r="26" spans="3:12" s="195" customFormat="1" ht="15.6" x14ac:dyDescent="0.3">
      <c r="C26" s="194"/>
      <c r="D26" t="s">
        <v>648</v>
      </c>
      <c r="E26" t="s">
        <v>986</v>
      </c>
      <c r="F26" t="s">
        <v>118</v>
      </c>
      <c r="G26" s="1">
        <v>1</v>
      </c>
      <c r="H26" s="56" t="s">
        <v>95</v>
      </c>
      <c r="I26" s="246">
        <v>1</v>
      </c>
      <c r="J26" s="172">
        <v>397430.23000000004</v>
      </c>
      <c r="K26" s="248" t="s">
        <v>120</v>
      </c>
      <c r="L26" s="194"/>
    </row>
    <row r="27" spans="3:12" s="195" customFormat="1" ht="15.6" x14ac:dyDescent="0.3">
      <c r="C27" s="194"/>
      <c r="D27" t="s">
        <v>980</v>
      </c>
      <c r="E27" t="s">
        <v>986</v>
      </c>
      <c r="F27" t="s">
        <v>118</v>
      </c>
      <c r="G27" s="1">
        <v>1</v>
      </c>
      <c r="H27" s="56" t="s">
        <v>95</v>
      </c>
      <c r="I27" s="246">
        <v>1</v>
      </c>
      <c r="J27" s="172">
        <v>197176.7794949495</v>
      </c>
      <c r="K27" s="248" t="s">
        <v>120</v>
      </c>
      <c r="L27" s="194"/>
    </row>
    <row r="28" spans="3:12" s="195" customFormat="1" ht="15.6" x14ac:dyDescent="0.3">
      <c r="C28" s="194"/>
      <c r="D28" t="s">
        <v>1283</v>
      </c>
      <c r="E28" t="s">
        <v>986</v>
      </c>
      <c r="F28" t="s">
        <v>118</v>
      </c>
      <c r="G28" s="1">
        <v>1</v>
      </c>
      <c r="H28" s="56" t="s">
        <v>95</v>
      </c>
      <c r="I28" s="246">
        <v>1</v>
      </c>
      <c r="J28" s="204">
        <v>338892.27</v>
      </c>
      <c r="K28" s="249" t="s">
        <v>120</v>
      </c>
      <c r="L28" s="194"/>
    </row>
    <row r="29" spans="3:12" s="195" customFormat="1" ht="15.6" x14ac:dyDescent="0.3">
      <c r="C29" s="194"/>
      <c r="D29" t="s">
        <v>987</v>
      </c>
      <c r="E29" t="s">
        <v>986</v>
      </c>
      <c r="F29" t="s">
        <v>118</v>
      </c>
      <c r="G29" s="1">
        <v>1</v>
      </c>
      <c r="H29" t="s">
        <v>95</v>
      </c>
      <c r="I29" s="246">
        <v>1</v>
      </c>
      <c r="J29" s="172">
        <v>273475.76625487837</v>
      </c>
      <c r="K29" s="248" t="s">
        <v>120</v>
      </c>
      <c r="L29" s="194"/>
    </row>
    <row r="30" spans="3:12" s="195" customFormat="1" ht="15.6" x14ac:dyDescent="0.3">
      <c r="C30" s="194"/>
      <c r="D30" t="s">
        <v>676</v>
      </c>
      <c r="E30" t="s">
        <v>249</v>
      </c>
      <c r="F30" t="s">
        <v>677</v>
      </c>
      <c r="G30" s="1">
        <v>2</v>
      </c>
      <c r="H30" s="56" t="s">
        <v>95</v>
      </c>
      <c r="I30" s="246">
        <v>1</v>
      </c>
      <c r="J30" s="172">
        <v>0</v>
      </c>
      <c r="K30" s="248" t="s">
        <v>120</v>
      </c>
      <c r="L30" s="194"/>
    </row>
    <row r="31" spans="3:12" s="195" customFormat="1" ht="15.6" x14ac:dyDescent="0.3">
      <c r="C31" s="194"/>
      <c r="D31" t="s">
        <v>244</v>
      </c>
      <c r="E31" t="s">
        <v>955</v>
      </c>
      <c r="F31" t="s">
        <v>167</v>
      </c>
      <c r="G31" s="1">
        <v>1</v>
      </c>
      <c r="H31" s="56" t="s">
        <v>95</v>
      </c>
      <c r="I31" s="246">
        <v>1</v>
      </c>
      <c r="J31" s="172">
        <v>79206.457821165008</v>
      </c>
      <c r="K31" s="248" t="s">
        <v>120</v>
      </c>
      <c r="L31" s="194"/>
    </row>
    <row r="32" spans="3:12" s="195" customFormat="1" ht="15.6" x14ac:dyDescent="0.3">
      <c r="C32" s="194"/>
      <c r="D32" t="s">
        <v>246</v>
      </c>
      <c r="E32" t="s">
        <v>955</v>
      </c>
      <c r="F32" t="s">
        <v>167</v>
      </c>
      <c r="G32" s="1">
        <v>1</v>
      </c>
      <c r="H32" s="56" t="s">
        <v>95</v>
      </c>
      <c r="I32" s="246">
        <v>1</v>
      </c>
      <c r="J32" s="172">
        <v>48589.616000000002</v>
      </c>
      <c r="K32" s="248" t="s">
        <v>120</v>
      </c>
      <c r="L32" s="194"/>
    </row>
    <row r="33" spans="3:12" s="195" customFormat="1" ht="15.6" x14ac:dyDescent="0.3">
      <c r="C33" s="194"/>
      <c r="D33" t="s">
        <v>300</v>
      </c>
      <c r="E33" s="260" t="s">
        <v>301</v>
      </c>
      <c r="F33" s="260" t="s">
        <v>301</v>
      </c>
      <c r="G33" s="1">
        <v>1</v>
      </c>
      <c r="H33" t="s">
        <v>152</v>
      </c>
      <c r="I33" s="246">
        <v>1</v>
      </c>
      <c r="J33" s="263">
        <v>14655.016</v>
      </c>
      <c r="K33" s="250" t="s">
        <v>641</v>
      </c>
      <c r="L33" s="194"/>
    </row>
    <row r="34" spans="3:12" s="195" customFormat="1" ht="15.6" x14ac:dyDescent="0.3">
      <c r="C34" s="194"/>
      <c r="D34" t="s">
        <v>240</v>
      </c>
      <c r="E34" s="260" t="s">
        <v>241</v>
      </c>
      <c r="F34" s="260" t="s">
        <v>242</v>
      </c>
      <c r="G34" s="1">
        <v>1</v>
      </c>
      <c r="H34" s="56" t="s">
        <v>152</v>
      </c>
      <c r="I34" s="246">
        <v>1</v>
      </c>
      <c r="J34" s="263">
        <v>3450.4569721340395</v>
      </c>
      <c r="K34" s="250" t="s">
        <v>642</v>
      </c>
      <c r="L34" s="194"/>
    </row>
    <row r="35" spans="3:12" s="195" customFormat="1" ht="15.6" x14ac:dyDescent="0.3">
      <c r="C35" s="194"/>
      <c r="D35" t="s">
        <v>166</v>
      </c>
      <c r="E35" t="s">
        <v>955</v>
      </c>
      <c r="F35" t="s">
        <v>167</v>
      </c>
      <c r="G35" s="1">
        <v>1</v>
      </c>
      <c r="H35" t="s">
        <v>95</v>
      </c>
      <c r="I35" s="246">
        <v>1</v>
      </c>
      <c r="J35" s="172">
        <v>875.33388454400006</v>
      </c>
      <c r="K35" s="248" t="s">
        <v>120</v>
      </c>
      <c r="L35" s="194"/>
    </row>
    <row r="36" spans="3:12" s="195" customFormat="1" ht="15.6" x14ac:dyDescent="0.3">
      <c r="C36" s="194"/>
      <c r="D36" t="s">
        <v>222</v>
      </c>
      <c r="E36" t="s">
        <v>955</v>
      </c>
      <c r="F36" t="s">
        <v>167</v>
      </c>
      <c r="G36" s="1">
        <v>1</v>
      </c>
      <c r="H36" s="56" t="s">
        <v>95</v>
      </c>
      <c r="I36" s="246">
        <v>1</v>
      </c>
      <c r="J36" s="172">
        <v>3090.48</v>
      </c>
      <c r="K36" s="248" t="s">
        <v>120</v>
      </c>
      <c r="L36" s="194"/>
    </row>
    <row r="37" spans="3:12" s="195" customFormat="1" ht="15.6" x14ac:dyDescent="0.3">
      <c r="C37" s="194"/>
      <c r="D37" t="s">
        <v>298</v>
      </c>
      <c r="E37" t="s">
        <v>955</v>
      </c>
      <c r="F37" t="s">
        <v>167</v>
      </c>
      <c r="G37" s="1">
        <v>1</v>
      </c>
      <c r="H37" s="56" t="s">
        <v>95</v>
      </c>
      <c r="I37" s="246">
        <v>1</v>
      </c>
      <c r="J37" s="172">
        <v>18126.983760912</v>
      </c>
      <c r="K37" s="248" t="s">
        <v>120</v>
      </c>
      <c r="L37" s="194"/>
    </row>
    <row r="38" spans="3:12" s="195" customFormat="1" ht="15.6" x14ac:dyDescent="0.3">
      <c r="C38" s="194"/>
      <c r="D38" t="s">
        <v>67</v>
      </c>
      <c r="E38" t="s">
        <v>68</v>
      </c>
      <c r="F38" t="s">
        <v>151</v>
      </c>
      <c r="G38" s="1">
        <v>1</v>
      </c>
      <c r="H38" s="56" t="s">
        <v>95</v>
      </c>
      <c r="I38" s="246">
        <v>1</v>
      </c>
      <c r="J38" s="172">
        <v>12451.611999999996</v>
      </c>
      <c r="K38" s="248" t="s">
        <v>120</v>
      </c>
      <c r="L38" s="194"/>
    </row>
    <row r="39" spans="3:12" s="195" customFormat="1" ht="15.6" x14ac:dyDescent="0.3">
      <c r="C39" s="194"/>
      <c r="D39" t="s">
        <v>10</v>
      </c>
      <c r="E39" t="s">
        <v>4</v>
      </c>
      <c r="F39" t="s">
        <v>13</v>
      </c>
      <c r="G39" s="1">
        <v>1</v>
      </c>
      <c r="H39" s="56" t="s">
        <v>95</v>
      </c>
      <c r="I39" s="246">
        <v>1</v>
      </c>
      <c r="J39" s="172">
        <v>46075.953976000012</v>
      </c>
      <c r="K39" s="248" t="s">
        <v>120</v>
      </c>
      <c r="L39" s="194"/>
    </row>
    <row r="40" spans="3:12" s="195" customFormat="1" ht="15.6" x14ac:dyDescent="0.3">
      <c r="C40" s="194"/>
      <c r="D40" t="s">
        <v>17</v>
      </c>
      <c r="E40" t="s">
        <v>565</v>
      </c>
      <c r="F40" t="s">
        <v>34</v>
      </c>
      <c r="G40" s="1">
        <v>1</v>
      </c>
      <c r="H40" s="56" t="s">
        <v>95</v>
      </c>
      <c r="I40" s="246">
        <v>1</v>
      </c>
      <c r="J40" s="172">
        <v>33141.030999999995</v>
      </c>
      <c r="K40" s="248" t="s">
        <v>120</v>
      </c>
      <c r="L40" s="194"/>
    </row>
    <row r="41" spans="3:12" s="195" customFormat="1" ht="15.6" x14ac:dyDescent="0.3">
      <c r="C41" s="194"/>
      <c r="D41" t="s">
        <v>19</v>
      </c>
      <c r="E41" t="s">
        <v>4</v>
      </c>
      <c r="F41" t="s">
        <v>20</v>
      </c>
      <c r="G41" s="1">
        <v>1</v>
      </c>
      <c r="H41" s="56" t="s">
        <v>95</v>
      </c>
      <c r="I41" s="246">
        <v>1</v>
      </c>
      <c r="J41" s="172">
        <v>24177.080888000004</v>
      </c>
      <c r="K41" s="248" t="s">
        <v>120</v>
      </c>
      <c r="L41" s="194"/>
    </row>
    <row r="42" spans="3:12" s="195" customFormat="1" ht="15.6" x14ac:dyDescent="0.3">
      <c r="C42" s="194"/>
      <c r="D42" t="s">
        <v>122</v>
      </c>
      <c r="E42" t="s">
        <v>4</v>
      </c>
      <c r="F42" t="s">
        <v>123</v>
      </c>
      <c r="G42" s="1">
        <v>1</v>
      </c>
      <c r="H42" s="56" t="s">
        <v>95</v>
      </c>
      <c r="I42" s="246">
        <v>1</v>
      </c>
      <c r="J42" s="172">
        <v>16367.054064</v>
      </c>
      <c r="K42" s="248" t="s">
        <v>120</v>
      </c>
      <c r="L42" s="194"/>
    </row>
    <row r="43" spans="3:12" s="195" customFormat="1" ht="15.6" x14ac:dyDescent="0.3">
      <c r="C43" s="194"/>
      <c r="D43" t="s">
        <v>129</v>
      </c>
      <c r="E43" t="s">
        <v>565</v>
      </c>
      <c r="F43" t="s">
        <v>144</v>
      </c>
      <c r="G43" s="1">
        <v>1</v>
      </c>
      <c r="H43" s="56" t="s">
        <v>95</v>
      </c>
      <c r="I43" s="246">
        <v>1</v>
      </c>
      <c r="J43" s="172">
        <v>66115.710000000006</v>
      </c>
      <c r="K43" s="248" t="s">
        <v>120</v>
      </c>
      <c r="L43" s="194"/>
    </row>
    <row r="44" spans="3:12" s="195" customFormat="1" ht="15.6" x14ac:dyDescent="0.3">
      <c r="C44" s="194"/>
      <c r="D44" t="s">
        <v>215</v>
      </c>
      <c r="E44" t="s">
        <v>565</v>
      </c>
      <c r="F44" t="s">
        <v>210</v>
      </c>
      <c r="G44" s="1">
        <v>2</v>
      </c>
      <c r="H44" s="56" t="s">
        <v>95</v>
      </c>
      <c r="I44" s="246">
        <v>1</v>
      </c>
      <c r="J44" s="172">
        <v>26998.236000000001</v>
      </c>
      <c r="K44" s="248" t="s">
        <v>120</v>
      </c>
      <c r="L44" s="194"/>
    </row>
    <row r="45" spans="3:12" s="195" customFormat="1" ht="15.6" x14ac:dyDescent="0.3">
      <c r="C45" s="194"/>
      <c r="D45" t="s">
        <v>216</v>
      </c>
      <c r="E45" t="s">
        <v>565</v>
      </c>
      <c r="F45" t="s">
        <v>213</v>
      </c>
      <c r="G45" s="1">
        <v>3</v>
      </c>
      <c r="H45" s="56" t="s">
        <v>95</v>
      </c>
      <c r="I45" s="246">
        <v>1</v>
      </c>
      <c r="J45" s="172">
        <v>50129.345999999998</v>
      </c>
      <c r="K45" s="248" t="s">
        <v>120</v>
      </c>
      <c r="L45" s="194"/>
    </row>
    <row r="46" spans="3:12" s="195" customFormat="1" ht="15.6" x14ac:dyDescent="0.3">
      <c r="C46" s="194"/>
      <c r="D46" t="s">
        <v>217</v>
      </c>
      <c r="E46" t="s">
        <v>565</v>
      </c>
      <c r="F46" t="s">
        <v>214</v>
      </c>
      <c r="G46" s="1">
        <v>1</v>
      </c>
      <c r="H46" s="56" t="s">
        <v>95</v>
      </c>
      <c r="I46" s="246">
        <v>1</v>
      </c>
      <c r="J46" s="172">
        <v>22417.190000000002</v>
      </c>
      <c r="K46" s="248" t="s">
        <v>120</v>
      </c>
      <c r="L46" s="194"/>
    </row>
    <row r="47" spans="3:12" s="195" customFormat="1" ht="15.6" x14ac:dyDescent="0.3">
      <c r="C47" s="194"/>
      <c r="D47" t="s">
        <v>128</v>
      </c>
      <c r="E47" t="s">
        <v>565</v>
      </c>
      <c r="F47" t="s">
        <v>118</v>
      </c>
      <c r="G47" s="1">
        <v>1</v>
      </c>
      <c r="H47" s="56" t="s">
        <v>95</v>
      </c>
      <c r="I47" s="246">
        <v>1</v>
      </c>
      <c r="J47" s="172">
        <v>1453.8612000000003</v>
      </c>
      <c r="K47" s="248" t="s">
        <v>120</v>
      </c>
      <c r="L47" s="194"/>
    </row>
    <row r="48" spans="3:12" s="195" customFormat="1" ht="15.6" x14ac:dyDescent="0.3">
      <c r="C48" s="194"/>
      <c r="D48" t="s">
        <v>305</v>
      </c>
      <c r="E48" t="s">
        <v>565</v>
      </c>
      <c r="F48" t="s">
        <v>364</v>
      </c>
      <c r="G48" s="1">
        <v>2</v>
      </c>
      <c r="H48" t="s">
        <v>152</v>
      </c>
      <c r="I48" s="246">
        <v>0.9</v>
      </c>
      <c r="J48" s="172">
        <v>71754.099999999991</v>
      </c>
      <c r="K48" s="248" t="s">
        <v>643</v>
      </c>
      <c r="L48" s="194"/>
    </row>
    <row r="49" spans="3:12" s="195" customFormat="1" ht="15.6" x14ac:dyDescent="0.3">
      <c r="C49" s="194"/>
      <c r="D49" t="s">
        <v>308</v>
      </c>
      <c r="E49" t="s">
        <v>565</v>
      </c>
      <c r="F49" t="s">
        <v>365</v>
      </c>
      <c r="G49" s="1">
        <v>2</v>
      </c>
      <c r="H49" s="56" t="s">
        <v>152</v>
      </c>
      <c r="I49" s="246">
        <v>0.9</v>
      </c>
      <c r="J49" s="172">
        <v>52532.916000000005</v>
      </c>
      <c r="K49" s="248" t="s">
        <v>642</v>
      </c>
      <c r="L49" s="194"/>
    </row>
    <row r="50" spans="3:12" s="195" customFormat="1" ht="15.6" x14ac:dyDescent="0.3">
      <c r="C50" s="194"/>
      <c r="D50" t="s">
        <v>309</v>
      </c>
      <c r="E50" t="s">
        <v>565</v>
      </c>
      <c r="F50" t="s">
        <v>366</v>
      </c>
      <c r="G50" s="1">
        <v>1</v>
      </c>
      <c r="H50" s="56" t="s">
        <v>152</v>
      </c>
      <c r="I50" s="246">
        <v>0.9</v>
      </c>
      <c r="J50" s="172">
        <v>25049.214</v>
      </c>
      <c r="K50" s="248" t="s">
        <v>642</v>
      </c>
      <c r="L50" s="194"/>
    </row>
    <row r="51" spans="3:12" s="195" customFormat="1" ht="15.6" x14ac:dyDescent="0.3">
      <c r="C51" s="194"/>
      <c r="D51" t="s">
        <v>310</v>
      </c>
      <c r="E51" t="s">
        <v>565</v>
      </c>
      <c r="F51" t="s">
        <v>1207</v>
      </c>
      <c r="G51" s="1">
        <v>1</v>
      </c>
      <c r="H51" t="s">
        <v>95</v>
      </c>
      <c r="I51" s="246">
        <v>1</v>
      </c>
      <c r="J51" s="172">
        <v>27225.017999999996</v>
      </c>
      <c r="K51" s="248" t="s">
        <v>120</v>
      </c>
      <c r="L51" s="194"/>
    </row>
    <row r="52" spans="3:12" s="195" customFormat="1" ht="15.6" x14ac:dyDescent="0.3">
      <c r="C52" s="194"/>
      <c r="D52" t="s">
        <v>367</v>
      </c>
      <c r="E52" t="s">
        <v>565</v>
      </c>
      <c r="F52" t="s">
        <v>311</v>
      </c>
      <c r="G52" s="1">
        <v>1</v>
      </c>
      <c r="H52" s="56" t="s">
        <v>95</v>
      </c>
      <c r="I52" s="246">
        <v>1</v>
      </c>
      <c r="J52" s="172">
        <v>51714.871999999996</v>
      </c>
      <c r="K52" s="248" t="s">
        <v>120</v>
      </c>
      <c r="L52" s="194"/>
    </row>
    <row r="53" spans="3:12" s="195" customFormat="1" ht="15.6" x14ac:dyDescent="0.3">
      <c r="C53" s="194"/>
      <c r="D53" t="s">
        <v>224</v>
      </c>
      <c r="E53" t="s">
        <v>565</v>
      </c>
      <c r="F53" t="s">
        <v>225</v>
      </c>
      <c r="G53" s="1">
        <v>3</v>
      </c>
      <c r="H53" s="56" t="s">
        <v>95</v>
      </c>
      <c r="I53" s="246">
        <v>1</v>
      </c>
      <c r="J53" s="172">
        <v>133017.63</v>
      </c>
      <c r="K53" s="248" t="s">
        <v>120</v>
      </c>
      <c r="L53" s="194"/>
    </row>
    <row r="54" spans="3:12" s="195" customFormat="1" ht="15.6" x14ac:dyDescent="0.3">
      <c r="C54" s="194"/>
      <c r="D54" t="s">
        <v>430</v>
      </c>
      <c r="E54" t="s">
        <v>4</v>
      </c>
      <c r="F54" t="s">
        <v>431</v>
      </c>
      <c r="G54" s="1">
        <v>1</v>
      </c>
      <c r="H54" s="200" t="s">
        <v>95</v>
      </c>
      <c r="I54" s="246">
        <v>1</v>
      </c>
      <c r="J54" s="172">
        <v>29180.448508000005</v>
      </c>
      <c r="K54" s="248" t="s">
        <v>120</v>
      </c>
      <c r="L54" s="194"/>
    </row>
    <row r="55" spans="3:12" s="195" customFormat="1" ht="15.6" x14ac:dyDescent="0.3">
      <c r="C55" s="194"/>
      <c r="D55" t="s">
        <v>286</v>
      </c>
      <c r="E55" t="s">
        <v>565</v>
      </c>
      <c r="F55" t="s">
        <v>285</v>
      </c>
      <c r="G55" s="1">
        <v>1</v>
      </c>
      <c r="H55" s="56" t="s">
        <v>95</v>
      </c>
      <c r="I55" s="246">
        <v>1</v>
      </c>
      <c r="J55" s="172">
        <v>62875.614000000001</v>
      </c>
      <c r="K55" s="248" t="s">
        <v>120</v>
      </c>
      <c r="L55" s="194"/>
    </row>
    <row r="56" spans="3:12" s="195" customFormat="1" ht="15.6" x14ac:dyDescent="0.3">
      <c r="C56" s="194"/>
      <c r="D56" t="s">
        <v>290</v>
      </c>
      <c r="E56" t="s">
        <v>565</v>
      </c>
      <c r="F56" t="s">
        <v>291</v>
      </c>
      <c r="G56" s="1">
        <v>2</v>
      </c>
      <c r="H56" s="56" t="s">
        <v>95</v>
      </c>
      <c r="I56" s="246">
        <v>1</v>
      </c>
      <c r="J56" s="172">
        <v>141070.48800000001</v>
      </c>
      <c r="K56" s="248" t="s">
        <v>120</v>
      </c>
      <c r="L56" s="194"/>
    </row>
    <row r="57" spans="3:12" s="195" customFormat="1" ht="15.6" x14ac:dyDescent="0.3">
      <c r="C57" s="194"/>
      <c r="D57" t="s">
        <v>313</v>
      </c>
      <c r="E57" t="s">
        <v>314</v>
      </c>
      <c r="F57" t="s">
        <v>315</v>
      </c>
      <c r="G57" s="1">
        <v>1</v>
      </c>
      <c r="H57" s="56" t="s">
        <v>95</v>
      </c>
      <c r="I57" s="246">
        <v>1</v>
      </c>
      <c r="J57" s="172">
        <v>4164.2339999999995</v>
      </c>
      <c r="K57" s="248" t="s">
        <v>120</v>
      </c>
      <c r="L57" s="194"/>
    </row>
    <row r="58" spans="3:12" s="195" customFormat="1" ht="15.6" x14ac:dyDescent="0.3">
      <c r="C58" s="194"/>
      <c r="D58" t="s">
        <v>358</v>
      </c>
      <c r="E58" t="s">
        <v>565</v>
      </c>
      <c r="F58" t="s">
        <v>225</v>
      </c>
      <c r="G58" s="1">
        <v>1</v>
      </c>
      <c r="H58" s="56" t="s">
        <v>95</v>
      </c>
      <c r="I58" s="246">
        <v>1</v>
      </c>
      <c r="J58" s="172">
        <v>44339.21</v>
      </c>
      <c r="K58" s="248" t="s">
        <v>120</v>
      </c>
      <c r="L58" s="194"/>
    </row>
    <row r="59" spans="3:12" s="195" customFormat="1" ht="15.6" x14ac:dyDescent="0.3">
      <c r="C59" s="194"/>
      <c r="D59" t="s">
        <v>348</v>
      </c>
      <c r="E59" t="s">
        <v>4</v>
      </c>
      <c r="F59" t="s">
        <v>349</v>
      </c>
      <c r="G59" s="1">
        <v>1</v>
      </c>
      <c r="H59" s="56" t="s">
        <v>95</v>
      </c>
      <c r="I59" s="246">
        <v>1</v>
      </c>
      <c r="J59" s="172">
        <v>32415.459687999995</v>
      </c>
      <c r="K59" s="248" t="s">
        <v>120</v>
      </c>
      <c r="L59" s="194"/>
    </row>
    <row r="60" spans="3:12" s="195" customFormat="1" ht="15.6" x14ac:dyDescent="0.3">
      <c r="C60" s="194"/>
      <c r="D60" t="s">
        <v>427</v>
      </c>
      <c r="E60" t="s">
        <v>565</v>
      </c>
      <c r="F60" t="s">
        <v>118</v>
      </c>
      <c r="G60" s="1">
        <v>1</v>
      </c>
      <c r="H60" s="56" t="s">
        <v>95</v>
      </c>
      <c r="I60" s="246">
        <v>1</v>
      </c>
      <c r="J60" s="172">
        <v>3482.36</v>
      </c>
      <c r="K60" s="248" t="s">
        <v>120</v>
      </c>
      <c r="L60" s="194"/>
    </row>
    <row r="61" spans="3:12" s="195" customFormat="1" ht="15.6" x14ac:dyDescent="0.3">
      <c r="C61" s="194"/>
      <c r="D61" t="s">
        <v>418</v>
      </c>
      <c r="E61" t="s">
        <v>565</v>
      </c>
      <c r="F61" t="s">
        <v>415</v>
      </c>
      <c r="G61" s="1">
        <v>1</v>
      </c>
      <c r="H61" s="56" t="s">
        <v>95</v>
      </c>
      <c r="I61" s="246">
        <v>1</v>
      </c>
      <c r="J61" s="172">
        <v>53793.210000000006</v>
      </c>
      <c r="K61" s="248" t="s">
        <v>120</v>
      </c>
      <c r="L61" s="194"/>
    </row>
    <row r="62" spans="3:12" s="195" customFormat="1" ht="15.6" x14ac:dyDescent="0.3">
      <c r="C62" s="194"/>
      <c r="D62" t="s">
        <v>422</v>
      </c>
      <c r="E62" t="s">
        <v>565</v>
      </c>
      <c r="F62" t="s">
        <v>225</v>
      </c>
      <c r="G62" s="1">
        <v>2</v>
      </c>
      <c r="H62" s="56" t="s">
        <v>95</v>
      </c>
      <c r="I62" s="246">
        <v>1</v>
      </c>
      <c r="J62" s="172">
        <v>88678.42</v>
      </c>
      <c r="K62" s="248" t="s">
        <v>120</v>
      </c>
      <c r="L62" s="194"/>
    </row>
    <row r="63" spans="3:12" s="195" customFormat="1" ht="15.6" x14ac:dyDescent="0.3">
      <c r="C63" s="194"/>
      <c r="D63" t="s">
        <v>424</v>
      </c>
      <c r="E63" t="s">
        <v>565</v>
      </c>
      <c r="F63" t="s">
        <v>425</v>
      </c>
      <c r="G63" s="1">
        <v>1</v>
      </c>
      <c r="H63" s="56" t="s">
        <v>95</v>
      </c>
      <c r="I63" s="246">
        <v>1</v>
      </c>
      <c r="J63" s="172">
        <v>81510.535999999993</v>
      </c>
      <c r="K63" s="248" t="s">
        <v>120</v>
      </c>
      <c r="L63" s="194"/>
    </row>
    <row r="64" spans="3:12" s="195" customFormat="1" ht="15.6" x14ac:dyDescent="0.3">
      <c r="C64" s="194"/>
      <c r="D64" t="s">
        <v>645</v>
      </c>
      <c r="E64" t="s">
        <v>1118</v>
      </c>
      <c r="F64" t="s">
        <v>646</v>
      </c>
      <c r="G64" s="1">
        <v>6</v>
      </c>
      <c r="H64" s="56" t="s">
        <v>95</v>
      </c>
      <c r="I64" s="246">
        <v>1</v>
      </c>
      <c r="J64" s="172">
        <v>11561.543999999998</v>
      </c>
      <c r="K64" s="248" t="s">
        <v>120</v>
      </c>
      <c r="L64" s="194"/>
    </row>
    <row r="65" spans="3:12" s="195" customFormat="1" ht="15.6" x14ac:dyDescent="0.3">
      <c r="C65" s="194"/>
      <c r="D65" t="s">
        <v>442</v>
      </c>
      <c r="E65" t="s">
        <v>565</v>
      </c>
      <c r="F65" t="s">
        <v>225</v>
      </c>
      <c r="G65" s="1">
        <v>1</v>
      </c>
      <c r="H65" s="56" t="s">
        <v>95</v>
      </c>
      <c r="I65" s="246">
        <v>1</v>
      </c>
      <c r="J65" s="172">
        <v>44339.21</v>
      </c>
      <c r="K65" s="248" t="s">
        <v>120</v>
      </c>
      <c r="L65" s="194"/>
    </row>
    <row r="66" spans="3:12" s="195" customFormat="1" ht="15.6" x14ac:dyDescent="0.3">
      <c r="C66" s="194"/>
      <c r="D66" s="260" t="s">
        <v>443</v>
      </c>
      <c r="E66" s="260" t="s">
        <v>565</v>
      </c>
      <c r="F66" s="260" t="s">
        <v>214</v>
      </c>
      <c r="G66" s="261">
        <v>2</v>
      </c>
      <c r="H66" s="260" t="s">
        <v>152</v>
      </c>
      <c r="I66" s="262">
        <v>0.9</v>
      </c>
      <c r="J66" s="263">
        <v>44834.380000000005</v>
      </c>
      <c r="K66" s="250" t="s">
        <v>1216</v>
      </c>
      <c r="L66" s="194"/>
    </row>
    <row r="67" spans="3:12" s="195" customFormat="1" ht="15.6" x14ac:dyDescent="0.3">
      <c r="C67" s="194"/>
      <c r="D67" t="s">
        <v>445</v>
      </c>
      <c r="E67" t="s">
        <v>565</v>
      </c>
      <c r="F67" t="s">
        <v>446</v>
      </c>
      <c r="G67" s="1">
        <v>1</v>
      </c>
      <c r="H67" t="s">
        <v>95</v>
      </c>
      <c r="I67" s="246">
        <v>1</v>
      </c>
      <c r="J67" s="172">
        <v>25436.973999999998</v>
      </c>
      <c r="K67" s="248" t="s">
        <v>120</v>
      </c>
      <c r="L67" s="194"/>
    </row>
    <row r="68" spans="3:12" s="195" customFormat="1" ht="15.6" x14ac:dyDescent="0.3">
      <c r="C68" s="194"/>
      <c r="D68" s="260" t="s">
        <v>447</v>
      </c>
      <c r="E68" s="260" t="s">
        <v>565</v>
      </c>
      <c r="F68" s="260" t="s">
        <v>448</v>
      </c>
      <c r="G68" s="261">
        <v>1</v>
      </c>
      <c r="H68" s="260" t="s">
        <v>152</v>
      </c>
      <c r="I68" s="262">
        <v>0.9</v>
      </c>
      <c r="J68" s="263">
        <v>40050.050000000003</v>
      </c>
      <c r="K68" s="250" t="s">
        <v>642</v>
      </c>
      <c r="L68" s="194"/>
    </row>
    <row r="69" spans="3:12" s="195" customFormat="1" ht="15.6" x14ac:dyDescent="0.3">
      <c r="C69" s="194"/>
      <c r="D69" t="s">
        <v>863</v>
      </c>
      <c r="E69" t="s">
        <v>565</v>
      </c>
      <c r="F69" t="s">
        <v>864</v>
      </c>
      <c r="G69" s="1">
        <v>1</v>
      </c>
      <c r="H69" t="s">
        <v>95</v>
      </c>
      <c r="I69" s="246">
        <v>1</v>
      </c>
      <c r="J69" s="172">
        <v>62589.227281859792</v>
      </c>
      <c r="K69" s="248" t="s">
        <v>120</v>
      </c>
      <c r="L69" s="194"/>
    </row>
    <row r="70" spans="3:12" s="195" customFormat="1" ht="15.6" x14ac:dyDescent="0.3">
      <c r="C70" s="194"/>
      <c r="D70" t="s">
        <v>469</v>
      </c>
      <c r="E70" t="s">
        <v>467</v>
      </c>
      <c r="F70" t="s">
        <v>468</v>
      </c>
      <c r="G70" s="1">
        <v>1</v>
      </c>
      <c r="H70" s="56" t="s">
        <v>95</v>
      </c>
      <c r="I70" s="246">
        <v>1</v>
      </c>
      <c r="J70" s="172">
        <v>9075.5536080000038</v>
      </c>
      <c r="K70" s="248" t="s">
        <v>120</v>
      </c>
      <c r="L70" s="194"/>
    </row>
    <row r="71" spans="3:12" s="195" customFormat="1" ht="15.6" x14ac:dyDescent="0.3">
      <c r="C71" s="194"/>
      <c r="D71" t="s">
        <v>479</v>
      </c>
      <c r="E71" t="s">
        <v>467</v>
      </c>
      <c r="F71" t="s">
        <v>480</v>
      </c>
      <c r="G71" s="1">
        <v>5</v>
      </c>
      <c r="H71" s="56" t="s">
        <v>95</v>
      </c>
      <c r="I71" s="246">
        <v>1</v>
      </c>
      <c r="J71" s="172">
        <v>54983.898040000015</v>
      </c>
      <c r="K71" s="248" t="s">
        <v>120</v>
      </c>
      <c r="L71" s="194"/>
    </row>
    <row r="72" spans="3:12" s="195" customFormat="1" ht="15.6" x14ac:dyDescent="0.3">
      <c r="C72" s="194"/>
      <c r="D72" t="s">
        <v>482</v>
      </c>
      <c r="E72" t="s">
        <v>467</v>
      </c>
      <c r="F72" t="s">
        <v>483</v>
      </c>
      <c r="G72" s="1">
        <v>3</v>
      </c>
      <c r="H72" s="56" t="s">
        <v>95</v>
      </c>
      <c r="I72" s="246">
        <v>1</v>
      </c>
      <c r="J72" s="172">
        <v>38275.087823999995</v>
      </c>
      <c r="K72" s="248" t="s">
        <v>120</v>
      </c>
      <c r="L72" s="194"/>
    </row>
    <row r="73" spans="3:12" s="195" customFormat="1" ht="15.6" x14ac:dyDescent="0.3">
      <c r="C73" s="194"/>
      <c r="D73" t="s">
        <v>487</v>
      </c>
      <c r="E73" t="s">
        <v>467</v>
      </c>
      <c r="F73" t="s">
        <v>488</v>
      </c>
      <c r="G73" s="1">
        <v>1</v>
      </c>
      <c r="H73" s="56" t="s">
        <v>95</v>
      </c>
      <c r="I73" s="246">
        <v>1</v>
      </c>
      <c r="J73" s="172">
        <v>15456.975608000004</v>
      </c>
      <c r="K73" s="248" t="s">
        <v>120</v>
      </c>
      <c r="L73" s="194"/>
    </row>
    <row r="74" spans="3:12" s="195" customFormat="1" ht="15.6" x14ac:dyDescent="0.3">
      <c r="C74" s="194"/>
      <c r="D74" t="s">
        <v>489</v>
      </c>
      <c r="E74" t="s">
        <v>4</v>
      </c>
      <c r="F74" t="s">
        <v>491</v>
      </c>
      <c r="G74" s="1">
        <v>1</v>
      </c>
      <c r="H74" s="56" t="s">
        <v>95</v>
      </c>
      <c r="I74" s="246">
        <v>1</v>
      </c>
      <c r="J74" s="172">
        <v>34174.308407999997</v>
      </c>
      <c r="K74" s="248" t="s">
        <v>120</v>
      </c>
      <c r="L74" s="194"/>
    </row>
    <row r="75" spans="3:12" s="195" customFormat="1" ht="15.6" x14ac:dyDescent="0.3">
      <c r="C75" s="194"/>
      <c r="D75" t="s">
        <v>498</v>
      </c>
      <c r="E75" t="s">
        <v>249</v>
      </c>
      <c r="F75" t="s">
        <v>499</v>
      </c>
      <c r="G75" s="1">
        <v>1</v>
      </c>
      <c r="H75" s="56" t="s">
        <v>95</v>
      </c>
      <c r="I75" s="246">
        <v>1</v>
      </c>
      <c r="J75" s="172">
        <v>11675.6</v>
      </c>
      <c r="K75" s="248" t="s">
        <v>120</v>
      </c>
      <c r="L75" s="194"/>
    </row>
    <row r="76" spans="3:12" s="195" customFormat="1" ht="15.6" x14ac:dyDescent="0.3">
      <c r="C76" s="194"/>
      <c r="D76" t="s">
        <v>504</v>
      </c>
      <c r="E76" t="s">
        <v>4</v>
      </c>
      <c r="F76" t="s">
        <v>491</v>
      </c>
      <c r="G76" s="1">
        <v>1</v>
      </c>
      <c r="H76" s="56" t="s">
        <v>95</v>
      </c>
      <c r="I76" s="246">
        <v>1</v>
      </c>
      <c r="J76" s="172">
        <v>29572.09640799999</v>
      </c>
      <c r="K76" s="248" t="s">
        <v>120</v>
      </c>
      <c r="L76" s="194"/>
    </row>
    <row r="77" spans="3:12" s="195" customFormat="1" ht="15.6" x14ac:dyDescent="0.3">
      <c r="C77" s="194"/>
      <c r="D77" t="s">
        <v>508</v>
      </c>
      <c r="E77" t="s">
        <v>509</v>
      </c>
      <c r="F77" t="s">
        <v>510</v>
      </c>
      <c r="G77" s="1">
        <v>1</v>
      </c>
      <c r="H77" s="56" t="s">
        <v>95</v>
      </c>
      <c r="I77" s="246">
        <v>1</v>
      </c>
      <c r="J77" s="172">
        <v>3854.33</v>
      </c>
      <c r="K77" s="248" t="s">
        <v>120</v>
      </c>
      <c r="L77" s="194"/>
    </row>
    <row r="78" spans="3:12" s="195" customFormat="1" ht="15.6" x14ac:dyDescent="0.3">
      <c r="C78" s="194"/>
      <c r="D78" t="s">
        <v>514</v>
      </c>
      <c r="E78" t="s">
        <v>4</v>
      </c>
      <c r="F78" t="s">
        <v>517</v>
      </c>
      <c r="G78" s="1">
        <v>1</v>
      </c>
      <c r="H78" s="56" t="s">
        <v>95</v>
      </c>
      <c r="I78" s="246">
        <v>1</v>
      </c>
      <c r="J78" s="172">
        <v>64277.925858000002</v>
      </c>
      <c r="K78" s="248" t="s">
        <v>120</v>
      </c>
      <c r="L78" s="194"/>
    </row>
    <row r="79" spans="3:12" s="195" customFormat="1" ht="15.6" x14ac:dyDescent="0.3">
      <c r="C79" s="194"/>
      <c r="D79" t="s">
        <v>518</v>
      </c>
      <c r="E79" t="s">
        <v>4</v>
      </c>
      <c r="F79" t="s">
        <v>349</v>
      </c>
      <c r="G79" s="1">
        <v>1</v>
      </c>
      <c r="H79" s="200" t="s">
        <v>95</v>
      </c>
      <c r="I79" s="246">
        <v>1</v>
      </c>
      <c r="J79" s="172">
        <v>34214.793104000004</v>
      </c>
      <c r="K79" s="248" t="s">
        <v>120</v>
      </c>
      <c r="L79" s="194"/>
    </row>
    <row r="80" spans="3:12" s="195" customFormat="1" ht="15.6" x14ac:dyDescent="0.3">
      <c r="C80" s="194"/>
      <c r="D80" t="s">
        <v>548</v>
      </c>
      <c r="E80" t="s">
        <v>4</v>
      </c>
      <c r="F80" t="s">
        <v>549</v>
      </c>
      <c r="G80" s="1">
        <v>1</v>
      </c>
      <c r="H80" s="56" t="s">
        <v>95</v>
      </c>
      <c r="I80" s="246">
        <v>1</v>
      </c>
      <c r="J80" s="172">
        <v>68400.295198000007</v>
      </c>
      <c r="K80" s="248" t="s">
        <v>120</v>
      </c>
      <c r="L80" s="194"/>
    </row>
    <row r="81" spans="3:12" s="195" customFormat="1" ht="15.6" x14ac:dyDescent="0.3">
      <c r="C81" s="194"/>
      <c r="D81" t="s">
        <v>552</v>
      </c>
      <c r="E81" t="s">
        <v>4</v>
      </c>
      <c r="F81" t="s">
        <v>553</v>
      </c>
      <c r="G81" s="1">
        <v>1</v>
      </c>
      <c r="H81" s="56" t="s">
        <v>95</v>
      </c>
      <c r="I81" s="246">
        <v>1</v>
      </c>
      <c r="J81" s="172">
        <v>25519.303197999998</v>
      </c>
      <c r="K81" s="248" t="s">
        <v>120</v>
      </c>
      <c r="L81" s="194"/>
    </row>
    <row r="82" spans="3:12" s="195" customFormat="1" ht="15.6" x14ac:dyDescent="0.3">
      <c r="C82" s="194"/>
      <c r="D82" t="s">
        <v>566</v>
      </c>
      <c r="E82" t="s">
        <v>249</v>
      </c>
      <c r="F82" t="s">
        <v>567</v>
      </c>
      <c r="G82" s="1">
        <v>2</v>
      </c>
      <c r="H82" s="56" t="s">
        <v>95</v>
      </c>
      <c r="I82" s="246">
        <v>1</v>
      </c>
      <c r="J82" s="172">
        <v>191888.75684800002</v>
      </c>
      <c r="K82" s="248" t="s">
        <v>120</v>
      </c>
      <c r="L82" s="194"/>
    </row>
    <row r="83" spans="3:12" s="195" customFormat="1" ht="15.6" x14ac:dyDescent="0.3">
      <c r="C83" s="194"/>
      <c r="D83" t="s">
        <v>839</v>
      </c>
      <c r="E83" t="s">
        <v>68</v>
      </c>
      <c r="F83" t="s">
        <v>840</v>
      </c>
      <c r="G83" s="1">
        <v>1</v>
      </c>
      <c r="H83" s="56" t="s">
        <v>95</v>
      </c>
      <c r="I83" s="246">
        <v>1</v>
      </c>
      <c r="J83" s="172">
        <v>44161.22</v>
      </c>
      <c r="K83" s="248" t="s">
        <v>120</v>
      </c>
      <c r="L83" s="194"/>
    </row>
    <row r="84" spans="3:12" s="195" customFormat="1" ht="15.6" x14ac:dyDescent="0.3">
      <c r="C84" s="194"/>
      <c r="D84" t="s">
        <v>585</v>
      </c>
      <c r="E84" t="s">
        <v>4</v>
      </c>
      <c r="F84" t="s">
        <v>586</v>
      </c>
      <c r="G84" s="1">
        <v>1</v>
      </c>
      <c r="H84" t="s">
        <v>95</v>
      </c>
      <c r="I84" s="246">
        <v>1</v>
      </c>
      <c r="J84" s="172">
        <v>19480.028600000001</v>
      </c>
      <c r="K84" s="248" t="s">
        <v>120</v>
      </c>
      <c r="L84" s="194"/>
    </row>
    <row r="85" spans="3:12" s="195" customFormat="1" ht="15.6" x14ac:dyDescent="0.3">
      <c r="C85" s="194"/>
      <c r="D85" t="s">
        <v>589</v>
      </c>
      <c r="E85" t="s">
        <v>4</v>
      </c>
      <c r="F85" t="s">
        <v>517</v>
      </c>
      <c r="G85" s="1">
        <v>1</v>
      </c>
      <c r="H85" s="56" t="s">
        <v>95</v>
      </c>
      <c r="I85" s="246">
        <v>1</v>
      </c>
      <c r="J85" s="172">
        <v>39989.344187999995</v>
      </c>
      <c r="K85" s="248" t="s">
        <v>120</v>
      </c>
      <c r="L85" s="194"/>
    </row>
    <row r="86" spans="3:12" s="195" customFormat="1" ht="15.6" x14ac:dyDescent="0.3">
      <c r="C86" s="194"/>
      <c r="D86" t="s">
        <v>669</v>
      </c>
      <c r="E86" t="s">
        <v>670</v>
      </c>
      <c r="F86" t="s">
        <v>671</v>
      </c>
      <c r="G86" s="1">
        <v>1</v>
      </c>
      <c r="H86" s="56" t="s">
        <v>95</v>
      </c>
      <c r="I86" s="246">
        <v>1</v>
      </c>
      <c r="J86" s="172">
        <v>6708.2150000000011</v>
      </c>
      <c r="K86" s="248" t="s">
        <v>120</v>
      </c>
      <c r="L86" s="194"/>
    </row>
    <row r="87" spans="3:12" s="195" customFormat="1" ht="15.6" x14ac:dyDescent="0.3">
      <c r="C87" s="194"/>
      <c r="D87" t="s">
        <v>730</v>
      </c>
      <c r="E87" t="s">
        <v>68</v>
      </c>
      <c r="F87" t="s">
        <v>731</v>
      </c>
      <c r="G87" s="1">
        <v>1</v>
      </c>
      <c r="H87" s="56" t="s">
        <v>95</v>
      </c>
      <c r="I87" s="246">
        <v>1</v>
      </c>
      <c r="J87" s="172">
        <v>30913.558621630888</v>
      </c>
      <c r="K87" s="248" t="s">
        <v>120</v>
      </c>
      <c r="L87" s="194"/>
    </row>
    <row r="88" spans="3:12" s="195" customFormat="1" ht="15.6" x14ac:dyDescent="0.3">
      <c r="C88" s="194"/>
      <c r="D88" t="s">
        <v>718</v>
      </c>
      <c r="E88" t="s">
        <v>4</v>
      </c>
      <c r="F88" t="s">
        <v>20</v>
      </c>
      <c r="G88" s="1">
        <v>1</v>
      </c>
      <c r="H88" s="56" t="s">
        <v>95</v>
      </c>
      <c r="I88" s="246">
        <v>1</v>
      </c>
      <c r="J88" s="172">
        <v>25465.041888</v>
      </c>
      <c r="K88" s="248" t="s">
        <v>120</v>
      </c>
      <c r="L88" s="194"/>
    </row>
    <row r="89" spans="3:12" s="195" customFormat="1" ht="15.6" x14ac:dyDescent="0.3">
      <c r="C89" s="194"/>
      <c r="D89" t="s">
        <v>753</v>
      </c>
      <c r="E89" t="s">
        <v>68</v>
      </c>
      <c r="F89" t="s">
        <v>754</v>
      </c>
      <c r="G89" s="1">
        <v>1</v>
      </c>
      <c r="H89" s="56" t="s">
        <v>95</v>
      </c>
      <c r="I89" s="246">
        <v>1</v>
      </c>
      <c r="J89" s="172">
        <v>22831.638760000002</v>
      </c>
      <c r="K89" s="248" t="s">
        <v>120</v>
      </c>
      <c r="L89" s="194"/>
    </row>
    <row r="90" spans="3:12" s="195" customFormat="1" ht="15.6" x14ac:dyDescent="0.3">
      <c r="C90" s="194"/>
      <c r="D90" t="s">
        <v>672</v>
      </c>
      <c r="E90" t="s">
        <v>4</v>
      </c>
      <c r="F90" t="s">
        <v>349</v>
      </c>
      <c r="G90" s="1">
        <v>1</v>
      </c>
      <c r="H90" t="s">
        <v>95</v>
      </c>
      <c r="I90" s="246">
        <v>1</v>
      </c>
      <c r="J90" s="172">
        <v>34172.553104000006</v>
      </c>
      <c r="K90" s="248" t="s">
        <v>120</v>
      </c>
      <c r="L90" s="194"/>
    </row>
    <row r="91" spans="3:12" s="195" customFormat="1" ht="15.6" x14ac:dyDescent="0.3">
      <c r="C91" s="194"/>
      <c r="D91" t="s">
        <v>627</v>
      </c>
      <c r="E91" t="s">
        <v>565</v>
      </c>
      <c r="F91" t="s">
        <v>628</v>
      </c>
      <c r="G91" s="1">
        <v>3</v>
      </c>
      <c r="H91" s="56" t="s">
        <v>95</v>
      </c>
      <c r="I91" s="246">
        <v>1</v>
      </c>
      <c r="J91" s="172">
        <v>94327.385999999999</v>
      </c>
      <c r="K91" s="248" t="s">
        <v>120</v>
      </c>
      <c r="L91" s="194"/>
    </row>
    <row r="92" spans="3:12" s="195" customFormat="1" ht="15.6" x14ac:dyDescent="0.3">
      <c r="C92" s="194"/>
      <c r="D92" t="s">
        <v>697</v>
      </c>
      <c r="E92" t="s">
        <v>249</v>
      </c>
      <c r="F92" t="s">
        <v>698</v>
      </c>
      <c r="G92" s="1">
        <v>1</v>
      </c>
      <c r="H92" s="56" t="s">
        <v>95</v>
      </c>
      <c r="I92" s="246">
        <v>1</v>
      </c>
      <c r="J92" s="172">
        <v>142183.78384400005</v>
      </c>
      <c r="K92" s="248" t="s">
        <v>120</v>
      </c>
      <c r="L92" s="194"/>
    </row>
    <row r="93" spans="3:12" s="195" customFormat="1" ht="15.6" x14ac:dyDescent="0.3">
      <c r="C93" s="194"/>
      <c r="D93" t="s">
        <v>649</v>
      </c>
      <c r="E93" t="s">
        <v>650</v>
      </c>
      <c r="F93" t="s">
        <v>650</v>
      </c>
      <c r="G93" s="1">
        <v>1</v>
      </c>
      <c r="H93" s="56" t="s">
        <v>95</v>
      </c>
      <c r="I93" s="246">
        <v>1</v>
      </c>
      <c r="J93" s="172">
        <v>5737.32</v>
      </c>
      <c r="K93" s="248" t="s">
        <v>120</v>
      </c>
      <c r="L93" s="194"/>
    </row>
    <row r="94" spans="3:12" s="195" customFormat="1" ht="15.6" x14ac:dyDescent="0.3">
      <c r="C94" s="194"/>
      <c r="D94" t="s">
        <v>658</v>
      </c>
      <c r="E94" t="s">
        <v>659</v>
      </c>
      <c r="F94" t="s">
        <v>660</v>
      </c>
      <c r="G94" s="1">
        <v>1</v>
      </c>
      <c r="H94" t="s">
        <v>95</v>
      </c>
      <c r="I94" s="246">
        <v>1</v>
      </c>
      <c r="J94" s="172">
        <v>20784.694</v>
      </c>
      <c r="K94" s="248" t="s">
        <v>120</v>
      </c>
      <c r="L94" s="194"/>
    </row>
    <row r="95" spans="3:12" s="195" customFormat="1" ht="15.6" x14ac:dyDescent="0.3">
      <c r="C95" s="194"/>
      <c r="D95" t="s">
        <v>685</v>
      </c>
      <c r="E95" t="s">
        <v>4</v>
      </c>
      <c r="F95" t="s">
        <v>686</v>
      </c>
      <c r="G95" s="1">
        <v>1</v>
      </c>
      <c r="H95" s="200" t="s">
        <v>95</v>
      </c>
      <c r="I95" s="246">
        <v>1</v>
      </c>
      <c r="J95" s="172">
        <v>10589.413743999998</v>
      </c>
      <c r="K95" s="248" t="s">
        <v>120</v>
      </c>
      <c r="L95" s="194"/>
    </row>
    <row r="96" spans="3:12" s="195" customFormat="1" ht="15.6" x14ac:dyDescent="0.3">
      <c r="C96" s="194"/>
      <c r="D96" t="s">
        <v>1185</v>
      </c>
      <c r="E96" t="s">
        <v>68</v>
      </c>
      <c r="F96" t="s">
        <v>1186</v>
      </c>
      <c r="G96" s="1">
        <v>1</v>
      </c>
      <c r="H96" t="s">
        <v>33</v>
      </c>
      <c r="I96" s="246">
        <v>1</v>
      </c>
      <c r="J96" s="172">
        <v>330142.69600000011</v>
      </c>
      <c r="K96" s="250" t="s">
        <v>120</v>
      </c>
      <c r="L96" s="194"/>
    </row>
    <row r="97" spans="3:12" s="195" customFormat="1" ht="15.6" x14ac:dyDescent="0.3">
      <c r="C97" s="194"/>
      <c r="D97" t="s">
        <v>935</v>
      </c>
      <c r="E97" t="s">
        <v>4</v>
      </c>
      <c r="F97" t="s">
        <v>936</v>
      </c>
      <c r="G97" s="1">
        <v>1</v>
      </c>
      <c r="H97" t="s">
        <v>95</v>
      </c>
      <c r="I97" s="246">
        <v>1</v>
      </c>
      <c r="J97" s="172">
        <v>42160.024558000005</v>
      </c>
      <c r="K97" s="248" t="s">
        <v>120</v>
      </c>
      <c r="L97" s="194"/>
    </row>
    <row r="98" spans="3:12" s="195" customFormat="1" ht="15.6" x14ac:dyDescent="0.3">
      <c r="C98" s="194"/>
      <c r="D98" t="s">
        <v>944</v>
      </c>
      <c r="E98" t="s">
        <v>565</v>
      </c>
      <c r="F98" t="s">
        <v>945</v>
      </c>
      <c r="G98" s="1">
        <v>2</v>
      </c>
      <c r="H98" s="56" t="s">
        <v>95</v>
      </c>
      <c r="I98" s="246">
        <v>1</v>
      </c>
      <c r="J98" s="172">
        <v>20651.148000000001</v>
      </c>
      <c r="K98" s="248" t="s">
        <v>120</v>
      </c>
      <c r="L98" s="194"/>
    </row>
    <row r="99" spans="3:12" s="195" customFormat="1" ht="15.6" x14ac:dyDescent="0.3">
      <c r="C99" s="194"/>
      <c r="D99" t="s">
        <v>758</v>
      </c>
      <c r="E99" t="s">
        <v>68</v>
      </c>
      <c r="F99" t="s">
        <v>759</v>
      </c>
      <c r="G99" s="1">
        <v>1</v>
      </c>
      <c r="H99" s="56" t="s">
        <v>95</v>
      </c>
      <c r="I99" s="246">
        <v>1</v>
      </c>
      <c r="J99" s="172">
        <v>30198.053800000016</v>
      </c>
      <c r="K99" s="248" t="s">
        <v>120</v>
      </c>
      <c r="L99" s="194"/>
    </row>
    <row r="100" spans="3:12" s="195" customFormat="1" ht="15.6" x14ac:dyDescent="0.3">
      <c r="C100" s="194"/>
      <c r="D100" t="s">
        <v>894</v>
      </c>
      <c r="E100" t="s">
        <v>565</v>
      </c>
      <c r="F100" t="s">
        <v>864</v>
      </c>
      <c r="G100" s="1">
        <v>1</v>
      </c>
      <c r="H100" s="56" t="s">
        <v>95</v>
      </c>
      <c r="I100" s="246">
        <v>1</v>
      </c>
      <c r="J100" s="172">
        <v>61467.627281859786</v>
      </c>
      <c r="K100" s="248" t="s">
        <v>120</v>
      </c>
      <c r="L100" s="194"/>
    </row>
    <row r="101" spans="3:12" s="195" customFormat="1" ht="15.6" x14ac:dyDescent="0.3">
      <c r="C101" s="194"/>
      <c r="D101" t="s">
        <v>1173</v>
      </c>
      <c r="E101" t="s">
        <v>565</v>
      </c>
      <c r="F101" t="s">
        <v>1174</v>
      </c>
      <c r="G101" s="1">
        <v>3</v>
      </c>
      <c r="H101" s="56" t="s">
        <v>95</v>
      </c>
      <c r="I101" s="246">
        <v>1</v>
      </c>
      <c r="J101" s="172">
        <v>21879.15</v>
      </c>
      <c r="K101" s="248" t="s">
        <v>120</v>
      </c>
      <c r="L101" s="194"/>
    </row>
    <row r="102" spans="3:12" s="195" customFormat="1" ht="15.6" x14ac:dyDescent="0.3">
      <c r="C102" s="194"/>
      <c r="D102" t="s">
        <v>953</v>
      </c>
      <c r="E102" t="s">
        <v>955</v>
      </c>
      <c r="F102" t="s">
        <v>954</v>
      </c>
      <c r="G102" s="1">
        <v>1</v>
      </c>
      <c r="H102" s="56" t="s">
        <v>95</v>
      </c>
      <c r="I102" s="246">
        <v>1</v>
      </c>
      <c r="J102" s="172">
        <v>2307.1734200000001</v>
      </c>
      <c r="K102" s="248" t="s">
        <v>120</v>
      </c>
      <c r="L102" s="194"/>
    </row>
    <row r="103" spans="3:12" s="195" customFormat="1" ht="15.6" x14ac:dyDescent="0.3">
      <c r="C103" s="194"/>
      <c r="D103" t="s">
        <v>739</v>
      </c>
      <c r="E103" t="s">
        <v>249</v>
      </c>
      <c r="F103" t="s">
        <v>250</v>
      </c>
      <c r="G103" s="1">
        <v>1</v>
      </c>
      <c r="H103" s="56" t="s">
        <v>95</v>
      </c>
      <c r="I103" s="246">
        <v>1</v>
      </c>
      <c r="J103" s="172">
        <v>72876.409159999996</v>
      </c>
      <c r="K103" s="248" t="s">
        <v>120</v>
      </c>
      <c r="L103" s="194"/>
    </row>
    <row r="104" spans="3:12" s="195" customFormat="1" ht="15.6" x14ac:dyDescent="0.3">
      <c r="C104" s="194"/>
      <c r="D104" t="s">
        <v>750</v>
      </c>
      <c r="E104" t="s">
        <v>565</v>
      </c>
      <c r="F104" t="s">
        <v>225</v>
      </c>
      <c r="G104" s="1">
        <v>1</v>
      </c>
      <c r="H104" s="56" t="s">
        <v>95</v>
      </c>
      <c r="I104" s="246">
        <v>1</v>
      </c>
      <c r="J104" s="172">
        <v>44339.21</v>
      </c>
      <c r="K104" s="248" t="s">
        <v>120</v>
      </c>
      <c r="L104" s="194"/>
    </row>
    <row r="105" spans="3:12" s="195" customFormat="1" ht="15.6" x14ac:dyDescent="0.3">
      <c r="C105" s="194"/>
      <c r="D105" t="s">
        <v>787</v>
      </c>
      <c r="E105" t="s">
        <v>4</v>
      </c>
      <c r="F105" t="s">
        <v>788</v>
      </c>
      <c r="G105" s="1">
        <v>1</v>
      </c>
      <c r="H105" s="56" t="s">
        <v>95</v>
      </c>
      <c r="I105" s="246">
        <v>1</v>
      </c>
      <c r="J105" s="172">
        <v>123722.847632</v>
      </c>
      <c r="K105" s="248" t="s">
        <v>120</v>
      </c>
      <c r="L105" s="194"/>
    </row>
    <row r="106" spans="3:12" s="195" customFormat="1" ht="15.6" x14ac:dyDescent="0.3">
      <c r="C106" s="194"/>
      <c r="D106" t="s">
        <v>792</v>
      </c>
      <c r="E106" t="s">
        <v>793</v>
      </c>
      <c r="F106" t="s">
        <v>794</v>
      </c>
      <c r="G106" s="1">
        <v>1</v>
      </c>
      <c r="H106" s="56" t="s">
        <v>95</v>
      </c>
      <c r="I106" s="246">
        <v>1</v>
      </c>
      <c r="J106" s="172">
        <v>23903.115000000002</v>
      </c>
      <c r="K106" s="248" t="s">
        <v>120</v>
      </c>
      <c r="L106" s="194"/>
    </row>
    <row r="107" spans="3:12" s="195" customFormat="1" ht="15.6" x14ac:dyDescent="0.3">
      <c r="C107" s="194"/>
      <c r="D107" t="s">
        <v>852</v>
      </c>
      <c r="E107" t="s">
        <v>565</v>
      </c>
      <c r="F107" t="s">
        <v>210</v>
      </c>
      <c r="G107" s="1">
        <v>3</v>
      </c>
      <c r="H107" s="56" t="s">
        <v>95</v>
      </c>
      <c r="I107" s="246">
        <v>1</v>
      </c>
      <c r="J107" s="172">
        <v>34890.852000000014</v>
      </c>
      <c r="K107" s="248" t="s">
        <v>120</v>
      </c>
      <c r="L107" s="194"/>
    </row>
    <row r="108" spans="3:12" s="195" customFormat="1" ht="15.6" x14ac:dyDescent="0.3">
      <c r="C108" s="194"/>
      <c r="D108" t="s">
        <v>798</v>
      </c>
      <c r="E108" t="s">
        <v>799</v>
      </c>
      <c r="F108" t="s">
        <v>867</v>
      </c>
      <c r="G108" s="1">
        <v>1</v>
      </c>
      <c r="H108" s="56" t="s">
        <v>95</v>
      </c>
      <c r="I108" s="246">
        <v>1</v>
      </c>
      <c r="J108" s="172">
        <v>6951.4168880000007</v>
      </c>
      <c r="K108" s="248" t="s">
        <v>120</v>
      </c>
      <c r="L108" s="194"/>
    </row>
    <row r="109" spans="3:12" s="195" customFormat="1" ht="15.6" x14ac:dyDescent="0.3">
      <c r="C109" s="194"/>
      <c r="D109" t="s">
        <v>1000</v>
      </c>
      <c r="E109" t="s">
        <v>68</v>
      </c>
      <c r="F109" t="s">
        <v>1001</v>
      </c>
      <c r="G109" s="1">
        <v>1</v>
      </c>
      <c r="H109" s="56" t="s">
        <v>95</v>
      </c>
      <c r="I109" s="246">
        <v>1</v>
      </c>
      <c r="J109" s="172">
        <v>16494.379999999997</v>
      </c>
      <c r="K109" s="248" t="s">
        <v>120</v>
      </c>
      <c r="L109" s="194"/>
    </row>
    <row r="110" spans="3:12" s="195" customFormat="1" ht="15.6" x14ac:dyDescent="0.3">
      <c r="C110" s="194"/>
      <c r="D110" t="s">
        <v>960</v>
      </c>
      <c r="E110" t="s">
        <v>4</v>
      </c>
      <c r="F110" t="s">
        <v>686</v>
      </c>
      <c r="G110" s="1">
        <v>1</v>
      </c>
      <c r="H110" s="56" t="s">
        <v>95</v>
      </c>
      <c r="I110" s="246">
        <v>1</v>
      </c>
      <c r="J110" s="172">
        <v>8639.5304639999977</v>
      </c>
      <c r="K110" s="248" t="s">
        <v>120</v>
      </c>
      <c r="L110" s="194"/>
    </row>
    <row r="111" spans="3:12" s="195" customFormat="1" ht="15.6" x14ac:dyDescent="0.3">
      <c r="C111" s="194"/>
      <c r="D111" t="s">
        <v>905</v>
      </c>
      <c r="E111" t="s">
        <v>565</v>
      </c>
      <c r="F111" t="s">
        <v>908</v>
      </c>
      <c r="G111" s="1">
        <v>1</v>
      </c>
      <c r="H111" t="s">
        <v>95</v>
      </c>
      <c r="I111" s="246">
        <v>1</v>
      </c>
      <c r="J111" s="172">
        <v>103.32013994960001</v>
      </c>
      <c r="K111" s="248" t="s">
        <v>120</v>
      </c>
      <c r="L111" s="194"/>
    </row>
    <row r="112" spans="3:12" s="195" customFormat="1" ht="15.6" x14ac:dyDescent="0.3">
      <c r="C112" s="194"/>
      <c r="D112" t="s">
        <v>948</v>
      </c>
      <c r="E112" t="s">
        <v>249</v>
      </c>
      <c r="F112" t="s">
        <v>949</v>
      </c>
      <c r="G112" s="1">
        <v>1</v>
      </c>
      <c r="H112" s="56" t="s">
        <v>95</v>
      </c>
      <c r="I112" s="246">
        <v>1</v>
      </c>
      <c r="J112" s="172">
        <v>52321.654284000055</v>
      </c>
      <c r="K112" s="248" t="s">
        <v>120</v>
      </c>
      <c r="L112" s="194"/>
    </row>
    <row r="113" spans="3:12" s="195" customFormat="1" ht="15.6" x14ac:dyDescent="0.3">
      <c r="C113" s="194"/>
      <c r="D113" t="s">
        <v>1081</v>
      </c>
      <c r="E113" t="s">
        <v>68</v>
      </c>
      <c r="F113" t="s">
        <v>1284</v>
      </c>
      <c r="G113" s="1">
        <v>1</v>
      </c>
      <c r="H113" s="56" t="s">
        <v>95</v>
      </c>
      <c r="I113" s="246">
        <v>1</v>
      </c>
      <c r="J113" s="172">
        <v>37054.884583999999</v>
      </c>
      <c r="K113" s="248" t="s">
        <v>120</v>
      </c>
      <c r="L113" s="194"/>
    </row>
    <row r="114" spans="3:12" s="195" customFormat="1" ht="15.6" x14ac:dyDescent="0.3">
      <c r="C114" s="194"/>
      <c r="D114" t="s">
        <v>1179</v>
      </c>
      <c r="E114" t="s">
        <v>1178</v>
      </c>
      <c r="F114" t="s">
        <v>1182</v>
      </c>
      <c r="G114" s="1">
        <v>2</v>
      </c>
      <c r="H114" s="56" t="s">
        <v>95</v>
      </c>
      <c r="I114" s="246">
        <v>1</v>
      </c>
      <c r="J114" s="172">
        <v>5502.303194000001</v>
      </c>
      <c r="K114" s="248" t="s">
        <v>120</v>
      </c>
      <c r="L114" s="194"/>
    </row>
    <row r="115" spans="3:12" s="195" customFormat="1" ht="15.6" x14ac:dyDescent="0.3">
      <c r="C115" s="194"/>
      <c r="D115" t="s">
        <v>1180</v>
      </c>
      <c r="E115" t="s">
        <v>1178</v>
      </c>
      <c r="F115" t="s">
        <v>1183</v>
      </c>
      <c r="G115" s="1">
        <v>1</v>
      </c>
      <c r="H115" s="56" t="s">
        <v>95</v>
      </c>
      <c r="I115" s="246">
        <v>1</v>
      </c>
      <c r="J115" s="172">
        <v>5255.8645969999989</v>
      </c>
      <c r="K115" s="248" t="s">
        <v>120</v>
      </c>
      <c r="L115" s="194"/>
    </row>
    <row r="116" spans="3:12" s="195" customFormat="1" ht="15.6" x14ac:dyDescent="0.3">
      <c r="C116" s="194"/>
      <c r="D116" t="s">
        <v>1181</v>
      </c>
      <c r="E116" t="s">
        <v>1178</v>
      </c>
      <c r="F116" t="s">
        <v>1184</v>
      </c>
      <c r="G116" s="1">
        <v>1</v>
      </c>
      <c r="H116" s="56" t="s">
        <v>95</v>
      </c>
      <c r="I116" s="246">
        <v>1</v>
      </c>
      <c r="J116" s="172">
        <v>15732.921999999999</v>
      </c>
      <c r="K116" s="248" t="s">
        <v>120</v>
      </c>
      <c r="L116" s="194"/>
    </row>
    <row r="117" spans="3:12" s="195" customFormat="1" ht="15.6" x14ac:dyDescent="0.3">
      <c r="C117" s="194"/>
      <c r="D117" t="s">
        <v>979</v>
      </c>
      <c r="E117" t="s">
        <v>978</v>
      </c>
      <c r="F117" t="s">
        <v>971</v>
      </c>
      <c r="G117" s="1">
        <v>1</v>
      </c>
      <c r="H117" t="s">
        <v>95</v>
      </c>
      <c r="I117" s="246">
        <v>1</v>
      </c>
      <c r="J117" s="172">
        <v>12082.891776400002</v>
      </c>
      <c r="K117" s="248" t="s">
        <v>120</v>
      </c>
      <c r="L117" s="194"/>
    </row>
    <row r="118" spans="3:12" s="195" customFormat="1" ht="15.6" x14ac:dyDescent="0.3">
      <c r="C118" s="194"/>
      <c r="D118" t="s">
        <v>967</v>
      </c>
      <c r="E118" t="s">
        <v>565</v>
      </c>
      <c r="F118" t="s">
        <v>364</v>
      </c>
      <c r="G118" s="1">
        <v>1</v>
      </c>
      <c r="H118" s="200" t="s">
        <v>95</v>
      </c>
      <c r="I118" s="246">
        <v>1</v>
      </c>
      <c r="J118" s="172">
        <v>36276.538</v>
      </c>
      <c r="K118" s="248" t="s">
        <v>120</v>
      </c>
      <c r="L118" s="194"/>
    </row>
    <row r="119" spans="3:12" s="195" customFormat="1" ht="15.6" x14ac:dyDescent="0.3">
      <c r="C119" s="194"/>
      <c r="D119" t="s">
        <v>991</v>
      </c>
      <c r="E119" t="s">
        <v>4</v>
      </c>
      <c r="F119" t="s">
        <v>686</v>
      </c>
      <c r="G119" s="1">
        <v>1</v>
      </c>
      <c r="H119" s="56" t="s">
        <v>95</v>
      </c>
      <c r="I119" s="246">
        <v>1</v>
      </c>
      <c r="J119" s="172">
        <v>8728.8063759999968</v>
      </c>
      <c r="K119" s="248" t="s">
        <v>120</v>
      </c>
      <c r="L119" s="194"/>
    </row>
    <row r="120" spans="3:12" s="195" customFormat="1" ht="15.6" x14ac:dyDescent="0.3">
      <c r="C120" s="194"/>
      <c r="D120" t="s">
        <v>1005</v>
      </c>
      <c r="E120" t="s">
        <v>249</v>
      </c>
      <c r="F120" t="s">
        <v>567</v>
      </c>
      <c r="G120" s="1">
        <v>1</v>
      </c>
      <c r="H120" s="56" t="s">
        <v>95</v>
      </c>
      <c r="I120" s="246">
        <v>1</v>
      </c>
      <c r="J120" s="172">
        <v>104003.11822400006</v>
      </c>
      <c r="K120" s="248" t="s">
        <v>120</v>
      </c>
      <c r="L120" s="194"/>
    </row>
    <row r="121" spans="3:12" s="195" customFormat="1" ht="15.6" x14ac:dyDescent="0.3">
      <c r="C121" s="194"/>
      <c r="D121" t="s">
        <v>1009</v>
      </c>
      <c r="E121" t="s">
        <v>565</v>
      </c>
      <c r="F121" t="s">
        <v>415</v>
      </c>
      <c r="G121" s="1">
        <v>1</v>
      </c>
      <c r="H121" t="s">
        <v>95</v>
      </c>
      <c r="I121" s="246">
        <v>1</v>
      </c>
      <c r="J121" s="172">
        <v>53793.210000000006</v>
      </c>
      <c r="K121" s="248" t="s">
        <v>120</v>
      </c>
      <c r="L121" s="194"/>
    </row>
    <row r="122" spans="3:12" s="195" customFormat="1" ht="15.6" x14ac:dyDescent="0.3">
      <c r="C122" s="194"/>
      <c r="D122" t="s">
        <v>1117</v>
      </c>
      <c r="E122" t="s">
        <v>1118</v>
      </c>
      <c r="F122" t="s">
        <v>646</v>
      </c>
      <c r="G122" s="1">
        <v>2</v>
      </c>
      <c r="H122" s="56" t="s">
        <v>95</v>
      </c>
      <c r="I122" s="246">
        <v>1</v>
      </c>
      <c r="J122" s="172">
        <v>3795.9199999999996</v>
      </c>
      <c r="K122" s="248" t="s">
        <v>120</v>
      </c>
      <c r="L122" s="194"/>
    </row>
    <row r="123" spans="3:12" s="195" customFormat="1" ht="15.6" x14ac:dyDescent="0.3">
      <c r="C123" s="194"/>
      <c r="D123" t="s">
        <v>1144</v>
      </c>
      <c r="E123" t="s">
        <v>4</v>
      </c>
      <c r="F123" t="s">
        <v>1145</v>
      </c>
      <c r="G123" s="1">
        <v>1</v>
      </c>
      <c r="H123" t="s">
        <v>95</v>
      </c>
      <c r="I123" s="246">
        <v>1</v>
      </c>
      <c r="J123" s="172">
        <v>42795.441311999981</v>
      </c>
      <c r="K123" s="248" t="s">
        <v>120</v>
      </c>
      <c r="L123" s="194"/>
    </row>
    <row r="124" spans="3:12" s="195" customFormat="1" ht="15.6" x14ac:dyDescent="0.3">
      <c r="C124" s="194"/>
      <c r="D124" t="s">
        <v>1157</v>
      </c>
      <c r="E124" t="s">
        <v>1013</v>
      </c>
      <c r="F124" t="s">
        <v>1014</v>
      </c>
      <c r="G124" s="1">
        <v>1</v>
      </c>
      <c r="H124" s="56" t="s">
        <v>95</v>
      </c>
      <c r="I124" s="246">
        <v>1</v>
      </c>
      <c r="J124" s="172">
        <v>15052.733</v>
      </c>
      <c r="K124" s="248" t="s">
        <v>120</v>
      </c>
      <c r="L124" s="194"/>
    </row>
    <row r="125" spans="3:12" s="195" customFormat="1" ht="15.6" x14ac:dyDescent="0.3">
      <c r="C125" s="194"/>
      <c r="D125" t="s">
        <v>1158</v>
      </c>
      <c r="E125" t="s">
        <v>565</v>
      </c>
      <c r="F125" t="s">
        <v>1017</v>
      </c>
      <c r="G125" s="1">
        <v>1</v>
      </c>
      <c r="H125" s="56" t="s">
        <v>95</v>
      </c>
      <c r="I125" s="246">
        <v>1</v>
      </c>
      <c r="J125" s="172">
        <v>14531.93</v>
      </c>
      <c r="K125" s="248" t="s">
        <v>120</v>
      </c>
      <c r="L125" s="194"/>
    </row>
    <row r="126" spans="3:12" s="195" customFormat="1" ht="15.6" x14ac:dyDescent="0.3">
      <c r="C126" s="194"/>
      <c r="D126" t="s">
        <v>1159</v>
      </c>
      <c r="E126" t="s">
        <v>565</v>
      </c>
      <c r="F126" t="s">
        <v>1020</v>
      </c>
      <c r="G126" s="1">
        <v>1</v>
      </c>
      <c r="H126" s="56" t="s">
        <v>95</v>
      </c>
      <c r="I126" s="246">
        <v>1</v>
      </c>
      <c r="J126" s="172">
        <v>18952.189999999999</v>
      </c>
      <c r="K126" s="248" t="s">
        <v>120</v>
      </c>
      <c r="L126" s="194"/>
    </row>
    <row r="127" spans="3:12" s="208" customFormat="1" ht="21" x14ac:dyDescent="0.4">
      <c r="C127" s="205"/>
      <c r="D127" t="s">
        <v>1126</v>
      </c>
      <c r="E127" t="s">
        <v>249</v>
      </c>
      <c r="F127" t="s">
        <v>250</v>
      </c>
      <c r="G127" s="1">
        <v>1</v>
      </c>
      <c r="H127" s="56" t="s">
        <v>95</v>
      </c>
      <c r="I127" s="246">
        <v>1</v>
      </c>
      <c r="J127" s="172">
        <v>67567.792384</v>
      </c>
      <c r="K127" s="248" t="s">
        <v>120</v>
      </c>
      <c r="L127" s="205"/>
    </row>
    <row r="128" spans="3:12" x14ac:dyDescent="0.3">
      <c r="D128" t="s">
        <v>1130</v>
      </c>
      <c r="E128" t="s">
        <v>249</v>
      </c>
      <c r="F128" t="s">
        <v>949</v>
      </c>
      <c r="G128" s="1">
        <v>1</v>
      </c>
      <c r="H128" s="56" t="s">
        <v>95</v>
      </c>
      <c r="I128" s="246">
        <v>1</v>
      </c>
      <c r="J128" s="172">
        <v>52321.654284000055</v>
      </c>
      <c r="K128" s="248" t="s">
        <v>120</v>
      </c>
    </row>
    <row r="129" spans="4:11" ht="15.6" x14ac:dyDescent="0.3">
      <c r="D129" t="s">
        <v>1203</v>
      </c>
      <c r="E129" t="s">
        <v>565</v>
      </c>
      <c r="F129" t="s">
        <v>225</v>
      </c>
      <c r="G129" s="1">
        <v>1</v>
      </c>
      <c r="H129" s="56" t="s">
        <v>95</v>
      </c>
      <c r="I129" s="247">
        <v>1</v>
      </c>
      <c r="J129" s="204">
        <v>44339.21</v>
      </c>
      <c r="K129" s="249" t="s">
        <v>120</v>
      </c>
    </row>
    <row r="130" spans="4:11" ht="15.6" x14ac:dyDescent="0.3">
      <c r="D130" t="s">
        <v>1170</v>
      </c>
      <c r="E130" t="s">
        <v>565</v>
      </c>
      <c r="F130" t="s">
        <v>214</v>
      </c>
      <c r="G130" s="1">
        <v>1</v>
      </c>
      <c r="H130" s="200" t="s">
        <v>95</v>
      </c>
      <c r="I130" s="247">
        <v>1</v>
      </c>
      <c r="J130" s="204">
        <v>22682.47</v>
      </c>
      <c r="K130" s="249" t="s">
        <v>120</v>
      </c>
    </row>
    <row r="131" spans="4:11" ht="15.6" x14ac:dyDescent="0.3">
      <c r="D131" t="s">
        <v>1208</v>
      </c>
      <c r="E131" t="s">
        <v>249</v>
      </c>
      <c r="F131" t="s">
        <v>250</v>
      </c>
      <c r="G131" s="1">
        <v>1</v>
      </c>
      <c r="H131" s="56" t="s">
        <v>95</v>
      </c>
      <c r="I131" s="246">
        <v>1</v>
      </c>
      <c r="J131" s="204">
        <v>72876.409159999996</v>
      </c>
      <c r="K131" s="249" t="s">
        <v>120</v>
      </c>
    </row>
    <row r="132" spans="4:11" ht="15.6" x14ac:dyDescent="0.3">
      <c r="D132" t="s">
        <v>1224</v>
      </c>
      <c r="E132" t="s">
        <v>249</v>
      </c>
      <c r="F132" t="s">
        <v>1225</v>
      </c>
      <c r="G132" s="1">
        <v>1</v>
      </c>
      <c r="H132" s="56" t="s">
        <v>95</v>
      </c>
      <c r="I132" s="246">
        <v>1</v>
      </c>
      <c r="J132" s="204">
        <v>45602.913741999997</v>
      </c>
      <c r="K132" s="249" t="s">
        <v>120</v>
      </c>
    </row>
    <row r="133" spans="4:11" ht="15.6" x14ac:dyDescent="0.3">
      <c r="D133" t="s">
        <v>1258</v>
      </c>
      <c r="E133" t="s">
        <v>4</v>
      </c>
      <c r="F133" t="s">
        <v>1259</v>
      </c>
      <c r="G133" s="1">
        <v>1</v>
      </c>
      <c r="H133" s="56" t="s">
        <v>95</v>
      </c>
      <c r="I133" s="246">
        <v>1</v>
      </c>
      <c r="J133" s="204">
        <v>13623.51402227421</v>
      </c>
      <c r="K133" s="249" t="s">
        <v>120</v>
      </c>
    </row>
    <row r="134" spans="4:11" ht="15.6" x14ac:dyDescent="0.3">
      <c r="D134" t="s">
        <v>1220</v>
      </c>
      <c r="E134" t="s">
        <v>565</v>
      </c>
      <c r="F134" t="s">
        <v>1217</v>
      </c>
      <c r="G134" s="1">
        <v>1</v>
      </c>
      <c r="H134" s="56" t="s">
        <v>95</v>
      </c>
      <c r="I134" s="246">
        <v>1</v>
      </c>
      <c r="J134" s="204">
        <v>19372.446000000004</v>
      </c>
      <c r="K134" s="249" t="s">
        <v>120</v>
      </c>
    </row>
    <row r="135" spans="4:11" ht="15.6" x14ac:dyDescent="0.3">
      <c r="D135" t="s">
        <v>1221</v>
      </c>
      <c r="E135" t="s">
        <v>565</v>
      </c>
      <c r="F135" t="s">
        <v>210</v>
      </c>
      <c r="G135" s="1">
        <v>1</v>
      </c>
      <c r="H135" s="56" t="s">
        <v>95</v>
      </c>
      <c r="I135" s="246">
        <v>1</v>
      </c>
      <c r="J135" s="204">
        <v>11637.868000000004</v>
      </c>
      <c r="K135" s="249" t="s">
        <v>120</v>
      </c>
    </row>
    <row r="136" spans="4:11" ht="15.6" x14ac:dyDescent="0.3">
      <c r="D136" t="s">
        <v>1278</v>
      </c>
      <c r="E136" t="s">
        <v>4</v>
      </c>
      <c r="F136" t="s">
        <v>20</v>
      </c>
      <c r="G136" s="1">
        <v>1</v>
      </c>
      <c r="H136" s="56" t="s">
        <v>95</v>
      </c>
      <c r="I136" s="246">
        <v>1</v>
      </c>
      <c r="J136" s="204">
        <v>24177.080888000004</v>
      </c>
      <c r="K136" s="249" t="s">
        <v>120</v>
      </c>
    </row>
    <row r="137" spans="4:11" ht="15.6" x14ac:dyDescent="0.3">
      <c r="D137" t="s">
        <v>1287</v>
      </c>
      <c r="E137" t="s">
        <v>1288</v>
      </c>
      <c r="F137" t="s">
        <v>1289</v>
      </c>
      <c r="G137" s="1">
        <v>1</v>
      </c>
      <c r="H137" s="56" t="s">
        <v>33</v>
      </c>
      <c r="I137" s="246">
        <v>0.1</v>
      </c>
      <c r="J137" s="204">
        <v>451165.01500000007</v>
      </c>
      <c r="K137" s="249" t="s">
        <v>1309</v>
      </c>
    </row>
    <row r="138" spans="4:11" ht="15.6" x14ac:dyDescent="0.3">
      <c r="D138" t="s">
        <v>1291</v>
      </c>
      <c r="E138" t="s">
        <v>565</v>
      </c>
      <c r="F138" t="s">
        <v>225</v>
      </c>
      <c r="G138" s="1">
        <v>2</v>
      </c>
      <c r="H138" s="56" t="s">
        <v>95</v>
      </c>
      <c r="I138" s="246">
        <v>1</v>
      </c>
      <c r="J138" s="204">
        <v>90725.14</v>
      </c>
      <c r="K138" s="249" t="s">
        <v>120</v>
      </c>
    </row>
    <row r="139" spans="4:11" ht="15.6" x14ac:dyDescent="0.3">
      <c r="D139" t="s">
        <v>1294</v>
      </c>
      <c r="E139" t="s">
        <v>565</v>
      </c>
      <c r="F139" t="s">
        <v>415</v>
      </c>
      <c r="G139" s="1">
        <v>2</v>
      </c>
      <c r="H139" s="56" t="s">
        <v>95</v>
      </c>
      <c r="I139" s="246">
        <v>1</v>
      </c>
      <c r="J139" s="204">
        <v>107586.42000000001</v>
      </c>
      <c r="K139" s="249" t="s">
        <v>120</v>
      </c>
    </row>
    <row r="140" spans="4:11" ht="15.6" x14ac:dyDescent="0.3">
      <c r="D140" t="s">
        <v>1293</v>
      </c>
      <c r="E140" t="s">
        <v>565</v>
      </c>
      <c r="F140" t="s">
        <v>864</v>
      </c>
      <c r="G140" s="1">
        <v>2</v>
      </c>
      <c r="H140" s="56" t="s">
        <v>95</v>
      </c>
      <c r="I140" s="246">
        <v>1</v>
      </c>
      <c r="J140" s="204">
        <v>122935.25456371957</v>
      </c>
      <c r="K140" s="249" t="s">
        <v>1308</v>
      </c>
    </row>
    <row r="141" spans="4:11" ht="15.6" x14ac:dyDescent="0.3">
      <c r="D141" t="s">
        <v>1295</v>
      </c>
      <c r="E141" t="s">
        <v>1296</v>
      </c>
      <c r="F141" t="s">
        <v>510</v>
      </c>
      <c r="G141" s="1">
        <v>1</v>
      </c>
      <c r="H141" s="56" t="s">
        <v>95</v>
      </c>
      <c r="I141" s="246">
        <v>1</v>
      </c>
      <c r="J141" s="204">
        <v>26360.780000000002</v>
      </c>
      <c r="K141" s="249"/>
    </row>
    <row r="142" spans="4:11" ht="15.6" x14ac:dyDescent="0.3">
      <c r="D142" t="s">
        <v>1300</v>
      </c>
      <c r="E142" t="s">
        <v>1296</v>
      </c>
      <c r="F142" t="s">
        <v>510</v>
      </c>
      <c r="G142" s="1">
        <v>1</v>
      </c>
      <c r="H142" s="56" t="s">
        <v>95</v>
      </c>
      <c r="I142" s="246">
        <v>1</v>
      </c>
      <c r="J142" s="204">
        <v>2216.0074199999999</v>
      </c>
      <c r="K142" s="249"/>
    </row>
    <row r="143" spans="4:11" ht="15.6" x14ac:dyDescent="0.3">
      <c r="D143" t="s">
        <v>1304</v>
      </c>
      <c r="E143" t="s">
        <v>68</v>
      </c>
      <c r="F143" t="s">
        <v>1305</v>
      </c>
      <c r="G143" s="1">
        <v>1</v>
      </c>
      <c r="H143" s="56" t="s">
        <v>95</v>
      </c>
      <c r="I143" s="246">
        <v>1</v>
      </c>
      <c r="J143" s="204">
        <v>57493.999999999993</v>
      </c>
      <c r="K143" s="249"/>
    </row>
    <row r="144" spans="4:11" ht="21" x14ac:dyDescent="0.4">
      <c r="D144" s="206" t="s">
        <v>561</v>
      </c>
      <c r="E144" s="206"/>
      <c r="F144" s="206"/>
      <c r="G144" s="206"/>
      <c r="H144" s="206"/>
      <c r="I144" s="206"/>
      <c r="J144" s="237">
        <v>7503159.4498012792</v>
      </c>
      <c r="K144" s="207" t="s">
        <v>1311</v>
      </c>
    </row>
    <row r="145" spans="4:14" ht="21" x14ac:dyDescent="0.4">
      <c r="D145" s="243"/>
      <c r="E145" s="243"/>
      <c r="F145" s="243"/>
      <c r="G145" s="243"/>
      <c r="H145" s="243"/>
      <c r="I145" s="243"/>
      <c r="J145" s="244"/>
      <c r="K145" s="245"/>
      <c r="N145" t="s">
        <v>1285</v>
      </c>
    </row>
    <row r="146" spans="4:14" ht="21" x14ac:dyDescent="0.4">
      <c r="D146" s="243"/>
      <c r="E146" s="243"/>
      <c r="F146" s="243"/>
      <c r="G146" s="243"/>
      <c r="H146" s="243"/>
      <c r="I146" s="243"/>
      <c r="J146" s="244"/>
      <c r="K146" s="245"/>
    </row>
    <row r="147" spans="4:14" ht="21" x14ac:dyDescent="0.4">
      <c r="D147" s="243"/>
      <c r="E147" s="243"/>
      <c r="F147" s="243"/>
      <c r="G147" s="243"/>
      <c r="H147" s="243"/>
      <c r="I147" s="243"/>
      <c r="J147" s="244"/>
      <c r="K147" s="245"/>
    </row>
    <row r="148" spans="4:14" ht="21" x14ac:dyDescent="0.4">
      <c r="D148" s="243"/>
      <c r="E148" s="243"/>
      <c r="F148" s="243"/>
      <c r="G148" s="243"/>
      <c r="H148" s="243"/>
      <c r="I148" s="243"/>
      <c r="J148" s="244"/>
      <c r="K148" s="245"/>
    </row>
    <row r="149" spans="4:14" ht="29.4" x14ac:dyDescent="0.4">
      <c r="D149" s="243"/>
      <c r="E149" s="243"/>
      <c r="F149" s="243"/>
      <c r="G149" s="243"/>
      <c r="H149" s="267" t="s">
        <v>1315</v>
      </c>
      <c r="I149" s="243"/>
      <c r="J149" s="264"/>
      <c r="K149" s="245"/>
    </row>
    <row r="150" spans="4:14" ht="21" x14ac:dyDescent="0.4">
      <c r="D150" s="243"/>
      <c r="E150" s="243"/>
      <c r="F150" s="243"/>
      <c r="G150" s="243"/>
      <c r="H150" s="265" t="s">
        <v>1313</v>
      </c>
      <c r="I150" s="243"/>
      <c r="J150" s="264"/>
      <c r="K150" s="245"/>
    </row>
    <row r="151" spans="4:14" ht="21" x14ac:dyDescent="0.4">
      <c r="D151" s="243"/>
      <c r="E151" s="243"/>
      <c r="F151" s="243"/>
      <c r="G151" s="243"/>
      <c r="H151" s="265" t="s">
        <v>1314</v>
      </c>
      <c r="I151" s="243"/>
      <c r="J151" s="244"/>
      <c r="K151" s="245"/>
    </row>
    <row r="152" spans="4:14" ht="21" x14ac:dyDescent="0.4">
      <c r="D152" s="243"/>
      <c r="E152" s="243"/>
      <c r="F152" s="243"/>
      <c r="G152" s="243"/>
      <c r="H152" s="265" t="s">
        <v>1312</v>
      </c>
      <c r="I152" s="243"/>
      <c r="J152" s="244"/>
      <c r="K152" s="245"/>
    </row>
    <row r="153" spans="4:14" ht="21" x14ac:dyDescent="0.4">
      <c r="D153" s="243"/>
      <c r="E153" s="243"/>
      <c r="F153" s="243"/>
      <c r="G153" s="243"/>
      <c r="H153" s="266" t="s">
        <v>1318</v>
      </c>
      <c r="I153" s="243"/>
      <c r="J153" s="244"/>
      <c r="K153" s="245"/>
    </row>
    <row r="154" spans="4:14" ht="21" x14ac:dyDescent="0.4">
      <c r="D154" s="243"/>
      <c r="E154" s="243"/>
      <c r="F154" s="243"/>
      <c r="G154" s="243"/>
      <c r="H154" s="266" t="s">
        <v>1319</v>
      </c>
      <c r="I154" s="243"/>
      <c r="J154" s="244"/>
      <c r="K154" s="245"/>
    </row>
    <row r="155" spans="4:14" ht="21" x14ac:dyDescent="0.4">
      <c r="D155" s="243"/>
      <c r="E155" s="243"/>
      <c r="F155" s="243"/>
      <c r="G155" s="243"/>
      <c r="H155" s="266" t="s">
        <v>1316</v>
      </c>
      <c r="I155" s="243"/>
      <c r="J155" s="244"/>
      <c r="K155" s="245"/>
    </row>
    <row r="156" spans="4:14" ht="21" x14ac:dyDescent="0.4">
      <c r="D156" s="243"/>
      <c r="E156" s="243"/>
      <c r="F156" s="243"/>
      <c r="G156" s="243"/>
      <c r="H156" s="266" t="s">
        <v>1317</v>
      </c>
      <c r="I156" s="243"/>
      <c r="J156" s="244"/>
      <c r="K156" s="245"/>
    </row>
    <row r="157" spans="4:14" ht="21" x14ac:dyDescent="0.4">
      <c r="D157" s="243"/>
      <c r="E157" s="243"/>
      <c r="F157" s="243"/>
      <c r="G157" s="243"/>
      <c r="H157" s="266" t="s">
        <v>1320</v>
      </c>
      <c r="I157" s="243"/>
      <c r="J157" s="244"/>
      <c r="K157" s="245"/>
    </row>
    <row r="158" spans="4:14" ht="21" x14ac:dyDescent="0.4">
      <c r="D158" s="243"/>
      <c r="E158" s="243"/>
      <c r="F158" s="243"/>
      <c r="G158" s="243"/>
      <c r="H158" s="243"/>
      <c r="I158" s="243"/>
      <c r="J158" s="244"/>
      <c r="K158" s="245"/>
    </row>
    <row r="159" spans="4:14" ht="21" x14ac:dyDescent="0.4">
      <c r="D159" s="243"/>
      <c r="E159" s="243"/>
      <c r="F159" s="243"/>
      <c r="G159" s="243"/>
      <c r="H159" s="243"/>
      <c r="I159" s="243"/>
      <c r="J159" s="244"/>
      <c r="K159" s="245"/>
    </row>
    <row r="160" spans="4:14" ht="21" x14ac:dyDescent="0.4">
      <c r="D160" s="243"/>
      <c r="E160" s="243"/>
      <c r="F160" s="243"/>
      <c r="G160" s="243"/>
      <c r="H160" s="243"/>
      <c r="I160" s="243"/>
      <c r="J160" s="244"/>
      <c r="K160" s="245"/>
    </row>
    <row r="161" spans="3:11" x14ac:dyDescent="0.3">
      <c r="D161" s="223"/>
      <c r="E161" s="223"/>
      <c r="F161" s="223"/>
      <c r="G161" s="223"/>
      <c r="H161" s="223"/>
      <c r="I161" s="223"/>
      <c r="J161" s="223"/>
      <c r="K161" s="223"/>
    </row>
    <row r="162" spans="3:11" x14ac:dyDescent="0.3">
      <c r="D162" s="223"/>
      <c r="E162" s="223"/>
      <c r="F162" s="223"/>
      <c r="G162" s="223"/>
      <c r="H162" s="223"/>
      <c r="I162" s="223"/>
      <c r="J162" s="223"/>
      <c r="K162" s="223"/>
    </row>
    <row r="163" spans="3:11" x14ac:dyDescent="0.3">
      <c r="D163" s="223"/>
      <c r="E163" s="223"/>
      <c r="F163" s="223"/>
      <c r="G163" s="223"/>
      <c r="H163" s="223"/>
      <c r="I163" s="223"/>
      <c r="J163" s="223"/>
      <c r="K163" s="223"/>
    </row>
    <row r="164" spans="3:11" x14ac:dyDescent="0.3">
      <c r="D164" s="223"/>
      <c r="E164" s="223"/>
      <c r="F164" s="223"/>
      <c r="G164" s="223"/>
      <c r="H164" s="223"/>
      <c r="I164" s="223"/>
      <c r="J164" s="223"/>
      <c r="K164" s="223"/>
    </row>
    <row r="165" spans="3:11" x14ac:dyDescent="0.3">
      <c r="D165" s="223"/>
      <c r="E165" s="223"/>
      <c r="F165" s="223"/>
      <c r="G165" s="223"/>
      <c r="H165" s="223"/>
      <c r="I165" s="224"/>
      <c r="J165" s="223"/>
      <c r="K165" s="223"/>
    </row>
    <row r="166" spans="3:11" x14ac:dyDescent="0.3">
      <c r="D166" s="223"/>
      <c r="E166" s="223"/>
      <c r="F166" s="223"/>
      <c r="G166" s="223"/>
      <c r="H166" s="223"/>
      <c r="I166" s="225"/>
      <c r="J166" s="223"/>
      <c r="K166" s="223"/>
    </row>
    <row r="167" spans="3:11" x14ac:dyDescent="0.3">
      <c r="D167" s="223"/>
      <c r="E167" s="223"/>
      <c r="F167" s="223"/>
      <c r="G167" s="223"/>
      <c r="H167" s="223"/>
      <c r="I167" s="225"/>
      <c r="J167" s="226"/>
      <c r="K167" s="223"/>
    </row>
    <row r="168" spans="3:11" x14ac:dyDescent="0.3">
      <c r="D168" s="223"/>
      <c r="E168" s="223"/>
      <c r="F168" s="223"/>
      <c r="G168" s="223"/>
      <c r="H168" s="223"/>
      <c r="I168" s="225"/>
      <c r="J168" s="226"/>
      <c r="K168" s="223"/>
    </row>
    <row r="169" spans="3:11" x14ac:dyDescent="0.3">
      <c r="D169" s="223"/>
      <c r="E169" s="223"/>
      <c r="F169" s="223"/>
      <c r="G169" s="223"/>
      <c r="H169" s="223"/>
      <c r="I169" s="225"/>
      <c r="J169" s="226"/>
      <c r="K169" s="223"/>
    </row>
    <row r="170" spans="3:11" x14ac:dyDescent="0.3">
      <c r="D170" s="223"/>
      <c r="E170" s="223"/>
      <c r="F170" s="223"/>
      <c r="G170" s="223"/>
      <c r="H170" s="223"/>
      <c r="I170" s="225"/>
      <c r="J170" s="226"/>
      <c r="K170" s="223"/>
    </row>
    <row r="171" spans="3:11" ht="21" x14ac:dyDescent="0.4">
      <c r="C171" s="201"/>
      <c r="D171" s="227"/>
      <c r="E171" s="228"/>
      <c r="F171" s="229"/>
      <c r="G171" s="227"/>
      <c r="H171" s="230"/>
      <c r="I171" s="225"/>
      <c r="J171" s="226"/>
      <c r="K171" s="223"/>
    </row>
    <row r="172" spans="3:11" x14ac:dyDescent="0.3">
      <c r="D172" s="223"/>
      <c r="E172" s="223"/>
      <c r="F172" s="223"/>
      <c r="G172" s="223"/>
      <c r="H172" s="223"/>
      <c r="I172" s="223"/>
      <c r="J172" s="223"/>
      <c r="K172" s="223"/>
    </row>
    <row r="173" spans="3:11" x14ac:dyDescent="0.3">
      <c r="D173" s="223"/>
      <c r="E173" s="223"/>
      <c r="F173" s="223"/>
      <c r="G173" s="223"/>
      <c r="H173" s="223"/>
      <c r="I173" s="223"/>
      <c r="J173" s="223"/>
      <c r="K173" s="223"/>
    </row>
    <row r="174" spans="3:11" x14ac:dyDescent="0.3">
      <c r="D174" s="223"/>
      <c r="E174" s="223"/>
      <c r="F174" s="223"/>
      <c r="G174" s="223"/>
      <c r="H174" s="223"/>
      <c r="I174" s="223"/>
      <c r="J174" s="223"/>
      <c r="K174" s="223"/>
    </row>
    <row r="175" spans="3:11" x14ac:dyDescent="0.3">
      <c r="D175" s="223"/>
      <c r="E175" s="223"/>
      <c r="F175" s="223"/>
      <c r="G175" s="223"/>
      <c r="H175" s="223"/>
      <c r="I175" s="223"/>
      <c r="J175" s="223"/>
      <c r="K175" s="223"/>
    </row>
    <row r="176" spans="3:11" x14ac:dyDescent="0.3">
      <c r="D176" s="223"/>
      <c r="E176" s="223"/>
      <c r="F176" s="223"/>
      <c r="G176" s="223"/>
      <c r="H176" s="223"/>
      <c r="I176" s="223"/>
      <c r="J176" s="223"/>
      <c r="K176" s="223"/>
    </row>
    <row r="177" spans="4:11" x14ac:dyDescent="0.3">
      <c r="D177" s="223"/>
      <c r="E177" s="223"/>
      <c r="F177" s="223"/>
      <c r="G177" s="223"/>
      <c r="H177" s="223"/>
      <c r="I177" s="223"/>
      <c r="J177" s="223"/>
      <c r="K177" s="223"/>
    </row>
    <row r="178" spans="4:11" x14ac:dyDescent="0.3">
      <c r="D178" s="223"/>
      <c r="E178" s="223"/>
      <c r="F178" s="223"/>
      <c r="G178" s="223"/>
      <c r="H178" s="223"/>
      <c r="I178" s="223"/>
      <c r="J178" s="223"/>
      <c r="K178" s="223"/>
    </row>
    <row r="179" spans="4:11" x14ac:dyDescent="0.3">
      <c r="D179" s="223"/>
      <c r="E179" s="223"/>
      <c r="F179" s="223"/>
      <c r="G179" s="223"/>
      <c r="H179" s="223"/>
      <c r="I179" s="223"/>
      <c r="J179" s="223"/>
      <c r="K179" s="223"/>
    </row>
    <row r="180" spans="4:11" x14ac:dyDescent="0.3">
      <c r="D180" s="223"/>
      <c r="E180" s="223"/>
      <c r="F180" s="223"/>
      <c r="G180" s="223"/>
      <c r="H180" s="223"/>
      <c r="I180" s="223"/>
      <c r="J180" s="223"/>
      <c r="K180" s="223"/>
    </row>
    <row r="181" spans="4:11" x14ac:dyDescent="0.3">
      <c r="D181" s="223"/>
      <c r="E181" s="223"/>
      <c r="F181" s="223"/>
      <c r="G181" s="223"/>
      <c r="H181" s="223"/>
      <c r="I181" s="223"/>
      <c r="J181" s="223"/>
      <c r="K181" s="223"/>
    </row>
  </sheetData>
  <mergeCells count="3">
    <mergeCell ref="G9:H14"/>
    <mergeCell ref="J7:K7"/>
    <mergeCell ref="J5:K5"/>
  </mergeCells>
  <conditionalFormatting sqref="H21:H143">
    <cfRule type="containsText" dxfId="32" priority="5" operator="containsText" text="HOLD">
      <formula>NOT(ISERROR(SEARCH("HOLD",H21)))</formula>
    </cfRule>
    <cfRule type="containsText" dxfId="31" priority="10" operator="containsText" text="RFD">
      <formula>NOT(ISERROR(SEARCH("RFD",H21)))</formula>
    </cfRule>
    <cfRule type="containsText" dxfId="30" priority="11" operator="containsText" text="ON GOING">
      <formula>NOT(ISERROR(SEARCH("ON GOING",H21)))</formula>
    </cfRule>
    <cfRule type="containsText" dxfId="29" priority="12" operator="containsText" text="COMPLETED">
      <formula>NOT(ISERROR(SEARCH("COMPLETED",H21)))</formula>
    </cfRule>
  </conditionalFormatting>
  <conditionalFormatting sqref="I21:I143">
    <cfRule type="dataBar" priority="6">
      <dataBar>
        <cfvo type="min"/>
        <cfvo type="max"/>
        <color rgb="FF638EC6"/>
      </dataBar>
      <extLst>
        <ext xmlns:x14="http://schemas.microsoft.com/office/spreadsheetml/2009/9/main" uri="{B025F937-C7B1-47D3-B67F-A62EFF666E3E}">
          <x14:id>{2636F470-470A-4E38-8D85-FB3789E70D4A}</x14:id>
        </ext>
      </extLst>
    </cfRule>
  </conditionalFormatting>
  <conditionalFormatting sqref="J166:J171 J199:J204">
    <cfRule type="containsText" dxfId="28" priority="7" operator="containsText" text="KAPAN AKAN DI AMBIL">
      <formula>NOT(ISERROR(SEARCH("KAPAN AKAN DI AMBIL",J166)))</formula>
    </cfRule>
    <cfRule type="containsText" dxfId="27" priority="8" operator="containsText" text="PRIORITAS">
      <formula>NOT(ISERROR(SEARCH("PRIORITAS",J166)))</formula>
    </cfRule>
  </conditionalFormatting>
  <conditionalFormatting sqref="J226:J231">
    <cfRule type="containsText" dxfId="26" priority="2" operator="containsText" text="KAPAN AKAN DI AMBIL">
      <formula>NOT(ISERROR(SEARCH("KAPAN AKAN DI AMBIL",J226)))</formula>
    </cfRule>
    <cfRule type="containsText" dxfId="25" priority="3" operator="containsText" text="PRIORITAS">
      <formula>NOT(ISERROR(SEARCH("PRIORITAS",J226)))</formula>
    </cfRule>
  </conditionalFormatting>
  <conditionalFormatting sqref="N106">
    <cfRule type="dataBar" priority="4">
      <dataBar>
        <cfvo type="min"/>
        <cfvo type="max"/>
        <color rgb="FF638EC6"/>
      </dataBar>
      <extLst>
        <ext xmlns:x14="http://schemas.microsoft.com/office/spreadsheetml/2009/9/main" uri="{B025F937-C7B1-47D3-B67F-A62EFF666E3E}">
          <x14:id>{5B6A646E-D515-4B05-AB68-C68E8AE2C94C}</x14:id>
        </ext>
      </extLst>
    </cfRule>
  </conditionalFormatting>
  <printOptions horizontalCentered="1"/>
  <pageMargins left="0" right="0" top="0" bottom="0" header="0" footer="0"/>
  <pageSetup scale="65" fitToHeight="0" orientation="landscape" r:id="rId2"/>
  <rowBreaks count="6" manualBreakCount="6">
    <brk id="51" min="2" max="11" man="1"/>
    <brk id="89" min="2" max="11" man="1"/>
    <brk id="127" min="2" max="11" man="1"/>
    <brk id="144" min="2" max="11" man="1"/>
    <brk id="186" min="2" max="11" man="1"/>
    <brk id="196" min="2" max="11" man="1"/>
  </rowBreaks>
  <colBreaks count="1" manualBreakCount="1">
    <brk id="5" max="1048575" man="1"/>
  </colBreaks>
  <drawing r:id="rId3"/>
  <extLst>
    <ext xmlns:x14="http://schemas.microsoft.com/office/spreadsheetml/2009/9/main" uri="{78C0D931-6437-407d-A8EE-F0AAD7539E65}">
      <x14:conditionalFormattings>
        <x14:conditionalFormatting xmlns:xm="http://schemas.microsoft.com/office/excel/2006/main">
          <x14:cfRule type="dataBar" id="{2636F470-470A-4E38-8D85-FB3789E70D4A}">
            <x14:dataBar minLength="0" maxLength="100" gradient="0">
              <x14:cfvo type="autoMin"/>
              <x14:cfvo type="autoMax"/>
              <x14:negativeFillColor rgb="FFFF0000"/>
              <x14:axisColor rgb="FF000000"/>
            </x14:dataBar>
          </x14:cfRule>
          <xm:sqref>I21:I143</xm:sqref>
        </x14:conditionalFormatting>
        <x14:conditionalFormatting xmlns:xm="http://schemas.microsoft.com/office/excel/2006/main">
          <x14:cfRule type="dataBar" id="{5B6A646E-D515-4B05-AB68-C68E8AE2C94C}">
            <x14:dataBar minLength="0" maxLength="100" gradient="0">
              <x14:cfvo type="autoMin"/>
              <x14:cfvo type="autoMax"/>
              <x14:negativeFillColor rgb="FFFF0000"/>
              <x14:axisColor rgb="FF000000"/>
            </x14:dataBar>
          </x14:cfRule>
          <xm:sqref>N106</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2FE6AC-98C1-4724-A35F-B02D1EC6696D}">
  <sheetPr codeName="Sheet4"/>
  <dimension ref="B2:I98"/>
  <sheetViews>
    <sheetView showGridLines="0" topLeftCell="A58" zoomScaleNormal="100" workbookViewId="0">
      <selection activeCell="B69" sqref="B69"/>
    </sheetView>
  </sheetViews>
  <sheetFormatPr defaultRowHeight="14.4" x14ac:dyDescent="0.3"/>
  <cols>
    <col min="2" max="2" width="28.33203125" bestFit="1" customWidth="1"/>
    <col min="3" max="3" width="22.109375" bestFit="1" customWidth="1"/>
    <col min="6" max="6" width="17" bestFit="1" customWidth="1"/>
    <col min="7" max="7" width="20.6640625" style="20" bestFit="1" customWidth="1"/>
    <col min="8" max="8" width="11.5546875" bestFit="1" customWidth="1"/>
    <col min="9" max="9" width="22.109375" bestFit="1" customWidth="1"/>
    <col min="10" max="10" width="11.44140625" bestFit="1" customWidth="1"/>
    <col min="11" max="11" width="13.109375" bestFit="1" customWidth="1"/>
    <col min="13" max="13" width="8.6640625" customWidth="1"/>
  </cols>
  <sheetData>
    <row r="2" spans="2:7" x14ac:dyDescent="0.3">
      <c r="B2" t="s">
        <v>1191</v>
      </c>
    </row>
    <row r="4" spans="2:7" x14ac:dyDescent="0.3">
      <c r="B4" s="179" t="s">
        <v>1190</v>
      </c>
      <c r="C4" s="172" t="s">
        <v>989</v>
      </c>
      <c r="F4" s="179" t="s">
        <v>1190</v>
      </c>
      <c r="G4" s="199" t="s">
        <v>1192</v>
      </c>
    </row>
    <row r="5" spans="2:7" x14ac:dyDescent="0.3">
      <c r="B5" s="220" t="s">
        <v>314</v>
      </c>
      <c r="C5" s="172">
        <v>4164.2339999999995</v>
      </c>
      <c r="F5" s="220" t="s">
        <v>95</v>
      </c>
      <c r="G5" s="199">
        <v>0.92682926829268297</v>
      </c>
    </row>
    <row r="6" spans="2:7" x14ac:dyDescent="0.3">
      <c r="B6" s="220" t="s">
        <v>241</v>
      </c>
      <c r="C6" s="172">
        <v>3450.4569721340395</v>
      </c>
      <c r="F6" s="220" t="s">
        <v>33</v>
      </c>
      <c r="G6" s="199">
        <v>1.6260162601626018E-2</v>
      </c>
    </row>
    <row r="7" spans="2:7" x14ac:dyDescent="0.3">
      <c r="B7" s="220" t="s">
        <v>4</v>
      </c>
      <c r="C7" s="172">
        <v>797918.34607427416</v>
      </c>
      <c r="F7" s="220" t="s">
        <v>152</v>
      </c>
      <c r="G7" s="199">
        <v>5.6910569105691054E-2</v>
      </c>
    </row>
    <row r="8" spans="2:7" x14ac:dyDescent="0.3">
      <c r="B8" s="220" t="s">
        <v>467</v>
      </c>
      <c r="C8" s="172">
        <v>117791.51508000001</v>
      </c>
      <c r="F8" s="220" t="s">
        <v>561</v>
      </c>
      <c r="G8" s="199">
        <v>1</v>
      </c>
    </row>
    <row r="9" spans="2:7" x14ac:dyDescent="0.3">
      <c r="B9" s="220" t="s">
        <v>68</v>
      </c>
      <c r="C9" s="172">
        <v>581742.04376563092</v>
      </c>
      <c r="G9"/>
    </row>
    <row r="10" spans="2:7" x14ac:dyDescent="0.3">
      <c r="B10" s="220" t="s">
        <v>1178</v>
      </c>
      <c r="C10" s="172">
        <v>26491.089790999999</v>
      </c>
    </row>
    <row r="11" spans="2:7" x14ac:dyDescent="0.3">
      <c r="B11" s="220" t="s">
        <v>793</v>
      </c>
      <c r="C11" s="172">
        <v>23903.115000000002</v>
      </c>
      <c r="G11" s="257"/>
    </row>
    <row r="12" spans="2:7" x14ac:dyDescent="0.3">
      <c r="B12" s="220" t="s">
        <v>1288</v>
      </c>
      <c r="C12" s="172">
        <v>451165.01500000007</v>
      </c>
    </row>
    <row r="13" spans="2:7" x14ac:dyDescent="0.3">
      <c r="B13" s="220" t="s">
        <v>1296</v>
      </c>
      <c r="C13" s="172">
        <v>28576.787420000001</v>
      </c>
    </row>
    <row r="14" spans="2:7" x14ac:dyDescent="0.3">
      <c r="B14" s="220" t="s">
        <v>670</v>
      </c>
      <c r="C14" s="172">
        <v>6708.2150000000011</v>
      </c>
    </row>
    <row r="15" spans="2:7" x14ac:dyDescent="0.3">
      <c r="B15" s="220" t="s">
        <v>565</v>
      </c>
      <c r="C15" s="172">
        <v>2075040.1734673879</v>
      </c>
      <c r="F15" s="179" t="s">
        <v>1190</v>
      </c>
      <c r="G15" s="199" t="s">
        <v>989</v>
      </c>
    </row>
    <row r="16" spans="2:7" x14ac:dyDescent="0.3">
      <c r="B16" s="220" t="s">
        <v>986</v>
      </c>
      <c r="C16" s="172">
        <v>2326218.4557498274</v>
      </c>
      <c r="F16" s="220" t="s">
        <v>18</v>
      </c>
      <c r="G16" s="199">
        <v>0.16504495408652597</v>
      </c>
    </row>
    <row r="17" spans="2:9" x14ac:dyDescent="0.3">
      <c r="B17" s="220" t="s">
        <v>301</v>
      </c>
      <c r="C17" s="172">
        <v>14655.016</v>
      </c>
      <c r="F17" s="220" t="s">
        <v>23</v>
      </c>
      <c r="G17" s="199">
        <v>1.9957083449688103E-2</v>
      </c>
    </row>
    <row r="18" spans="2:9" x14ac:dyDescent="0.3">
      <c r="B18" s="220" t="s">
        <v>955</v>
      </c>
      <c r="C18" s="172">
        <v>152196.04488662104</v>
      </c>
      <c r="F18" s="220" t="s">
        <v>653</v>
      </c>
      <c r="G18" s="199">
        <v>6.0894658850959259E-2</v>
      </c>
    </row>
    <row r="19" spans="2:9" x14ac:dyDescent="0.3">
      <c r="B19" s="220" t="s">
        <v>1118</v>
      </c>
      <c r="C19" s="172">
        <v>15357.463999999998</v>
      </c>
      <c r="F19" s="220" t="s">
        <v>16</v>
      </c>
      <c r="G19" s="199">
        <v>0.31713730468843437</v>
      </c>
    </row>
    <row r="20" spans="2:9" x14ac:dyDescent="0.3">
      <c r="B20" s="220" t="s">
        <v>650</v>
      </c>
      <c r="C20" s="172">
        <v>5737.32</v>
      </c>
      <c r="F20" s="220" t="s">
        <v>120</v>
      </c>
      <c r="G20" s="199">
        <v>0.31003185675488171</v>
      </c>
    </row>
    <row r="21" spans="2:9" x14ac:dyDescent="0.3">
      <c r="B21" s="220" t="s">
        <v>1013</v>
      </c>
      <c r="C21" s="172">
        <v>15052.733</v>
      </c>
      <c r="F21" s="220" t="s">
        <v>94</v>
      </c>
      <c r="G21" s="199">
        <v>0.12693414216951021</v>
      </c>
    </row>
    <row r="22" spans="2:9" x14ac:dyDescent="0.3">
      <c r="B22" s="220" t="s">
        <v>799</v>
      </c>
      <c r="C22" s="172">
        <v>6951.4168880000007</v>
      </c>
      <c r="F22" s="220" t="s">
        <v>561</v>
      </c>
      <c r="G22" s="199">
        <v>1</v>
      </c>
    </row>
    <row r="23" spans="2:9" x14ac:dyDescent="0.3">
      <c r="B23" s="220" t="s">
        <v>659</v>
      </c>
      <c r="C23" s="172">
        <v>20784.694</v>
      </c>
    </row>
    <row r="24" spans="2:9" x14ac:dyDescent="0.3">
      <c r="B24" s="220" t="s">
        <v>978</v>
      </c>
      <c r="C24" s="172">
        <v>12082.891776400002</v>
      </c>
      <c r="F24" s="179" t="s">
        <v>6</v>
      </c>
      <c r="G24" s="258" t="s">
        <v>988</v>
      </c>
      <c r="H24" s="179" t="s">
        <v>1310</v>
      </c>
      <c r="I24" s="172" t="s">
        <v>989</v>
      </c>
    </row>
    <row r="25" spans="2:9" x14ac:dyDescent="0.3">
      <c r="B25" s="220" t="s">
        <v>249</v>
      </c>
      <c r="C25" s="172">
        <v>813318.09193000023</v>
      </c>
      <c r="F25" t="s">
        <v>18</v>
      </c>
      <c r="G25"/>
      <c r="I25" s="172">
        <v>1238358.6068963357</v>
      </c>
    </row>
    <row r="26" spans="2:9" x14ac:dyDescent="0.3">
      <c r="B26" s="220" t="s">
        <v>509</v>
      </c>
      <c r="C26" s="172">
        <v>3854.33</v>
      </c>
      <c r="F26" t="s">
        <v>23</v>
      </c>
      <c r="G26"/>
      <c r="I26" s="172">
        <v>149741.17927600001</v>
      </c>
    </row>
    <row r="27" spans="2:9" x14ac:dyDescent="0.3">
      <c r="B27" s="220" t="s">
        <v>561</v>
      </c>
      <c r="C27" s="172">
        <v>7503159.4498012792</v>
      </c>
      <c r="F27" t="s">
        <v>653</v>
      </c>
      <c r="G27"/>
      <c r="I27" s="172">
        <v>456902.33500000008</v>
      </c>
    </row>
    <row r="28" spans="2:9" x14ac:dyDescent="0.3">
      <c r="F28" s="256" t="s">
        <v>16</v>
      </c>
      <c r="G28" t="s">
        <v>210</v>
      </c>
      <c r="H28">
        <v>1</v>
      </c>
      <c r="I28" s="172">
        <v>11637.868000000004</v>
      </c>
    </row>
    <row r="29" spans="2:9" x14ac:dyDescent="0.3">
      <c r="F29" s="256" t="s">
        <v>16</v>
      </c>
      <c r="G29" t="s">
        <v>210</v>
      </c>
      <c r="H29">
        <v>2</v>
      </c>
      <c r="I29" s="172">
        <v>26998.236000000001</v>
      </c>
    </row>
    <row r="30" spans="2:9" x14ac:dyDescent="0.3">
      <c r="F30" s="256" t="s">
        <v>16</v>
      </c>
      <c r="G30" t="s">
        <v>210</v>
      </c>
      <c r="H30">
        <v>3</v>
      </c>
      <c r="I30" s="172">
        <v>34890.852000000014</v>
      </c>
    </row>
    <row r="31" spans="2:9" x14ac:dyDescent="0.3">
      <c r="F31" s="256" t="s">
        <v>16</v>
      </c>
      <c r="G31" t="s">
        <v>213</v>
      </c>
      <c r="H31">
        <v>3</v>
      </c>
      <c r="I31" s="172">
        <v>50129.345999999998</v>
      </c>
    </row>
    <row r="32" spans="2:9" x14ac:dyDescent="0.3">
      <c r="B32" s="179" t="s">
        <v>1190</v>
      </c>
      <c r="C32" s="172" t="s">
        <v>989</v>
      </c>
      <c r="F32" s="256" t="s">
        <v>16</v>
      </c>
      <c r="G32" t="s">
        <v>366</v>
      </c>
      <c r="H32">
        <v>1</v>
      </c>
      <c r="I32" s="172">
        <v>25049.214</v>
      </c>
    </row>
    <row r="33" spans="2:9" x14ac:dyDescent="0.3">
      <c r="B33" s="220" t="s">
        <v>95</v>
      </c>
      <c r="C33" s="172">
        <v>6469525.6058291448</v>
      </c>
      <c r="F33" s="256" t="s">
        <v>16</v>
      </c>
      <c r="G33" t="s">
        <v>1207</v>
      </c>
      <c r="H33">
        <v>1</v>
      </c>
      <c r="I33" s="172">
        <v>27225.017999999996</v>
      </c>
    </row>
    <row r="34" spans="2:9" x14ac:dyDescent="0.3">
      <c r="B34" s="220" t="s">
        <v>33</v>
      </c>
      <c r="C34" s="172">
        <v>781307.71100000013</v>
      </c>
      <c r="F34" s="256" t="s">
        <v>16</v>
      </c>
      <c r="G34" t="s">
        <v>1217</v>
      </c>
      <c r="H34">
        <v>1</v>
      </c>
      <c r="I34" s="172">
        <v>19372.446000000004</v>
      </c>
    </row>
    <row r="35" spans="2:9" x14ac:dyDescent="0.3">
      <c r="B35" s="220" t="s">
        <v>152</v>
      </c>
      <c r="C35" s="172">
        <v>252326.13297213404</v>
      </c>
      <c r="F35" s="256" t="s">
        <v>16</v>
      </c>
      <c r="G35" t="s">
        <v>1017</v>
      </c>
      <c r="H35">
        <v>1</v>
      </c>
      <c r="I35" s="172">
        <v>14531.93</v>
      </c>
    </row>
    <row r="36" spans="2:9" x14ac:dyDescent="0.3">
      <c r="B36" s="220" t="s">
        <v>561</v>
      </c>
      <c r="C36" s="172">
        <v>7503159.4498012792</v>
      </c>
      <c r="F36" s="256" t="s">
        <v>16</v>
      </c>
      <c r="G36" t="s">
        <v>365</v>
      </c>
      <c r="H36">
        <v>2</v>
      </c>
      <c r="I36" s="172">
        <v>52532.916000000005</v>
      </c>
    </row>
    <row r="37" spans="2:9" x14ac:dyDescent="0.3">
      <c r="F37" s="256" t="s">
        <v>16</v>
      </c>
      <c r="G37" t="s">
        <v>214</v>
      </c>
      <c r="H37">
        <v>1</v>
      </c>
      <c r="I37" s="172">
        <v>22417.190000000002</v>
      </c>
    </row>
    <row r="38" spans="2:9" x14ac:dyDescent="0.3">
      <c r="F38" s="256" t="s">
        <v>16</v>
      </c>
      <c r="G38" t="s">
        <v>214</v>
      </c>
      <c r="H38">
        <v>2</v>
      </c>
      <c r="I38" s="172">
        <v>44834.380000000005</v>
      </c>
    </row>
    <row r="39" spans="2:9" x14ac:dyDescent="0.3">
      <c r="F39" s="256" t="s">
        <v>16</v>
      </c>
      <c r="G39" t="s">
        <v>364</v>
      </c>
      <c r="H39">
        <v>1</v>
      </c>
      <c r="I39" s="172">
        <v>36276.538</v>
      </c>
    </row>
    <row r="40" spans="2:9" x14ac:dyDescent="0.3">
      <c r="F40" s="256" t="s">
        <v>16</v>
      </c>
      <c r="G40" t="s">
        <v>364</v>
      </c>
      <c r="H40">
        <v>2</v>
      </c>
      <c r="I40" s="172">
        <v>71754.099999999991</v>
      </c>
    </row>
    <row r="41" spans="2:9" x14ac:dyDescent="0.3">
      <c r="F41" s="256" t="s">
        <v>16</v>
      </c>
      <c r="G41" t="s">
        <v>1020</v>
      </c>
      <c r="H41">
        <v>1</v>
      </c>
      <c r="I41" s="172">
        <v>18952.189999999999</v>
      </c>
    </row>
    <row r="42" spans="2:9" x14ac:dyDescent="0.3">
      <c r="F42" s="256" t="s">
        <v>16</v>
      </c>
      <c r="G42" t="s">
        <v>446</v>
      </c>
      <c r="H42">
        <v>1</v>
      </c>
      <c r="I42" s="172">
        <v>25436.973999999998</v>
      </c>
    </row>
    <row r="43" spans="2:9" x14ac:dyDescent="0.3">
      <c r="F43" s="256" t="s">
        <v>16</v>
      </c>
      <c r="G43" t="s">
        <v>448</v>
      </c>
      <c r="H43">
        <v>1</v>
      </c>
      <c r="I43" s="172">
        <v>40050.050000000003</v>
      </c>
    </row>
    <row r="44" spans="2:9" x14ac:dyDescent="0.3">
      <c r="F44" s="256" t="s">
        <v>16</v>
      </c>
      <c r="G44" t="s">
        <v>225</v>
      </c>
      <c r="H44">
        <v>1</v>
      </c>
      <c r="I44" s="172">
        <v>133017.63</v>
      </c>
    </row>
    <row r="45" spans="2:9" x14ac:dyDescent="0.3">
      <c r="F45" s="256" t="s">
        <v>16</v>
      </c>
      <c r="G45" t="s">
        <v>225</v>
      </c>
      <c r="H45">
        <v>3</v>
      </c>
      <c r="I45" s="172">
        <v>133017.63</v>
      </c>
    </row>
    <row r="46" spans="2:9" x14ac:dyDescent="0.3">
      <c r="F46" s="256" t="s">
        <v>16</v>
      </c>
      <c r="G46" t="s">
        <v>311</v>
      </c>
      <c r="H46">
        <v>1</v>
      </c>
      <c r="I46" s="172">
        <v>51714.871999999996</v>
      </c>
    </row>
    <row r="47" spans="2:9" x14ac:dyDescent="0.3">
      <c r="F47" s="256" t="s">
        <v>16</v>
      </c>
      <c r="G47" t="s">
        <v>415</v>
      </c>
      <c r="H47">
        <v>1</v>
      </c>
      <c r="I47" s="172">
        <v>53793.210000000006</v>
      </c>
    </row>
    <row r="48" spans="2:9" x14ac:dyDescent="0.3">
      <c r="F48" s="256" t="s">
        <v>16</v>
      </c>
      <c r="G48" t="s">
        <v>864</v>
      </c>
      <c r="H48">
        <v>1</v>
      </c>
      <c r="I48" s="172">
        <v>62589.227281859792</v>
      </c>
    </row>
    <row r="49" spans="2:9" x14ac:dyDescent="0.3">
      <c r="F49" s="256" t="s">
        <v>16</v>
      </c>
      <c r="G49" t="s">
        <v>285</v>
      </c>
      <c r="H49">
        <v>1</v>
      </c>
      <c r="I49" s="172">
        <v>62875.614000000001</v>
      </c>
    </row>
    <row r="50" spans="2:9" x14ac:dyDescent="0.3">
      <c r="F50" s="256" t="s">
        <v>16</v>
      </c>
      <c r="G50" t="s">
        <v>144</v>
      </c>
      <c r="H50">
        <v>1</v>
      </c>
      <c r="I50" s="172">
        <v>66115.710000000006</v>
      </c>
    </row>
    <row r="51" spans="2:9" x14ac:dyDescent="0.3">
      <c r="F51" s="256" t="s">
        <v>16</v>
      </c>
      <c r="G51" t="s">
        <v>291</v>
      </c>
      <c r="H51">
        <v>2</v>
      </c>
      <c r="I51" s="172">
        <v>141070.48800000001</v>
      </c>
    </row>
    <row r="52" spans="2:9" x14ac:dyDescent="0.3">
      <c r="F52" s="256" t="s">
        <v>16</v>
      </c>
      <c r="G52" t="s">
        <v>1174</v>
      </c>
      <c r="H52">
        <v>3</v>
      </c>
      <c r="I52" s="172">
        <v>21879.15</v>
      </c>
    </row>
    <row r="53" spans="2:9" x14ac:dyDescent="0.3">
      <c r="F53" s="256" t="s">
        <v>16</v>
      </c>
      <c r="G53" t="s">
        <v>945</v>
      </c>
      <c r="H53">
        <v>2</v>
      </c>
      <c r="I53" s="172">
        <v>20651.148000000001</v>
      </c>
    </row>
    <row r="54" spans="2:9" x14ac:dyDescent="0.3">
      <c r="F54" s="256" t="s">
        <v>16</v>
      </c>
      <c r="G54" t="s">
        <v>13</v>
      </c>
      <c r="H54">
        <v>1</v>
      </c>
      <c r="I54" s="172">
        <v>46075.953976000012</v>
      </c>
    </row>
    <row r="55" spans="2:9" x14ac:dyDescent="0.3">
      <c r="F55" s="256" t="s">
        <v>16</v>
      </c>
      <c r="G55" t="s">
        <v>123</v>
      </c>
      <c r="H55">
        <v>1</v>
      </c>
      <c r="I55" s="172">
        <v>16367.054064</v>
      </c>
    </row>
    <row r="56" spans="2:9" x14ac:dyDescent="0.3">
      <c r="F56" s="256" t="s">
        <v>16</v>
      </c>
      <c r="G56" t="s">
        <v>1014</v>
      </c>
      <c r="H56">
        <v>1</v>
      </c>
      <c r="I56" s="172">
        <v>15052.733</v>
      </c>
    </row>
    <row r="57" spans="2:9" x14ac:dyDescent="0.3">
      <c r="F57" s="256" t="s">
        <v>16</v>
      </c>
      <c r="G57" t="s">
        <v>553</v>
      </c>
      <c r="H57">
        <v>1</v>
      </c>
      <c r="I57" s="172">
        <v>25519.303197999998</v>
      </c>
    </row>
    <row r="58" spans="2:9" x14ac:dyDescent="0.3">
      <c r="F58" s="256" t="s">
        <v>16</v>
      </c>
      <c r="G58" t="s">
        <v>431</v>
      </c>
      <c r="H58">
        <v>1</v>
      </c>
      <c r="I58" s="172">
        <v>29180.448508000005</v>
      </c>
    </row>
    <row r="59" spans="2:9" x14ac:dyDescent="0.3">
      <c r="B59">
        <f>'DATA MASTER'!H29/2</f>
        <v>35877.049999999996</v>
      </c>
      <c r="F59" s="256" t="s">
        <v>16</v>
      </c>
      <c r="G59" t="s">
        <v>491</v>
      </c>
      <c r="H59">
        <v>1</v>
      </c>
      <c r="I59" s="172">
        <v>29572.09640799999</v>
      </c>
    </row>
    <row r="60" spans="2:9" x14ac:dyDescent="0.3">
      <c r="B60">
        <f>B59+'DATA MASTER'!H30+'DATA MASTER'!H31</f>
        <v>113459.18</v>
      </c>
      <c r="F60" s="256" t="s">
        <v>16</v>
      </c>
      <c r="G60" t="s">
        <v>517</v>
      </c>
      <c r="H60">
        <v>1</v>
      </c>
      <c r="I60" s="172">
        <v>64277.925858000002</v>
      </c>
    </row>
    <row r="61" spans="2:9" x14ac:dyDescent="0.3">
      <c r="F61" s="256" t="s">
        <v>16</v>
      </c>
      <c r="G61" t="s">
        <v>549</v>
      </c>
      <c r="H61">
        <v>1</v>
      </c>
      <c r="I61" s="172">
        <v>68400.295198000007</v>
      </c>
    </row>
    <row r="62" spans="2:9" x14ac:dyDescent="0.3">
      <c r="F62" s="256" t="s">
        <v>16</v>
      </c>
      <c r="G62" t="s">
        <v>1259</v>
      </c>
      <c r="H62">
        <v>1</v>
      </c>
      <c r="I62" s="172">
        <v>13623.51402227421</v>
      </c>
    </row>
    <row r="63" spans="2:9" x14ac:dyDescent="0.3">
      <c r="F63" s="256" t="s">
        <v>16</v>
      </c>
      <c r="G63" t="s">
        <v>586</v>
      </c>
      <c r="H63">
        <v>1</v>
      </c>
      <c r="I63" s="172">
        <v>19480.028600000001</v>
      </c>
    </row>
    <row r="64" spans="2:9" x14ac:dyDescent="0.3">
      <c r="B64">
        <v>113459.18</v>
      </c>
      <c r="F64" s="256" t="s">
        <v>16</v>
      </c>
      <c r="G64" t="s">
        <v>349</v>
      </c>
      <c r="H64">
        <v>1</v>
      </c>
      <c r="I64" s="172">
        <v>32415.459687999995</v>
      </c>
    </row>
    <row r="65" spans="2:9" x14ac:dyDescent="0.3">
      <c r="F65" s="256" t="s">
        <v>16</v>
      </c>
      <c r="G65" t="s">
        <v>936</v>
      </c>
      <c r="H65">
        <v>1</v>
      </c>
      <c r="I65" s="172">
        <v>42160.024558000005</v>
      </c>
    </row>
    <row r="66" spans="2:9" x14ac:dyDescent="0.3">
      <c r="B66">
        <f>'DATA MASTER'!H47/2</f>
        <v>22417.190000000002</v>
      </c>
      <c r="F66" s="256" t="s">
        <v>16</v>
      </c>
      <c r="G66" t="s">
        <v>468</v>
      </c>
      <c r="H66">
        <v>1</v>
      </c>
      <c r="I66" s="172">
        <v>9075.5536080000038</v>
      </c>
    </row>
    <row r="67" spans="2:9" x14ac:dyDescent="0.3">
      <c r="B67">
        <f>'DATA MASTER'!H49+PIVOT!B66</f>
        <v>62467.240000000005</v>
      </c>
      <c r="F67" s="256" t="s">
        <v>16</v>
      </c>
      <c r="G67" t="s">
        <v>480</v>
      </c>
      <c r="H67">
        <v>5</v>
      </c>
      <c r="I67" s="172">
        <v>54983.898040000015</v>
      </c>
    </row>
    <row r="68" spans="2:9" x14ac:dyDescent="0.3">
      <c r="F68" s="256" t="s">
        <v>16</v>
      </c>
      <c r="G68" t="s">
        <v>483</v>
      </c>
      <c r="H68">
        <v>3</v>
      </c>
      <c r="I68" s="172">
        <v>38275.087823999995</v>
      </c>
    </row>
    <row r="69" spans="2:9" x14ac:dyDescent="0.3">
      <c r="B69">
        <v>62467.24</v>
      </c>
      <c r="F69" s="256" t="s">
        <v>16</v>
      </c>
      <c r="G69" t="s">
        <v>488</v>
      </c>
      <c r="H69">
        <v>1</v>
      </c>
      <c r="I69" s="172">
        <v>15456.975608000004</v>
      </c>
    </row>
    <row r="70" spans="2:9" x14ac:dyDescent="0.3">
      <c r="F70" s="256" t="s">
        <v>16</v>
      </c>
      <c r="G70" t="s">
        <v>1284</v>
      </c>
      <c r="H70">
        <v>1</v>
      </c>
      <c r="I70" s="172">
        <v>37054.884583999999</v>
      </c>
    </row>
    <row r="71" spans="2:9" x14ac:dyDescent="0.3">
      <c r="B71">
        <f>1897*2</f>
        <v>3794</v>
      </c>
      <c r="C71">
        <v>4355.82</v>
      </c>
      <c r="F71" s="256" t="s">
        <v>16</v>
      </c>
      <c r="G71" t="s">
        <v>151</v>
      </c>
      <c r="H71">
        <v>1</v>
      </c>
      <c r="I71" s="172">
        <v>12451.611999999996</v>
      </c>
    </row>
    <row r="72" spans="2:9" x14ac:dyDescent="0.3">
      <c r="B72">
        <f>B71+C71</f>
        <v>8149.82</v>
      </c>
      <c r="F72" s="256" t="s">
        <v>16</v>
      </c>
      <c r="G72" t="s">
        <v>840</v>
      </c>
      <c r="H72">
        <v>1</v>
      </c>
      <c r="I72" s="172">
        <v>44161.22</v>
      </c>
    </row>
    <row r="73" spans="2:9" x14ac:dyDescent="0.3">
      <c r="B73">
        <v>8149.82</v>
      </c>
      <c r="F73" s="256" t="s">
        <v>16</v>
      </c>
      <c r="G73" t="s">
        <v>1001</v>
      </c>
      <c r="H73">
        <v>1</v>
      </c>
      <c r="I73" s="172">
        <v>16494.379999999997</v>
      </c>
    </row>
    <row r="74" spans="2:9" x14ac:dyDescent="0.3">
      <c r="F74" s="256" t="s">
        <v>16</v>
      </c>
      <c r="G74" t="s">
        <v>499</v>
      </c>
      <c r="H74">
        <v>1</v>
      </c>
      <c r="I74" s="172">
        <v>11675.6</v>
      </c>
    </row>
    <row r="75" spans="2:9" x14ac:dyDescent="0.3">
      <c r="F75" s="256" t="s">
        <v>16</v>
      </c>
      <c r="G75" t="s">
        <v>867</v>
      </c>
      <c r="H75">
        <v>1</v>
      </c>
      <c r="I75" s="172">
        <v>6951.4168880000007</v>
      </c>
    </row>
    <row r="76" spans="2:9" x14ac:dyDescent="0.3">
      <c r="F76" s="256" t="s">
        <v>16</v>
      </c>
      <c r="G76" t="s">
        <v>646</v>
      </c>
      <c r="H76">
        <v>2</v>
      </c>
      <c r="I76" s="172">
        <v>3795.9199999999996</v>
      </c>
    </row>
    <row r="77" spans="2:9" x14ac:dyDescent="0.3">
      <c r="F77" s="256" t="s">
        <v>16</v>
      </c>
      <c r="G77" t="s">
        <v>949</v>
      </c>
      <c r="H77">
        <v>1</v>
      </c>
      <c r="I77" s="172">
        <v>104643.30856800011</v>
      </c>
    </row>
    <row r="78" spans="2:9" x14ac:dyDescent="0.3">
      <c r="F78" s="256" t="s">
        <v>16</v>
      </c>
      <c r="G78" t="s">
        <v>250</v>
      </c>
      <c r="H78">
        <v>1</v>
      </c>
      <c r="I78" s="172">
        <v>140444.20154400001</v>
      </c>
    </row>
    <row r="79" spans="2:9" x14ac:dyDescent="0.3">
      <c r="F79" s="256" t="s">
        <v>16</v>
      </c>
      <c r="G79" t="s">
        <v>567</v>
      </c>
      <c r="H79">
        <v>1</v>
      </c>
      <c r="I79" s="172">
        <v>104003.11822400006</v>
      </c>
    </row>
    <row r="80" spans="2:9" x14ac:dyDescent="0.3">
      <c r="F80" s="256" t="s">
        <v>16</v>
      </c>
      <c r="G80" t="s">
        <v>1225</v>
      </c>
      <c r="H80">
        <v>1</v>
      </c>
      <c r="I80" s="172">
        <v>45602.913741999997</v>
      </c>
    </row>
    <row r="81" spans="6:9" x14ac:dyDescent="0.3">
      <c r="F81" s="256" t="s">
        <v>16</v>
      </c>
      <c r="G81" t="s">
        <v>660</v>
      </c>
      <c r="H81">
        <v>1</v>
      </c>
      <c r="I81" s="172">
        <v>20784.694</v>
      </c>
    </row>
    <row r="82" spans="6:9" x14ac:dyDescent="0.3">
      <c r="F82" s="256" t="s">
        <v>16</v>
      </c>
      <c r="G82" t="s">
        <v>1182</v>
      </c>
      <c r="H82">
        <v>2</v>
      </c>
      <c r="I82" s="172">
        <v>5502.303194000001</v>
      </c>
    </row>
    <row r="83" spans="6:9" x14ac:dyDescent="0.3">
      <c r="F83" s="256" t="s">
        <v>16</v>
      </c>
      <c r="G83" t="s">
        <v>1183</v>
      </c>
      <c r="H83">
        <v>1</v>
      </c>
      <c r="I83" s="172">
        <v>5255.8645969999989</v>
      </c>
    </row>
    <row r="84" spans="6:9" x14ac:dyDescent="0.3">
      <c r="F84" s="256" t="s">
        <v>16</v>
      </c>
      <c r="G84" t="s">
        <v>1184</v>
      </c>
      <c r="H84">
        <v>1</v>
      </c>
      <c r="I84" s="172">
        <v>15732.921999999999</v>
      </c>
    </row>
    <row r="85" spans="6:9" x14ac:dyDescent="0.3">
      <c r="F85" s="256" t="s">
        <v>16</v>
      </c>
      <c r="G85" t="s">
        <v>315</v>
      </c>
      <c r="H85">
        <v>1</v>
      </c>
      <c r="I85" s="172">
        <v>4164.2339999999995</v>
      </c>
    </row>
    <row r="86" spans="6:9" x14ac:dyDescent="0.3">
      <c r="F86" s="256" t="s">
        <v>16</v>
      </c>
      <c r="G86" t="s">
        <v>971</v>
      </c>
      <c r="H86">
        <v>1</v>
      </c>
      <c r="I86" s="172">
        <v>12082.891776400002</v>
      </c>
    </row>
    <row r="87" spans="6:9" x14ac:dyDescent="0.3">
      <c r="F87" t="s">
        <v>120</v>
      </c>
      <c r="G87" t="s">
        <v>118</v>
      </c>
      <c r="H87">
        <v>1</v>
      </c>
      <c r="I87" s="172">
        <v>2326218.4557498274</v>
      </c>
    </row>
    <row r="88" spans="6:9" x14ac:dyDescent="0.3">
      <c r="F88" s="256" t="s">
        <v>94</v>
      </c>
      <c r="G88" t="s">
        <v>225</v>
      </c>
      <c r="H88">
        <v>1</v>
      </c>
      <c r="I88" s="172">
        <v>44339.21</v>
      </c>
    </row>
    <row r="89" spans="6:9" x14ac:dyDescent="0.3">
      <c r="F89" s="256" t="s">
        <v>94</v>
      </c>
      <c r="G89" t="s">
        <v>225</v>
      </c>
      <c r="H89">
        <v>2</v>
      </c>
      <c r="I89" s="172">
        <v>179403.56</v>
      </c>
    </row>
    <row r="90" spans="6:9" x14ac:dyDescent="0.3">
      <c r="F90" s="256" t="s">
        <v>94</v>
      </c>
      <c r="G90" t="s">
        <v>415</v>
      </c>
      <c r="H90">
        <v>1</v>
      </c>
      <c r="I90" s="172">
        <v>53793.210000000006</v>
      </c>
    </row>
    <row r="91" spans="6:9" x14ac:dyDescent="0.3">
      <c r="F91" s="256" t="s">
        <v>94</v>
      </c>
      <c r="G91" t="s">
        <v>415</v>
      </c>
      <c r="H91">
        <v>2</v>
      </c>
      <c r="I91" s="172">
        <v>107586.42000000001</v>
      </c>
    </row>
    <row r="92" spans="6:9" x14ac:dyDescent="0.3">
      <c r="F92" s="256" t="s">
        <v>94</v>
      </c>
      <c r="G92" t="s">
        <v>864</v>
      </c>
      <c r="H92">
        <v>1</v>
      </c>
      <c r="I92" s="172">
        <v>61467.627281859786</v>
      </c>
    </row>
    <row r="93" spans="6:9" x14ac:dyDescent="0.3">
      <c r="F93" s="256" t="s">
        <v>94</v>
      </c>
      <c r="G93" t="s">
        <v>864</v>
      </c>
      <c r="H93">
        <v>2</v>
      </c>
      <c r="I93" s="172">
        <v>122935.25456371957</v>
      </c>
    </row>
    <row r="94" spans="6:9" x14ac:dyDescent="0.3">
      <c r="F94" s="256" t="s">
        <v>94</v>
      </c>
      <c r="G94" t="s">
        <v>425</v>
      </c>
      <c r="H94">
        <v>1</v>
      </c>
      <c r="I94" s="172">
        <v>81510.535999999993</v>
      </c>
    </row>
    <row r="95" spans="6:9" x14ac:dyDescent="0.3">
      <c r="F95" s="256" t="s">
        <v>94</v>
      </c>
      <c r="G95" t="s">
        <v>788</v>
      </c>
      <c r="H95">
        <v>1</v>
      </c>
      <c r="I95" s="172">
        <v>123722.847632</v>
      </c>
    </row>
    <row r="96" spans="6:9" x14ac:dyDescent="0.3">
      <c r="F96" s="256" t="s">
        <v>94</v>
      </c>
      <c r="G96" t="s">
        <v>794</v>
      </c>
      <c r="H96">
        <v>1</v>
      </c>
      <c r="I96" s="172">
        <v>23903.115000000002</v>
      </c>
    </row>
    <row r="97" spans="6:9" x14ac:dyDescent="0.3">
      <c r="F97" s="256" t="s">
        <v>94</v>
      </c>
      <c r="G97" t="s">
        <v>646</v>
      </c>
      <c r="H97">
        <v>6</v>
      </c>
      <c r="I97" s="172">
        <v>11561.543999999998</v>
      </c>
    </row>
    <row r="98" spans="6:9" x14ac:dyDescent="0.3">
      <c r="F98" s="256" t="s">
        <v>94</v>
      </c>
      <c r="G98" t="s">
        <v>698</v>
      </c>
      <c r="H98">
        <v>1</v>
      </c>
      <c r="I98" s="172">
        <v>142183.78384400005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9FF946-6492-4510-9761-E4529189CD60}">
  <sheetPr codeName="Sheet5"/>
  <dimension ref="A1:V236"/>
  <sheetViews>
    <sheetView zoomScale="70" zoomScaleNormal="70" workbookViewId="0">
      <pane xSplit="2" ySplit="1" topLeftCell="C37" activePane="bottomRight" state="frozen"/>
      <selection pane="topRight" activeCell="C1" sqref="C1"/>
      <selection pane="bottomLeft" activeCell="A2" sqref="A2"/>
      <selection pane="bottomRight" activeCell="H47" sqref="H47"/>
    </sheetView>
  </sheetViews>
  <sheetFormatPr defaultRowHeight="14.4" x14ac:dyDescent="0.3"/>
  <cols>
    <col min="1" max="1" width="12.88671875" style="1" bestFit="1" customWidth="1"/>
    <col min="2" max="2" width="39.21875" customWidth="1"/>
    <col min="3" max="3" width="10.33203125" style="152" bestFit="1" customWidth="1"/>
    <col min="4" max="4" width="24" bestFit="1" customWidth="1"/>
    <col min="5" max="5" width="69.44140625" customWidth="1"/>
    <col min="6" max="6" width="105.21875" bestFit="1" customWidth="1"/>
    <col min="7" max="7" width="23.44140625" customWidth="1"/>
    <col min="8" max="8" width="17.44140625" style="10" bestFit="1" customWidth="1"/>
    <col min="9" max="9" width="28.21875" style="1" customWidth="1"/>
    <col min="10" max="10" width="21.44140625" customWidth="1"/>
    <col min="11" max="11" width="21.44140625" style="25" customWidth="1"/>
    <col min="12" max="12" width="33.44140625" style="158" customWidth="1"/>
    <col min="13" max="13" width="17.33203125" style="217" bestFit="1" customWidth="1"/>
    <col min="14" max="14" width="20.33203125" customWidth="1"/>
    <col min="15" max="15" width="19.6640625" style="9" customWidth="1"/>
    <col min="16" max="16" width="14" style="9" bestFit="1" customWidth="1"/>
    <col min="17" max="18" width="19.6640625" style="9" customWidth="1"/>
    <col min="19" max="19" width="31.88671875" style="9" customWidth="1"/>
    <col min="20" max="21" width="19.6640625" style="9" customWidth="1"/>
    <col min="22" max="22" width="8.88671875" customWidth="1"/>
  </cols>
  <sheetData>
    <row r="1" spans="1:22" ht="40.049999999999997" customHeight="1" thickBot="1" x14ac:dyDescent="0.35">
      <c r="A1" s="6" t="s">
        <v>9</v>
      </c>
      <c r="B1" s="7" t="s">
        <v>11</v>
      </c>
      <c r="C1" s="41" t="s">
        <v>97</v>
      </c>
      <c r="D1" s="7" t="s">
        <v>12</v>
      </c>
      <c r="E1" s="7" t="s">
        <v>1</v>
      </c>
      <c r="F1" s="8" t="s">
        <v>2</v>
      </c>
      <c r="G1" s="7" t="s">
        <v>3</v>
      </c>
      <c r="H1" s="42" t="s">
        <v>25</v>
      </c>
      <c r="I1" s="7" t="s">
        <v>26</v>
      </c>
      <c r="J1" s="7" t="s">
        <v>6</v>
      </c>
      <c r="K1" s="156" t="s">
        <v>647</v>
      </c>
      <c r="L1" s="156" t="s">
        <v>644</v>
      </c>
      <c r="M1" s="214" t="s">
        <v>1168</v>
      </c>
      <c r="N1" s="7" t="s">
        <v>7</v>
      </c>
      <c r="O1" s="170" t="s">
        <v>8</v>
      </c>
      <c r="P1" s="170" t="s">
        <v>1169</v>
      </c>
      <c r="Q1" s="170" t="s">
        <v>981</v>
      </c>
      <c r="R1" s="170" t="s">
        <v>983</v>
      </c>
      <c r="S1" s="170" t="s">
        <v>982</v>
      </c>
      <c r="T1" s="170" t="s">
        <v>984</v>
      </c>
      <c r="U1" s="170" t="s">
        <v>98</v>
      </c>
      <c r="V1" s="7" t="s">
        <v>297</v>
      </c>
    </row>
    <row r="2" spans="1:22" s="3" customFormat="1" ht="30" customHeight="1" thickTop="1" x14ac:dyDescent="0.3">
      <c r="A2" s="53" t="s">
        <v>117</v>
      </c>
      <c r="B2" s="54" t="s">
        <v>986</v>
      </c>
      <c r="C2" s="151">
        <v>1</v>
      </c>
      <c r="D2" s="54" t="s">
        <v>118</v>
      </c>
      <c r="E2" s="55" t="s">
        <v>119</v>
      </c>
      <c r="F2" s="54" t="s">
        <v>120</v>
      </c>
      <c r="G2" s="2" t="s">
        <v>120</v>
      </c>
      <c r="H2" s="17">
        <f>IFERROR(SUMIF(FABRIKASI[No.PON],DATA_MASTER[[#This Row],[NO. PON]],FABRIKASI[Berat Fabrikasi])+SUMIF(AKSESORIS[No.PON],DATA_MASTER[[#This Row],[NO. PON]],AKSESORIS[Total Berat
Aksesories
(Kg)])+SUMIF(BNW[No.PON],DATA_MASTER[[#This Row],[NO. PON]],BNW[Total Berat Baut
(Kg)])," ")*DATA_MASTER[[#This Row],[Qty
(Unit)]]</f>
        <v>189231.52999999994</v>
      </c>
      <c r="I2" s="53" t="s">
        <v>95</v>
      </c>
      <c r="J2" s="54" t="s">
        <v>120</v>
      </c>
      <c r="K2" s="188">
        <v>1</v>
      </c>
      <c r="L2" s="157" t="s">
        <v>120</v>
      </c>
      <c r="M2" s="157"/>
      <c r="N2" s="5">
        <v>44963</v>
      </c>
      <c r="O2" s="190">
        <v>45014</v>
      </c>
      <c r="P2" s="190"/>
      <c r="Q2" s="190">
        <v>0</v>
      </c>
      <c r="R2" s="5">
        <v>45014</v>
      </c>
      <c r="S2" s="4">
        <f>DATA_MASTER[[#This Row],[Date Finish]]-DATA_MASTER[[#This Row],[Finish Fabrikasi]]</f>
        <v>0</v>
      </c>
      <c r="T2" s="5" t="str">
        <f>IF(DATA_MASTER[[#This Row],[Date Aktual Delivery to Site]]&lt;0,"Terlambat",IF(DATA_MASTER[[#This Row],[Date Aktual Delivery to Site]]&gt;30,"Sesuai Schedule",IF(DATA_MASTER[[#This Row],[Date Aktual Delivery to Site]]=0,"On schedule")))</f>
        <v>On schedule</v>
      </c>
      <c r="U2" s="5" t="str">
        <f>IF(DATA_MASTER[[#This Row],[Status]]="completed","COMPLETED",IF(DATA_MASTER[[#This Row],[Status]]="RFD","WAKTU",IF(DATA_MASTER[[#This Row],[Status]]="ON GOING","PRIORITAS")))</f>
        <v>COMPLETED</v>
      </c>
      <c r="V2" s="4">
        <f>2023</f>
        <v>2023</v>
      </c>
    </row>
    <row r="3" spans="1:22" s="3" customFormat="1" ht="30" customHeight="1" x14ac:dyDescent="0.3">
      <c r="A3" s="53" t="s">
        <v>229</v>
      </c>
      <c r="B3" s="54" t="s">
        <v>986</v>
      </c>
      <c r="C3" s="151">
        <v>1</v>
      </c>
      <c r="D3" s="54" t="s">
        <v>118</v>
      </c>
      <c r="E3" s="55" t="s">
        <v>119</v>
      </c>
      <c r="F3" s="54" t="s">
        <v>120</v>
      </c>
      <c r="G3" s="2" t="s">
        <v>120</v>
      </c>
      <c r="H3" s="17">
        <f>IFERROR(SUMIF(FABRIKASI[No.PON],DATA_MASTER[[#This Row],[NO. PON]],FABRIKASI[Berat Fabrikasi])+SUMIF(AKSESORIS[No.PON],DATA_MASTER[[#This Row],[NO. PON]],AKSESORIS[Total Berat
Aksesories
(Kg)])+SUMIF(BNW[No.PON],DATA_MASTER[[#This Row],[NO. PON]],BNW[Total Berat Baut
(Kg)])," ")*DATA_MASTER[[#This Row],[Qty
(Unit)]]</f>
        <v>155984.84</v>
      </c>
      <c r="I3" s="53" t="s">
        <v>95</v>
      </c>
      <c r="J3" s="54" t="s">
        <v>120</v>
      </c>
      <c r="K3" s="188">
        <v>1</v>
      </c>
      <c r="L3" s="157" t="s">
        <v>120</v>
      </c>
      <c r="M3" s="157"/>
      <c r="N3" s="187"/>
      <c r="O3" s="190"/>
      <c r="P3" s="190"/>
      <c r="Q3" s="190">
        <v>0</v>
      </c>
      <c r="R3" s="187">
        <f t="shared" ref="R3:R8" ca="1" si="0">TODAY()</f>
        <v>45640</v>
      </c>
      <c r="S3" s="4">
        <f ca="1">DATA_MASTER[[#This Row],[Date Finish]]-DATA_MASTER[[#This Row],[Finish Fabrikasi]]</f>
        <v>-45640</v>
      </c>
      <c r="T3" s="187" t="str">
        <f ca="1">IF(DATA_MASTER[[#This Row],[Date Aktual Delivery to Site]]&lt;0,"Terlambat",IF(DATA_MASTER[[#This Row],[Date Aktual Delivery to Site]]&gt;30,"Sesuai Schedule",IF(DATA_MASTER[[#This Row],[Date Aktual Delivery to Site]]=0,"On schedule")))</f>
        <v>Terlambat</v>
      </c>
      <c r="U3" s="187" t="str">
        <f>IF(DATA_MASTER[[#This Row],[Status]]="completed","COMPLETED",IF(DATA_MASTER[[#This Row],[Status]]="RFD","WAKTU",IF(DATA_MASTER[[#This Row],[Status]]="ON GOING","PRIORITAS")))</f>
        <v>COMPLETED</v>
      </c>
      <c r="V3" s="4">
        <f>2023</f>
        <v>2023</v>
      </c>
    </row>
    <row r="4" spans="1:22" s="3" customFormat="1" ht="30" customHeight="1" x14ac:dyDescent="0.3">
      <c r="A4" s="53" t="s">
        <v>289</v>
      </c>
      <c r="B4" s="54" t="s">
        <v>986</v>
      </c>
      <c r="C4" s="151">
        <v>1</v>
      </c>
      <c r="D4" s="54" t="s">
        <v>118</v>
      </c>
      <c r="E4" s="55" t="s">
        <v>119</v>
      </c>
      <c r="F4" s="54" t="s">
        <v>120</v>
      </c>
      <c r="G4" s="2" t="s">
        <v>120</v>
      </c>
      <c r="H4" s="17">
        <f>IFERROR(SUMIF(FABRIKASI[No.PON],DATA_MASTER[[#This Row],[NO. PON]],FABRIKASI[Berat Fabrikasi])+SUMIF(AKSESORIS[No.PON],DATA_MASTER[[#This Row],[NO. PON]],AKSESORIS[Total Berat
Aksesories
(Kg)])+SUMIF(BNW[No.PON],DATA_MASTER[[#This Row],[NO. PON]],BNW[Total Berat Baut
(Kg)])," ")*DATA_MASTER[[#This Row],[Qty
(Unit)]]</f>
        <v>285981.33999999991</v>
      </c>
      <c r="I4" s="53" t="s">
        <v>95</v>
      </c>
      <c r="J4" s="54" t="s">
        <v>120</v>
      </c>
      <c r="K4" s="188">
        <v>1</v>
      </c>
      <c r="L4" s="157" t="s">
        <v>120</v>
      </c>
      <c r="M4" s="157"/>
      <c r="N4" s="187"/>
      <c r="O4" s="190"/>
      <c r="P4" s="190"/>
      <c r="Q4" s="190">
        <v>0</v>
      </c>
      <c r="R4" s="187">
        <f t="shared" ca="1" si="0"/>
        <v>45640</v>
      </c>
      <c r="S4" s="4">
        <f ca="1">DATA_MASTER[[#This Row],[Date Finish]]-DATA_MASTER[[#This Row],[Finish Fabrikasi]]</f>
        <v>-45640</v>
      </c>
      <c r="T4" s="187" t="str">
        <f ca="1">IF(DATA_MASTER[[#This Row],[Date Aktual Delivery to Site]]&lt;0,"Terlambat",IF(DATA_MASTER[[#This Row],[Date Aktual Delivery to Site]]&gt;30,"Sesuai Schedule",IF(DATA_MASTER[[#This Row],[Date Aktual Delivery to Site]]=0,"On schedule")))</f>
        <v>Terlambat</v>
      </c>
      <c r="U4" s="187" t="str">
        <f>IF(DATA_MASTER[[#This Row],[Status]]="completed","COMPLETED",IF(DATA_MASTER[[#This Row],[Status]]="RFD","WAKTU",IF(DATA_MASTER[[#This Row],[Status]]="ON GOING","PRIORITAS")))</f>
        <v>COMPLETED</v>
      </c>
      <c r="V4" s="4">
        <f>2023</f>
        <v>2023</v>
      </c>
    </row>
    <row r="5" spans="1:22" s="3" customFormat="1" ht="30" customHeight="1" x14ac:dyDescent="0.3">
      <c r="A5" s="53" t="s">
        <v>362</v>
      </c>
      <c r="B5" s="54" t="s">
        <v>986</v>
      </c>
      <c r="C5" s="151">
        <v>1</v>
      </c>
      <c r="D5" s="54" t="s">
        <v>118</v>
      </c>
      <c r="E5" s="55" t="s">
        <v>119</v>
      </c>
      <c r="F5" s="54" t="s">
        <v>120</v>
      </c>
      <c r="G5" s="2" t="s">
        <v>120</v>
      </c>
      <c r="H5" s="17">
        <f>IFERROR(SUMIF(FABRIKASI[No.PON],DATA_MASTER[[#This Row],[NO. PON]],FABRIKASI[Berat Fabrikasi])+SUMIF(AKSESORIS[No.PON],DATA_MASTER[[#This Row],[NO. PON]],AKSESORIS[Total Berat
Aksesories
(Kg)])+SUMIF(BNW[No.PON],DATA_MASTER[[#This Row],[NO. PON]],BNW[Total Berat Baut
(Kg)])," ")*DATA_MASTER[[#This Row],[Qty
(Unit)]]</f>
        <v>174798.16000000003</v>
      </c>
      <c r="I5" s="53" t="s">
        <v>95</v>
      </c>
      <c r="J5" s="54" t="s">
        <v>120</v>
      </c>
      <c r="K5" s="188">
        <v>1</v>
      </c>
      <c r="L5" s="157" t="s">
        <v>120</v>
      </c>
      <c r="M5" s="157"/>
      <c r="N5" s="187"/>
      <c r="O5" s="190"/>
      <c r="P5" s="190"/>
      <c r="Q5" s="190">
        <v>0</v>
      </c>
      <c r="R5" s="187">
        <f t="shared" ca="1" si="0"/>
        <v>45640</v>
      </c>
      <c r="S5" s="4">
        <f ca="1">DATA_MASTER[[#This Row],[Date Finish]]-DATA_MASTER[[#This Row],[Finish Fabrikasi]]</f>
        <v>-45640</v>
      </c>
      <c r="T5" s="187" t="str">
        <f ca="1">IF(DATA_MASTER[[#This Row],[Date Aktual Delivery to Site]]&lt;0,"Terlambat",IF(DATA_MASTER[[#This Row],[Date Aktual Delivery to Site]]&gt;30,"Sesuai Schedule",IF(DATA_MASTER[[#This Row],[Date Aktual Delivery to Site]]=0,"On schedule")))</f>
        <v>Terlambat</v>
      </c>
      <c r="U5" s="187" t="str">
        <f>IF(DATA_MASTER[[#This Row],[Status]]="completed","COMPLETED",IF(DATA_MASTER[[#This Row],[Status]]="RFD","WAKTU",IF(DATA_MASTER[[#This Row],[Status]]="ON GOING","PRIORITAS")))</f>
        <v>COMPLETED</v>
      </c>
      <c r="V5" s="4">
        <f>2023</f>
        <v>2023</v>
      </c>
    </row>
    <row r="6" spans="1:22" s="3" customFormat="1" ht="30" customHeight="1" x14ac:dyDescent="0.3">
      <c r="A6" s="53" t="s">
        <v>423</v>
      </c>
      <c r="B6" s="54" t="s">
        <v>986</v>
      </c>
      <c r="C6" s="151">
        <v>1</v>
      </c>
      <c r="D6" s="54" t="s">
        <v>118</v>
      </c>
      <c r="E6" s="55" t="s">
        <v>119</v>
      </c>
      <c r="F6" s="54" t="s">
        <v>120</v>
      </c>
      <c r="G6" s="2" t="s">
        <v>120</v>
      </c>
      <c r="H6" s="17">
        <f>IFERROR(SUMIF(FABRIKASI[No.PON],DATA_MASTER[[#This Row],[NO. PON]],FABRIKASI[Berat Fabrikasi])+SUMIF(AKSESORIS[No.PON],DATA_MASTER[[#This Row],[NO. PON]],AKSESORIS[Total Berat
Aksesories
(Kg)])+SUMIF(BNW[No.PON],DATA_MASTER[[#This Row],[NO. PON]],BNW[Total Berat Baut
(Kg)])," ")*DATA_MASTER[[#This Row],[Qty
(Unit)]]</f>
        <v>313247.53999999998</v>
      </c>
      <c r="I6" s="53" t="s">
        <v>95</v>
      </c>
      <c r="J6" s="54" t="s">
        <v>120</v>
      </c>
      <c r="K6" s="188">
        <v>1</v>
      </c>
      <c r="L6" s="157" t="s">
        <v>120</v>
      </c>
      <c r="M6" s="157"/>
      <c r="N6" s="187"/>
      <c r="O6" s="190"/>
      <c r="P6" s="190"/>
      <c r="Q6" s="190">
        <v>0</v>
      </c>
      <c r="R6" s="187">
        <f t="shared" ca="1" si="0"/>
        <v>45640</v>
      </c>
      <c r="S6" s="4">
        <f ca="1">DATA_MASTER[[#This Row],[Date Finish]]-DATA_MASTER[[#This Row],[Finish Fabrikasi]]</f>
        <v>-45640</v>
      </c>
      <c r="T6" s="187" t="str">
        <f ca="1">IF(DATA_MASTER[[#This Row],[Date Aktual Delivery to Site]]&lt;0,"Terlambat",IF(DATA_MASTER[[#This Row],[Date Aktual Delivery to Site]]&gt;30,"Sesuai Schedule",IF(DATA_MASTER[[#This Row],[Date Aktual Delivery to Site]]=0,"On schedule")))</f>
        <v>Terlambat</v>
      </c>
      <c r="U6" s="187" t="str">
        <f>IF(DATA_MASTER[[#This Row],[Status]]="completed","COMPLETED",IF(DATA_MASTER[[#This Row],[Status]]="RFD","WAKTU",IF(DATA_MASTER[[#This Row],[Status]]="ON GOING","PRIORITAS")))</f>
        <v>COMPLETED</v>
      </c>
      <c r="V6" s="4">
        <f>2023</f>
        <v>2023</v>
      </c>
    </row>
    <row r="7" spans="1:22" ht="30" customHeight="1" x14ac:dyDescent="0.3">
      <c r="A7" s="53" t="s">
        <v>648</v>
      </c>
      <c r="B7" s="54" t="s">
        <v>986</v>
      </c>
      <c r="C7" s="151">
        <v>1</v>
      </c>
      <c r="D7" s="54" t="s">
        <v>118</v>
      </c>
      <c r="E7" s="55" t="s">
        <v>119</v>
      </c>
      <c r="F7" s="54" t="s">
        <v>120</v>
      </c>
      <c r="G7" s="2" t="s">
        <v>120</v>
      </c>
      <c r="H7" s="17">
        <f>IFERROR(SUMIF(FABRIKASI[No.PON],DATA_MASTER[[#This Row],[NO. PON]],FABRIKASI[Berat Fabrikasi])+SUMIF(AKSESORIS[No.PON],DATA_MASTER[[#This Row],[NO. PON]],AKSESORIS[Total Berat
Aksesories
(Kg)])+SUMIF(BNW[No.PON],DATA_MASTER[[#This Row],[NO. PON]],BNW[Total Berat Baut
(Kg)])," ")*DATA_MASTER[[#This Row],[Qty
(Unit)]]</f>
        <v>397430.23000000004</v>
      </c>
      <c r="I7" s="53" t="s">
        <v>95</v>
      </c>
      <c r="J7" s="54" t="s">
        <v>120</v>
      </c>
      <c r="K7" s="188">
        <v>1</v>
      </c>
      <c r="L7" s="157" t="s">
        <v>120</v>
      </c>
      <c r="M7" s="157"/>
      <c r="N7" s="187"/>
      <c r="O7" s="190"/>
      <c r="P7" s="190"/>
      <c r="Q7" s="190">
        <v>0</v>
      </c>
      <c r="R7" s="187">
        <f t="shared" ca="1" si="0"/>
        <v>45640</v>
      </c>
      <c r="S7" s="4">
        <f ca="1">DATA_MASTER[[#This Row],[Date Finish]]-DATA_MASTER[[#This Row],[Finish Fabrikasi]]</f>
        <v>-45640</v>
      </c>
      <c r="T7" s="187" t="str">
        <f ca="1">IF(DATA_MASTER[[#This Row],[Date Aktual Delivery to Site]]&lt;0,"Terlambat",IF(DATA_MASTER[[#This Row],[Date Aktual Delivery to Site]]&gt;30,"Sesuai Schedule",IF(DATA_MASTER[[#This Row],[Date Aktual Delivery to Site]]=0,"On schedule")))</f>
        <v>Terlambat</v>
      </c>
      <c r="U7" s="187" t="str">
        <f>IF(DATA_MASTER[[#This Row],[Status]]="completed","COMPLETED",IF(DATA_MASTER[[#This Row],[Status]]="RFD","WAKTU",IF(DATA_MASTER[[#This Row],[Status]]="ON GOING","PRIORITAS")))</f>
        <v>COMPLETED</v>
      </c>
      <c r="V7" s="4">
        <f>2023</f>
        <v>2023</v>
      </c>
    </row>
    <row r="8" spans="1:22" ht="30" customHeight="1" x14ac:dyDescent="0.3">
      <c r="A8" s="53" t="s">
        <v>980</v>
      </c>
      <c r="B8" s="54" t="s">
        <v>986</v>
      </c>
      <c r="C8" s="151">
        <v>1</v>
      </c>
      <c r="D8" s="54" t="s">
        <v>118</v>
      </c>
      <c r="E8" s="55" t="s">
        <v>119</v>
      </c>
      <c r="F8" s="54" t="s">
        <v>120</v>
      </c>
      <c r="G8" s="2" t="s">
        <v>120</v>
      </c>
      <c r="H8" s="17">
        <f>IFERROR(SUMIF(FABRIKASI[No.PON],DATA_MASTER[[#This Row],[NO. PON]],FABRIKASI[Berat Fabrikasi])+SUMIF(AKSESORIS[No.PON],DATA_MASTER[[#This Row],[NO. PON]],AKSESORIS[Total Berat
Aksesories
(Kg)])+SUMIF(BNW[No.PON],DATA_MASTER[[#This Row],[NO. PON]],BNW[Total Berat Baut
(Kg)])," ")*DATA_MASTER[[#This Row],[Qty
(Unit)]]</f>
        <v>197176.7794949495</v>
      </c>
      <c r="I8" s="53" t="s">
        <v>95</v>
      </c>
      <c r="J8" s="54" t="s">
        <v>120</v>
      </c>
      <c r="K8" s="188">
        <v>1</v>
      </c>
      <c r="L8" s="157" t="s">
        <v>120</v>
      </c>
      <c r="M8" s="157"/>
      <c r="N8" s="187"/>
      <c r="O8" s="190"/>
      <c r="P8" s="190"/>
      <c r="Q8" s="190">
        <v>0</v>
      </c>
      <c r="R8" s="187">
        <f t="shared" ca="1" si="0"/>
        <v>45640</v>
      </c>
      <c r="S8" s="4">
        <f ca="1">DATA_MASTER[[#This Row],[Date Finish]]-DATA_MASTER[[#This Row],[Finish Fabrikasi]]</f>
        <v>-45640</v>
      </c>
      <c r="T8" s="187" t="str">
        <f ca="1">IF(DATA_MASTER[[#This Row],[Date Aktual Delivery to Site]]&lt;0,"Terlambat",IF(DATA_MASTER[[#This Row],[Date Aktual Delivery to Site]]&gt;30,"Sesuai Schedule",IF(DATA_MASTER[[#This Row],[Date Aktual Delivery to Site]]=0,"On schedule")))</f>
        <v>Terlambat</v>
      </c>
      <c r="U8" s="187" t="str">
        <f>IF(DATA_MASTER[[#This Row],[Status]]="completed","COMPLETED",IF(DATA_MASTER[[#This Row],[Status]]="RFD","WAKTU",IF(DATA_MASTER[[#This Row],[Status]]="ON GOING","PRIORITAS")))</f>
        <v>COMPLETED</v>
      </c>
      <c r="V8" s="4">
        <f>2023</f>
        <v>2023</v>
      </c>
    </row>
    <row r="9" spans="1:22" ht="30" customHeight="1" x14ac:dyDescent="0.3">
      <c r="A9" s="53" t="s">
        <v>1283</v>
      </c>
      <c r="B9" s="54" t="s">
        <v>986</v>
      </c>
      <c r="C9" s="151">
        <v>1</v>
      </c>
      <c r="D9" s="54" t="s">
        <v>118</v>
      </c>
      <c r="E9" s="55" t="s">
        <v>119</v>
      </c>
      <c r="F9" s="54" t="s">
        <v>120</v>
      </c>
      <c r="G9" s="2" t="s">
        <v>120</v>
      </c>
      <c r="H9" s="17">
        <f>IFERROR(SUMIF(FABRIKASI[No.PON],DATA_MASTER[[#This Row],[NO. PON]],FABRIKASI[Berat Fabrikasi])+SUMIF(AKSESORIS[No.PON],DATA_MASTER[[#This Row],[NO. PON]],AKSESORIS[Total Berat
Aksesories
(Kg)])+SUMIF(BNW[No.PON],DATA_MASTER[[#This Row],[NO. PON]],BNW[Total Berat Baut
(Kg)])," ")*DATA_MASTER[[#This Row],[Qty
(Unit)]]</f>
        <v>338892.27</v>
      </c>
      <c r="I9" s="53" t="s">
        <v>95</v>
      </c>
      <c r="J9" s="54" t="s">
        <v>120</v>
      </c>
      <c r="K9" s="188">
        <v>1</v>
      </c>
      <c r="L9" s="236" t="s">
        <v>120</v>
      </c>
      <c r="M9" s="215"/>
      <c r="N9" s="190"/>
      <c r="O9" s="190"/>
      <c r="P9" s="4"/>
      <c r="Q9" s="190"/>
      <c r="R9" s="190"/>
      <c r="S9" s="4">
        <f>DATA_MASTER[[#This Row],[Date Finish]]-DATA_MASTER[[#This Row],[Finish Fabrikasi]]</f>
        <v>0</v>
      </c>
      <c r="T9" s="5" t="str">
        <f>IF(DATA_MASTER[[#This Row],[Date Aktual Delivery to Site]]&lt;0,"Terlambat",IF(DATA_MASTER[[#This Row],[Date Aktual Delivery to Site]]&gt;30,"Sesuai Schedule",IF(DATA_MASTER[[#This Row],[Date Aktual Delivery to Site]]=0,"On schedule")))</f>
        <v>On schedule</v>
      </c>
      <c r="U9" s="5" t="str">
        <f>IF(DATA_MASTER[[#This Row],[Status]]="completed","COMPLETED",IF(DATA_MASTER[[#This Row],[Status]]="RFD","WAKTU",IF(DATA_MASTER[[#This Row],[Status]]="ON GOING","PRIORITAS")))</f>
        <v>COMPLETED</v>
      </c>
      <c r="V9" s="4">
        <f>2023</f>
        <v>2023</v>
      </c>
    </row>
    <row r="10" spans="1:22" ht="30" customHeight="1" x14ac:dyDescent="0.3">
      <c r="A10" s="53" t="s">
        <v>987</v>
      </c>
      <c r="B10" s="54" t="s">
        <v>986</v>
      </c>
      <c r="C10" s="151">
        <v>1</v>
      </c>
      <c r="D10" s="54" t="s">
        <v>118</v>
      </c>
      <c r="E10" s="55" t="s">
        <v>119</v>
      </c>
      <c r="F10" s="54" t="s">
        <v>120</v>
      </c>
      <c r="G10" s="2"/>
      <c r="H10" s="17">
        <f>IFERROR(SUMIF(FABRIKASI[No.PON],DATA_MASTER[[#This Row],[NO. PON]],FABRIKASI[Berat Fabrikasi])+SUMIF(AKSESORIS[No.PON],DATA_MASTER[[#This Row],[NO. PON]],AKSESORIS[Total Berat
Aksesories
(Kg)])+SUMIF(BNW[No.PON],DATA_MASTER[[#This Row],[NO. PON]],BNW[Total Berat Baut
(Kg)])," ")*DATA_MASTER[[#This Row],[Qty
(Unit)]]</f>
        <v>273475.76625487837</v>
      </c>
      <c r="I10" s="53" t="s">
        <v>95</v>
      </c>
      <c r="J10" s="54" t="s">
        <v>120</v>
      </c>
      <c r="K10" s="188">
        <v>1</v>
      </c>
      <c r="L10" s="157" t="s">
        <v>120</v>
      </c>
      <c r="M10" s="157"/>
      <c r="N10" s="5"/>
      <c r="O10" s="190"/>
      <c r="P10" s="190"/>
      <c r="Q10" s="190"/>
      <c r="R10" s="5"/>
      <c r="S10" s="4">
        <f>DATA_MASTER[[#This Row],[Date Finish]]-DATA_MASTER[[#This Row],[Finish Fabrikasi]]</f>
        <v>0</v>
      </c>
      <c r="T10" s="5" t="str">
        <f>IF(DATA_MASTER[[#This Row],[Date Aktual Delivery to Site]]&lt;0,"Terlambat",IF(DATA_MASTER[[#This Row],[Date Aktual Delivery to Site]]&gt;30,"Sesuai Schedule",IF(DATA_MASTER[[#This Row],[Date Aktual Delivery to Site]]=0,"On schedule")))</f>
        <v>On schedule</v>
      </c>
      <c r="U10" s="5" t="str">
        <f>IF(DATA_MASTER[[#This Row],[Status]]="completed","COMPLETED",IF(DATA_MASTER[[#This Row],[Status]]="RFD","WAKTU",IF(DATA_MASTER[[#This Row],[Status]]="ON GOING","PRIORITAS")))</f>
        <v>COMPLETED</v>
      </c>
      <c r="V10" s="4">
        <f>2023</f>
        <v>2023</v>
      </c>
    </row>
    <row r="11" spans="1:22" ht="30" customHeight="1" x14ac:dyDescent="0.3">
      <c r="A11" s="53" t="s">
        <v>676</v>
      </c>
      <c r="B11" s="54" t="s">
        <v>249</v>
      </c>
      <c r="C11" s="151">
        <v>2</v>
      </c>
      <c r="D11" s="54" t="s">
        <v>677</v>
      </c>
      <c r="E11" s="55" t="s">
        <v>678</v>
      </c>
      <c r="F11" s="54" t="s">
        <v>679</v>
      </c>
      <c r="G11" s="17" t="s">
        <v>680</v>
      </c>
      <c r="H11" s="126">
        <f>IFERROR(SUMIF(FABRIKASI[No.PON],DATA_MASTER[[#This Row],[NO. PON]],FABRIKASI[Berat Fabrikasi])+SUMIF(AKSESORIS[No.PON],DATA_MASTER[[#This Row],[NO. PON]],AKSESORIS[Total Berat
Aksesories
(Kg)])+SUMIF(BNW[No.PON],DATA_MASTER[[#This Row],[NO. PON]],BNW[Total Berat Baut
(Kg)])," ")*DATA_MASTER[[#This Row],[Qty
(Unit)]]</f>
        <v>0</v>
      </c>
      <c r="I11" s="53" t="s">
        <v>95</v>
      </c>
      <c r="J11" s="54" t="s">
        <v>18</v>
      </c>
      <c r="K11" s="188">
        <v>1</v>
      </c>
      <c r="L11" s="162" t="s">
        <v>120</v>
      </c>
      <c r="M11" s="162"/>
      <c r="N11" s="187"/>
      <c r="O11" s="190"/>
      <c r="P11" s="190"/>
      <c r="Q11" s="190">
        <v>45128</v>
      </c>
      <c r="R11" s="187">
        <v>45138</v>
      </c>
      <c r="S11" s="4">
        <f>DATA_MASTER[[#This Row],[Date Finish]]-DATA_MASTER[[#This Row],[Finish Fabrikasi]]</f>
        <v>-45138</v>
      </c>
      <c r="T11" s="187" t="str">
        <f>IF(DATA_MASTER[[#This Row],[Date Aktual Delivery to Site]]&lt;0,"Terlambat",IF(DATA_MASTER[[#This Row],[Date Aktual Delivery to Site]]&gt;30,"Sesuai Schedule",IF(DATA_MASTER[[#This Row],[Date Aktual Delivery to Site]]=0,"On schedule")))</f>
        <v>Terlambat</v>
      </c>
      <c r="U11" s="187" t="str">
        <f>IF(DATA_MASTER[[#This Row],[Status]]="completed","COMPLETED",IF(DATA_MASTER[[#This Row],[Status]]="RFD","WAKTU",IF(DATA_MASTER[[#This Row],[Status]]="ON GOING","PRIORITAS")))</f>
        <v>COMPLETED</v>
      </c>
      <c r="V11" s="4">
        <v>2021</v>
      </c>
    </row>
    <row r="12" spans="1:22" ht="30" customHeight="1" x14ac:dyDescent="0.3">
      <c r="A12" s="53" t="s">
        <v>244</v>
      </c>
      <c r="B12" s="54" t="s">
        <v>955</v>
      </c>
      <c r="C12" s="151">
        <v>1</v>
      </c>
      <c r="D12" s="54" t="s">
        <v>167</v>
      </c>
      <c r="E12" s="55" t="s">
        <v>245</v>
      </c>
      <c r="F12" s="54" t="s">
        <v>165</v>
      </c>
      <c r="G12" s="2" t="e" vm="1">
        <v>#VALUE!</v>
      </c>
      <c r="H12" s="17">
        <f>IFERROR(SUMIF(FABRIKASI[No.PON],DATA_MASTER[[#This Row],[NO. PON]],FABRIKASI[Berat Fabrikasi])+SUMIF(AKSESORIS[No.PON],DATA_MASTER[[#This Row],[NO. PON]],AKSESORIS[Total Berat
Aksesories
(Kg)])+SUMIF(BNW[No.PON],DATA_MASTER[[#This Row],[NO. PON]],BNW[Total Berat Baut
(Kg)])," ")*DATA_MASTER[[#This Row],[Qty
(Unit)]]</f>
        <v>79206.457821165008</v>
      </c>
      <c r="I12" s="53" t="s">
        <v>95</v>
      </c>
      <c r="J12" s="54" t="s">
        <v>18</v>
      </c>
      <c r="K12" s="188">
        <v>1</v>
      </c>
      <c r="L12" s="157" t="s">
        <v>120</v>
      </c>
      <c r="M12" s="215"/>
      <c r="N12" s="190">
        <v>44931</v>
      </c>
      <c r="O12" s="190">
        <v>44960</v>
      </c>
      <c r="P12" s="4">
        <f t="shared" ref="P12:P43" si="1">O12-N12</f>
        <v>29</v>
      </c>
      <c r="Q12" s="190">
        <v>0</v>
      </c>
      <c r="R12" s="190">
        <v>45031</v>
      </c>
      <c r="S12" s="4">
        <f>DATA_MASTER[[#This Row],[Date Finish]]-DATA_MASTER[[#This Row],[Finish Fabrikasi]]</f>
        <v>-71</v>
      </c>
      <c r="T12" s="5" t="str">
        <f>IF(DATA_MASTER[[#This Row],[Date Aktual Delivery to Site]]&lt;0,"Terlambat",IF(DATA_MASTER[[#This Row],[Date Aktual Delivery to Site]]&gt;30,"Sesuai Schedule",IF(DATA_MASTER[[#This Row],[Date Aktual Delivery to Site]]=0,"On schedule")))</f>
        <v>Terlambat</v>
      </c>
      <c r="U12" s="5" t="str">
        <f>IF(DATA_MASTER[[#This Row],[Status]]="completed","COMPLETED",IF(DATA_MASTER[[#This Row],[Status]]="RFD","WAKTU",IF(DATA_MASTER[[#This Row],[Status]]="ON GOING","PRIORITAS")))</f>
        <v>COMPLETED</v>
      </c>
      <c r="V12" s="4">
        <f>2023</f>
        <v>2023</v>
      </c>
    </row>
    <row r="13" spans="1:22" ht="30" customHeight="1" x14ac:dyDescent="0.3">
      <c r="A13" s="53" t="s">
        <v>246</v>
      </c>
      <c r="B13" s="54" t="s">
        <v>955</v>
      </c>
      <c r="C13" s="151">
        <v>1</v>
      </c>
      <c r="D13" s="54" t="s">
        <v>167</v>
      </c>
      <c r="E13" s="55" t="s">
        <v>247</v>
      </c>
      <c r="F13" s="54" t="s">
        <v>165</v>
      </c>
      <c r="G13" s="2" t="e" vm="1">
        <v>#VALUE!</v>
      </c>
      <c r="H13" s="17">
        <f>IFERROR(SUMIF(FABRIKASI[No.PON],DATA_MASTER[[#This Row],[NO. PON]],FABRIKASI[Berat Fabrikasi])+SUMIF(AKSESORIS[No.PON],DATA_MASTER[[#This Row],[NO. PON]],AKSESORIS[Total Berat
Aksesories
(Kg)])+SUMIF(BNW[No.PON],DATA_MASTER[[#This Row],[NO. PON]],BNW[Total Berat Baut
(Kg)])," ")*DATA_MASTER[[#This Row],[Qty
(Unit)]]</f>
        <v>48589.616000000002</v>
      </c>
      <c r="I13" s="53" t="s">
        <v>95</v>
      </c>
      <c r="J13" s="54" t="s">
        <v>18</v>
      </c>
      <c r="K13" s="188">
        <v>1</v>
      </c>
      <c r="L13" s="157" t="s">
        <v>120</v>
      </c>
      <c r="M13" s="215"/>
      <c r="N13" s="190">
        <v>44938</v>
      </c>
      <c r="O13" s="190">
        <v>44960</v>
      </c>
      <c r="P13" s="4">
        <f t="shared" si="1"/>
        <v>22</v>
      </c>
      <c r="Q13" s="190">
        <v>0</v>
      </c>
      <c r="R13" s="190">
        <v>45031</v>
      </c>
      <c r="S13" s="4">
        <f>DATA_MASTER[[#This Row],[Date Finish]]-DATA_MASTER[[#This Row],[Finish Fabrikasi]]</f>
        <v>-71</v>
      </c>
      <c r="T13" s="5" t="str">
        <f>IF(DATA_MASTER[[#This Row],[Date Aktual Delivery to Site]]&lt;0,"Terlambat",IF(DATA_MASTER[[#This Row],[Date Aktual Delivery to Site]]&gt;30,"Sesuai Schedule",IF(DATA_MASTER[[#This Row],[Date Aktual Delivery to Site]]=0,"On schedule")))</f>
        <v>Terlambat</v>
      </c>
      <c r="U13" s="5" t="str">
        <f>IF(DATA_MASTER[[#This Row],[Status]]="completed","COMPLETED",IF(DATA_MASTER[[#This Row],[Status]]="RFD","WAKTU",IF(DATA_MASTER[[#This Row],[Status]]="ON GOING","PRIORITAS")))</f>
        <v>COMPLETED</v>
      </c>
      <c r="V13" s="4">
        <f>2023</f>
        <v>2023</v>
      </c>
    </row>
    <row r="14" spans="1:22" ht="30" customHeight="1" x14ac:dyDescent="0.3">
      <c r="A14" s="53" t="s">
        <v>300</v>
      </c>
      <c r="B14" s="54" t="s">
        <v>301</v>
      </c>
      <c r="C14" s="151">
        <v>1</v>
      </c>
      <c r="D14" s="54" t="s">
        <v>301</v>
      </c>
      <c r="E14" s="55" t="s">
        <v>301</v>
      </c>
      <c r="F14" s="54" t="s">
        <v>243</v>
      </c>
      <c r="G14" s="2" t="e" vm="2">
        <v>#VALUE!</v>
      </c>
      <c r="H14" s="17">
        <f>IFERROR(SUMIF(FABRIKASI[No.PON],DATA_MASTER[[#This Row],[NO. PON]],FABRIKASI[Berat Fabrikasi])+SUMIF(AKSESORIS[No.PON],DATA_MASTER[[#This Row],[NO. PON]],AKSESORIS[Total Berat
Aksesories
(Kg)])+SUMIF(BNW[No.PON],DATA_MASTER[[#This Row],[NO. PON]],BNW[Total Berat Baut
(Kg)])," ")*DATA_MASTER[[#This Row],[Qty
(Unit)]]</f>
        <v>14655.016</v>
      </c>
      <c r="I14" s="53" t="s">
        <v>152</v>
      </c>
      <c r="J14" s="54" t="s">
        <v>18</v>
      </c>
      <c r="K14" s="188">
        <v>1</v>
      </c>
      <c r="L14" s="157" t="s">
        <v>641</v>
      </c>
      <c r="M14" s="215"/>
      <c r="N14" s="190">
        <v>44897</v>
      </c>
      <c r="O14" s="190">
        <v>45283</v>
      </c>
      <c r="P14" s="4">
        <f t="shared" si="1"/>
        <v>386</v>
      </c>
      <c r="Q14" s="190">
        <v>44984</v>
      </c>
      <c r="R14" s="190">
        <f ca="1">TODAY()</f>
        <v>45640</v>
      </c>
      <c r="S14" s="4">
        <f ca="1">DATA_MASTER[[#This Row],[Date Finish]]-DATA_MASTER[[#This Row],[Finish Fabrikasi]]</f>
        <v>-357</v>
      </c>
      <c r="T14" s="5" t="str">
        <f ca="1">IF(DATA_MASTER[[#This Row],[Date Aktual Delivery to Site]]&lt;0,"Terlambat",IF(DATA_MASTER[[#This Row],[Date Aktual Delivery to Site]]&gt;30,"Sesuai Schedule",IF(DATA_MASTER[[#This Row],[Date Aktual Delivery to Site]]=0,"On schedule")))</f>
        <v>Terlambat</v>
      </c>
      <c r="U14" s="5" t="str">
        <f>IF(DATA_MASTER[[#This Row],[Status]]="completed","COMPLETED",IF(DATA_MASTER[[#This Row],[Status]]="RFD","WAKTU",IF(DATA_MASTER[[#This Row],[Status]]="ON GOING","PRIORITAS")))</f>
        <v>WAKTU</v>
      </c>
      <c r="V14" s="4">
        <f>2023</f>
        <v>2023</v>
      </c>
    </row>
    <row r="15" spans="1:22" ht="30" customHeight="1" x14ac:dyDescent="0.3">
      <c r="A15" s="53" t="s">
        <v>240</v>
      </c>
      <c r="B15" s="54" t="s">
        <v>241</v>
      </c>
      <c r="C15" s="151">
        <v>1</v>
      </c>
      <c r="D15" s="54" t="s">
        <v>242</v>
      </c>
      <c r="E15" s="55" t="s">
        <v>241</v>
      </c>
      <c r="F15" s="54" t="s">
        <v>243</v>
      </c>
      <c r="G15" s="2" t="e" vm="2">
        <v>#VALUE!</v>
      </c>
      <c r="H15" s="17">
        <f>IFERROR(SUMIF(FABRIKASI[No.PON],DATA_MASTER[[#This Row],[NO. PON]],FABRIKASI[Berat Fabrikasi])+SUMIF(AKSESORIS[No.PON],DATA_MASTER[[#This Row],[NO. PON]],AKSESORIS[Total Berat
Aksesories
(Kg)])+SUMIF(BNW[No.PON],DATA_MASTER[[#This Row],[NO. PON]],BNW[Total Berat Baut
(Kg)])," ")*DATA_MASTER[[#This Row],[Qty
(Unit)]]</f>
        <v>3450.4569721340395</v>
      </c>
      <c r="I15" s="53" t="s">
        <v>152</v>
      </c>
      <c r="J15" s="54" t="s">
        <v>18</v>
      </c>
      <c r="K15" s="188">
        <v>1</v>
      </c>
      <c r="L15" s="157" t="s">
        <v>642</v>
      </c>
      <c r="M15" s="215"/>
      <c r="N15" s="190">
        <v>44897</v>
      </c>
      <c r="O15" s="190">
        <v>44911</v>
      </c>
      <c r="P15" s="4">
        <f t="shared" si="1"/>
        <v>14</v>
      </c>
      <c r="Q15" s="190">
        <v>44984</v>
      </c>
      <c r="R15" s="190">
        <f ca="1">TODAY()</f>
        <v>45640</v>
      </c>
      <c r="S15" s="4">
        <f ca="1">DATA_MASTER[[#This Row],[Date Finish]]-DATA_MASTER[[#This Row],[Finish Fabrikasi]]</f>
        <v>-729</v>
      </c>
      <c r="T15" s="5" t="str">
        <f ca="1">IF(DATA_MASTER[[#This Row],[Date Aktual Delivery to Site]]&lt;0,"Terlambat",IF(DATA_MASTER[[#This Row],[Date Aktual Delivery to Site]]&gt;30,"Sesuai Schedule",IF(DATA_MASTER[[#This Row],[Date Aktual Delivery to Site]]=0,"On schedule")))</f>
        <v>Terlambat</v>
      </c>
      <c r="U15" s="5" t="str">
        <f>IF(DATA_MASTER[[#This Row],[Status]]="completed","COMPLETED",IF(DATA_MASTER[[#This Row],[Status]]="RFD","WAKTU",IF(DATA_MASTER[[#This Row],[Status]]="ON GOING","PRIORITAS")))</f>
        <v>WAKTU</v>
      </c>
      <c r="V15" s="4">
        <f>2023</f>
        <v>2023</v>
      </c>
    </row>
    <row r="16" spans="1:22" ht="30" customHeight="1" x14ac:dyDescent="0.3">
      <c r="A16" s="53" t="s">
        <v>166</v>
      </c>
      <c r="B16" s="54" t="s">
        <v>955</v>
      </c>
      <c r="C16" s="151">
        <v>1</v>
      </c>
      <c r="D16" s="54" t="s">
        <v>167</v>
      </c>
      <c r="E16" s="55" t="s">
        <v>164</v>
      </c>
      <c r="F16" s="54" t="s">
        <v>165</v>
      </c>
      <c r="G16" s="2" t="e" vm="2">
        <v>#VALUE!</v>
      </c>
      <c r="H16" s="17">
        <f>IFERROR(SUMIF(FABRIKASI[No.PON],DATA_MASTER[[#This Row],[NO. PON]],FABRIKASI[Berat Fabrikasi])+SUMIF(AKSESORIS[No.PON],DATA_MASTER[[#This Row],[NO. PON]],AKSESORIS[Total Berat
Aksesories
(Kg)])+SUMIF(BNW[No.PON],DATA_MASTER[[#This Row],[NO. PON]],BNW[Total Berat Baut
(Kg)])," ")*DATA_MASTER[[#This Row],[Qty
(Unit)]]</f>
        <v>875.33388454400006</v>
      </c>
      <c r="I16" s="53" t="s">
        <v>95</v>
      </c>
      <c r="J16" s="54" t="s">
        <v>18</v>
      </c>
      <c r="K16" s="188">
        <v>1</v>
      </c>
      <c r="L16" s="157" t="s">
        <v>120</v>
      </c>
      <c r="M16" s="215"/>
      <c r="N16" s="190">
        <v>44964</v>
      </c>
      <c r="O16" s="190">
        <v>44974</v>
      </c>
      <c r="P16" s="4">
        <f t="shared" si="1"/>
        <v>10</v>
      </c>
      <c r="Q16" s="190">
        <v>0</v>
      </c>
      <c r="R16" s="190">
        <v>44982</v>
      </c>
      <c r="S16" s="4">
        <f>DATA_MASTER[[#This Row],[Date Finish]]-DATA_MASTER[[#This Row],[Finish Fabrikasi]]</f>
        <v>-8</v>
      </c>
      <c r="T16" s="5" t="str">
        <f>IF(DATA_MASTER[[#This Row],[Date Aktual Delivery to Site]]&lt;0,"Terlambat",IF(DATA_MASTER[[#This Row],[Date Aktual Delivery to Site]]&gt;30,"Sesuai Schedule",IF(DATA_MASTER[[#This Row],[Date Aktual Delivery to Site]]=0,"On schedule")))</f>
        <v>Terlambat</v>
      </c>
      <c r="U16" s="5" t="str">
        <f>IF(DATA_MASTER[[#This Row],[Status]]="completed","COMPLETED",IF(DATA_MASTER[[#This Row],[Status]]="RFD","WAKTU",IF(DATA_MASTER[[#This Row],[Status]]="ON GOING","PRIORITAS")))</f>
        <v>COMPLETED</v>
      </c>
      <c r="V16" s="4">
        <f>2023</f>
        <v>2023</v>
      </c>
    </row>
    <row r="17" spans="1:22" ht="30" customHeight="1" x14ac:dyDescent="0.3">
      <c r="A17" s="53" t="s">
        <v>222</v>
      </c>
      <c r="B17" s="54" t="s">
        <v>955</v>
      </c>
      <c r="C17" s="151">
        <v>1</v>
      </c>
      <c r="D17" s="54" t="s">
        <v>167</v>
      </c>
      <c r="E17" s="55" t="s">
        <v>223</v>
      </c>
      <c r="F17" s="54" t="s">
        <v>165</v>
      </c>
      <c r="G17" s="2" t="e" vm="2">
        <v>#VALUE!</v>
      </c>
      <c r="H17" s="17">
        <f>IFERROR(SUMIF(FABRIKASI[No.PON],DATA_MASTER[[#This Row],[NO. PON]],FABRIKASI[Berat Fabrikasi])+SUMIF(AKSESORIS[No.PON],DATA_MASTER[[#This Row],[NO. PON]],AKSESORIS[Total Berat
Aksesories
(Kg)])+SUMIF(BNW[No.PON],DATA_MASTER[[#This Row],[NO. PON]],BNW[Total Berat Baut
(Kg)])," ")*DATA_MASTER[[#This Row],[Qty
(Unit)]]</f>
        <v>3090.48</v>
      </c>
      <c r="I17" s="53" t="s">
        <v>95</v>
      </c>
      <c r="J17" s="54" t="s">
        <v>18</v>
      </c>
      <c r="K17" s="188">
        <v>1</v>
      </c>
      <c r="L17" s="157" t="s">
        <v>120</v>
      </c>
      <c r="M17" s="215"/>
      <c r="N17" s="190">
        <v>44970</v>
      </c>
      <c r="O17" s="190">
        <v>44984</v>
      </c>
      <c r="P17" s="4">
        <f t="shared" si="1"/>
        <v>14</v>
      </c>
      <c r="Q17" s="190">
        <v>0</v>
      </c>
      <c r="R17" s="190">
        <v>45006</v>
      </c>
      <c r="S17" s="4">
        <f>DATA_MASTER[[#This Row],[Date Finish]]-DATA_MASTER[[#This Row],[Finish Fabrikasi]]</f>
        <v>-22</v>
      </c>
      <c r="T17" s="5" t="str">
        <f>IF(DATA_MASTER[[#This Row],[Date Aktual Delivery to Site]]&lt;0,"Terlambat",IF(DATA_MASTER[[#This Row],[Date Aktual Delivery to Site]]&gt;30,"Sesuai Schedule",IF(DATA_MASTER[[#This Row],[Date Aktual Delivery to Site]]=0,"On schedule")))</f>
        <v>Terlambat</v>
      </c>
      <c r="U17" s="5" t="str">
        <f>IF(DATA_MASTER[[#This Row],[Status]]="completed","COMPLETED",IF(DATA_MASTER[[#This Row],[Status]]="RFD","WAKTU",IF(DATA_MASTER[[#This Row],[Status]]="ON GOING","PRIORITAS")))</f>
        <v>COMPLETED</v>
      </c>
      <c r="V17" s="4">
        <f>2023</f>
        <v>2023</v>
      </c>
    </row>
    <row r="18" spans="1:22" ht="30" customHeight="1" x14ac:dyDescent="0.3">
      <c r="A18" s="53" t="s">
        <v>298</v>
      </c>
      <c r="B18" s="54" t="s">
        <v>955</v>
      </c>
      <c r="C18" s="151">
        <v>1</v>
      </c>
      <c r="D18" s="54" t="s">
        <v>167</v>
      </c>
      <c r="E18" s="55" t="s">
        <v>223</v>
      </c>
      <c r="F18" s="54" t="s">
        <v>165</v>
      </c>
      <c r="G18" s="2" t="e" vm="2">
        <v>#VALUE!</v>
      </c>
      <c r="H18" s="17">
        <f>IFERROR(SUMIF(FABRIKASI[No.PON],DATA_MASTER[[#This Row],[NO. PON]],FABRIKASI[Berat Fabrikasi])+SUMIF(AKSESORIS[No.PON],DATA_MASTER[[#This Row],[NO. PON]],AKSESORIS[Total Berat
Aksesories
(Kg)])+SUMIF(BNW[No.PON],DATA_MASTER[[#This Row],[NO. PON]],BNW[Total Berat Baut
(Kg)])," ")*DATA_MASTER[[#This Row],[Qty
(Unit)]]</f>
        <v>18126.983760912</v>
      </c>
      <c r="I18" s="53" t="s">
        <v>95</v>
      </c>
      <c r="J18" s="54" t="s">
        <v>18</v>
      </c>
      <c r="K18" s="188">
        <v>1</v>
      </c>
      <c r="L18" s="157" t="s">
        <v>120</v>
      </c>
      <c r="M18" s="215"/>
      <c r="N18" s="190">
        <v>45001</v>
      </c>
      <c r="O18" s="190">
        <v>45022</v>
      </c>
      <c r="P18" s="4">
        <f t="shared" si="1"/>
        <v>21</v>
      </c>
      <c r="Q18" s="190">
        <v>0</v>
      </c>
      <c r="R18" s="190">
        <v>45083</v>
      </c>
      <c r="S18" s="4">
        <f>DATA_MASTER[[#This Row],[Date Finish]]-DATA_MASTER[[#This Row],[Finish Fabrikasi]]</f>
        <v>-61</v>
      </c>
      <c r="T18" s="5" t="str">
        <f>IF(DATA_MASTER[[#This Row],[Date Aktual Delivery to Site]]&lt;0,"Terlambat",IF(DATA_MASTER[[#This Row],[Date Aktual Delivery to Site]]&gt;30,"Sesuai Schedule",IF(DATA_MASTER[[#This Row],[Date Aktual Delivery to Site]]=0,"On schedule")))</f>
        <v>Terlambat</v>
      </c>
      <c r="U18" s="5" t="str">
        <f>IF(DATA_MASTER[[#This Row],[Status]]="completed","COMPLETED",IF(DATA_MASTER[[#This Row],[Status]]="RFD","WAKTU",IF(DATA_MASTER[[#This Row],[Status]]="ON GOING","PRIORITAS")))</f>
        <v>COMPLETED</v>
      </c>
      <c r="V18" s="4">
        <f>2023</f>
        <v>2023</v>
      </c>
    </row>
    <row r="19" spans="1:22" ht="30" customHeight="1" x14ac:dyDescent="0.3">
      <c r="A19" s="53" t="s">
        <v>67</v>
      </c>
      <c r="B19" s="54" t="s">
        <v>68</v>
      </c>
      <c r="C19" s="151">
        <v>1</v>
      </c>
      <c r="D19" s="54" t="s">
        <v>151</v>
      </c>
      <c r="E19" s="55" t="s">
        <v>70</v>
      </c>
      <c r="F19" s="54" t="s">
        <v>69</v>
      </c>
      <c r="G19" s="2" t="e" vm="3">
        <v>#VALUE!</v>
      </c>
      <c r="H19" s="17">
        <f>IFERROR(SUMIF(FABRIKASI[No.PON],DATA_MASTER[[#This Row],[NO. PON]],FABRIKASI[Berat Fabrikasi])+SUMIF(AKSESORIS[No.PON],DATA_MASTER[[#This Row],[NO. PON]],AKSESORIS[Total Berat
Aksesories
(Kg)])+SUMIF(BNW[No.PON],DATA_MASTER[[#This Row],[NO. PON]],BNW[Total Berat Baut
(Kg)])," ")*DATA_MASTER[[#This Row],[Qty
(Unit)]]</f>
        <v>12451.611999999996</v>
      </c>
      <c r="I19" s="53" t="s">
        <v>95</v>
      </c>
      <c r="J19" s="54" t="s">
        <v>16</v>
      </c>
      <c r="K19" s="188">
        <v>1</v>
      </c>
      <c r="L19" s="157" t="s">
        <v>120</v>
      </c>
      <c r="M19" s="215">
        <v>16951.459270889904</v>
      </c>
      <c r="N19" s="190">
        <v>44957</v>
      </c>
      <c r="O19" s="190">
        <v>45005</v>
      </c>
      <c r="P19" s="4">
        <f t="shared" si="1"/>
        <v>48</v>
      </c>
      <c r="Q19" s="190">
        <v>0</v>
      </c>
      <c r="R19" s="190">
        <v>45002</v>
      </c>
      <c r="S19" s="4">
        <f>DATA_MASTER[[#This Row],[Date Finish]]-DATA_MASTER[[#This Row],[Finish Fabrikasi]]</f>
        <v>3</v>
      </c>
      <c r="T19" s="5" t="b">
        <f>IF(DATA_MASTER[[#This Row],[Date Aktual Delivery to Site]]&lt;0,"Terlambat",IF(DATA_MASTER[[#This Row],[Date Aktual Delivery to Site]]&gt;30,"Sesuai Schedule",IF(DATA_MASTER[[#This Row],[Date Aktual Delivery to Site]]=0,"On schedule")))</f>
        <v>0</v>
      </c>
      <c r="U19" s="5" t="str">
        <f>IF(DATA_MASTER[[#This Row],[Status]]="completed","COMPLETED",IF(DATA_MASTER[[#This Row],[Status]]="RFD","WAKTU",IF(DATA_MASTER[[#This Row],[Status]]="ON GOING","PRIORITAS")))</f>
        <v>COMPLETED</v>
      </c>
      <c r="V19" s="4">
        <f>2023</f>
        <v>2023</v>
      </c>
    </row>
    <row r="20" spans="1:22" ht="30" customHeight="1" x14ac:dyDescent="0.3">
      <c r="A20" s="53" t="s">
        <v>10</v>
      </c>
      <c r="B20" s="54" t="s">
        <v>4</v>
      </c>
      <c r="C20" s="151">
        <v>1</v>
      </c>
      <c r="D20" s="54" t="s">
        <v>13</v>
      </c>
      <c r="E20" s="55" t="s">
        <v>14</v>
      </c>
      <c r="F20" s="54" t="s">
        <v>15</v>
      </c>
      <c r="G20" s="2" t="e" vm="4">
        <v>#VALUE!</v>
      </c>
      <c r="H20" s="17">
        <f>IFERROR(SUMIF(FABRIKASI[No.PON],DATA_MASTER[[#This Row],[NO. PON]],FABRIKASI[Berat Fabrikasi])+SUMIF(AKSESORIS[No.PON],DATA_MASTER[[#This Row],[NO. PON]],AKSESORIS[Total Berat
Aksesories
(Kg)])+SUMIF(BNW[No.PON],DATA_MASTER[[#This Row],[NO. PON]],BNW[Total Berat Baut
(Kg)])," ")*DATA_MASTER[[#This Row],[Qty
(Unit)]]</f>
        <v>46075.953976000012</v>
      </c>
      <c r="I20" s="53" t="s">
        <v>95</v>
      </c>
      <c r="J20" s="54" t="s">
        <v>16</v>
      </c>
      <c r="K20" s="188">
        <v>1</v>
      </c>
      <c r="L20" s="157" t="s">
        <v>120</v>
      </c>
      <c r="M20" s="215">
        <v>51607.747376927713</v>
      </c>
      <c r="N20" s="190">
        <v>44936</v>
      </c>
      <c r="O20" s="190">
        <v>44985</v>
      </c>
      <c r="P20" s="4">
        <f t="shared" si="1"/>
        <v>49</v>
      </c>
      <c r="Q20" s="190">
        <v>44964</v>
      </c>
      <c r="R20" s="190">
        <v>45097</v>
      </c>
      <c r="S20" s="4">
        <f>DATA_MASTER[[#This Row],[Date Finish]]-DATA_MASTER[[#This Row],[Finish Fabrikasi]]</f>
        <v>-112</v>
      </c>
      <c r="T20" s="5" t="str">
        <f>IF(DATA_MASTER[[#This Row],[Date Aktual Delivery to Site]]&lt;0,"Terlambat",IF(DATA_MASTER[[#This Row],[Date Aktual Delivery to Site]]&gt;30,"Sesuai Schedule",IF(DATA_MASTER[[#This Row],[Date Aktual Delivery to Site]]=0,"On schedule")))</f>
        <v>Terlambat</v>
      </c>
      <c r="U20" s="5" t="str">
        <f>IF(DATA_MASTER[[#This Row],[Status]]="completed","COMPLETED",IF(DATA_MASTER[[#This Row],[Status]]="RFD","WAKTU",IF(DATA_MASTER[[#This Row],[Status]]="ON GOING","PRIORITAS")))</f>
        <v>COMPLETED</v>
      </c>
      <c r="V20" s="4">
        <f>2023</f>
        <v>2023</v>
      </c>
    </row>
    <row r="21" spans="1:22" ht="30" customHeight="1" x14ac:dyDescent="0.3">
      <c r="A21" s="53" t="s">
        <v>17</v>
      </c>
      <c r="B21" s="54" t="s">
        <v>565</v>
      </c>
      <c r="C21" s="151">
        <v>1</v>
      </c>
      <c r="D21" s="54" t="s">
        <v>34</v>
      </c>
      <c r="E21" s="55" t="s">
        <v>24</v>
      </c>
      <c r="F21" s="54" t="s">
        <v>5</v>
      </c>
      <c r="G21" s="2" t="e" vm="5">
        <v>#VALUE!</v>
      </c>
      <c r="H21" s="17">
        <f>IFERROR(SUMIF(FABRIKASI[No.PON],DATA_MASTER[[#This Row],[NO. PON]],FABRIKASI[Berat Fabrikasi])+SUMIF(AKSESORIS[No.PON],DATA_MASTER[[#This Row],[NO. PON]],AKSESORIS[Total Berat
Aksesories
(Kg)])+SUMIF(BNW[No.PON],DATA_MASTER[[#This Row],[NO. PON]],BNW[Total Berat Baut
(Kg)])," ")*DATA_MASTER[[#This Row],[Qty
(Unit)]]</f>
        <v>33141.030999999995</v>
      </c>
      <c r="I21" s="53" t="s">
        <v>95</v>
      </c>
      <c r="J21" s="54" t="s">
        <v>18</v>
      </c>
      <c r="K21" s="188">
        <v>1</v>
      </c>
      <c r="L21" s="157" t="s">
        <v>120</v>
      </c>
      <c r="M21" s="215">
        <v>37486.114799999988</v>
      </c>
      <c r="N21" s="190">
        <v>44937</v>
      </c>
      <c r="O21" s="190">
        <v>44986</v>
      </c>
      <c r="P21" s="4">
        <f t="shared" si="1"/>
        <v>49</v>
      </c>
      <c r="Q21" s="190">
        <v>45014</v>
      </c>
      <c r="R21" s="190">
        <v>45070</v>
      </c>
      <c r="S21" s="4">
        <f>DATA_MASTER[[#This Row],[Date Finish]]-DATA_MASTER[[#This Row],[Finish Fabrikasi]]</f>
        <v>-84</v>
      </c>
      <c r="T21" s="5" t="str">
        <f>IF(DATA_MASTER[[#This Row],[Date Aktual Delivery to Site]]&lt;0,"Terlambat",IF(DATA_MASTER[[#This Row],[Date Aktual Delivery to Site]]&gt;30,"Sesuai Schedule",IF(DATA_MASTER[[#This Row],[Date Aktual Delivery to Site]]=0,"On schedule")))</f>
        <v>Terlambat</v>
      </c>
      <c r="U21" s="5" t="str">
        <f>IF(DATA_MASTER[[#This Row],[Status]]="completed","COMPLETED",IF(DATA_MASTER[[#This Row],[Status]]="RFD","WAKTU",IF(DATA_MASTER[[#This Row],[Status]]="ON GOING","PRIORITAS")))</f>
        <v>COMPLETED</v>
      </c>
      <c r="V21" s="4">
        <f>2023</f>
        <v>2023</v>
      </c>
    </row>
    <row r="22" spans="1:22" ht="30" customHeight="1" x14ac:dyDescent="0.3">
      <c r="A22" s="53" t="s">
        <v>19</v>
      </c>
      <c r="B22" s="54" t="s">
        <v>4</v>
      </c>
      <c r="C22" s="151">
        <v>1</v>
      </c>
      <c r="D22" s="54" t="s">
        <v>20</v>
      </c>
      <c r="E22" s="55" t="s">
        <v>21</v>
      </c>
      <c r="F22" s="54" t="s">
        <v>22</v>
      </c>
      <c r="G22" s="2" t="e" vm="6">
        <v>#VALUE!</v>
      </c>
      <c r="H22" s="17">
        <f>IFERROR(SUMIF(FABRIKASI[No.PON],DATA_MASTER[[#This Row],[NO. PON]],FABRIKASI[Berat Fabrikasi])+SUMIF(AKSESORIS[No.PON],DATA_MASTER[[#This Row],[NO. PON]],AKSESORIS[Total Berat
Aksesories
(Kg)])+SUMIF(BNW[No.PON],DATA_MASTER[[#This Row],[NO. PON]],BNW[Total Berat Baut
(Kg)])," ")*DATA_MASTER[[#This Row],[Qty
(Unit)]]</f>
        <v>24177.080888000004</v>
      </c>
      <c r="I22" s="53" t="s">
        <v>95</v>
      </c>
      <c r="J22" s="54" t="s">
        <v>23</v>
      </c>
      <c r="K22" s="188">
        <v>1</v>
      </c>
      <c r="L22" s="157" t="s">
        <v>120</v>
      </c>
      <c r="M22" s="215">
        <v>25351.721184726608</v>
      </c>
      <c r="N22" s="190">
        <v>44939</v>
      </c>
      <c r="O22" s="190">
        <v>44969</v>
      </c>
      <c r="P22" s="4">
        <f t="shared" si="1"/>
        <v>30</v>
      </c>
      <c r="Q22" s="190">
        <v>44965</v>
      </c>
      <c r="R22" s="190">
        <v>44999</v>
      </c>
      <c r="S22" s="4">
        <f>DATA_MASTER[[#This Row],[Date Finish]]-DATA_MASTER[[#This Row],[Finish Fabrikasi]]</f>
        <v>-30</v>
      </c>
      <c r="T22" s="5" t="str">
        <f>IF(DATA_MASTER[[#This Row],[Date Aktual Delivery to Site]]&lt;0,"Terlambat",IF(DATA_MASTER[[#This Row],[Date Aktual Delivery to Site]]&gt;30,"Sesuai Schedule",IF(DATA_MASTER[[#This Row],[Date Aktual Delivery to Site]]=0,"On schedule")))</f>
        <v>Terlambat</v>
      </c>
      <c r="U22" s="5" t="str">
        <f>IF(DATA_MASTER[[#This Row],[Status]]="completed","COMPLETED",IF(DATA_MASTER[[#This Row],[Status]]="RFD","WAKTU",IF(DATA_MASTER[[#This Row],[Status]]="ON GOING","PRIORITAS")))</f>
        <v>COMPLETED</v>
      </c>
      <c r="V22" s="4">
        <f>2023</f>
        <v>2023</v>
      </c>
    </row>
    <row r="23" spans="1:22" ht="30" customHeight="1" x14ac:dyDescent="0.3">
      <c r="A23" s="53" t="s">
        <v>122</v>
      </c>
      <c r="B23" s="54" t="s">
        <v>4</v>
      </c>
      <c r="C23" s="151">
        <v>1</v>
      </c>
      <c r="D23" s="54" t="s">
        <v>123</v>
      </c>
      <c r="E23" s="55" t="s">
        <v>124</v>
      </c>
      <c r="F23" s="54" t="s">
        <v>125</v>
      </c>
      <c r="G23" s="2" t="e" vm="7">
        <v>#VALUE!</v>
      </c>
      <c r="H23" s="17">
        <f>IFERROR(SUMIF(FABRIKASI[No.PON],DATA_MASTER[[#This Row],[NO. PON]],FABRIKASI[Berat Fabrikasi])+SUMIF(AKSESORIS[No.PON],DATA_MASTER[[#This Row],[NO. PON]],AKSESORIS[Total Berat
Aksesories
(Kg)])+SUMIF(BNW[No.PON],DATA_MASTER[[#This Row],[NO. PON]],BNW[Total Berat Baut
(Kg)])," ")*DATA_MASTER[[#This Row],[Qty
(Unit)]]</f>
        <v>16367.054064</v>
      </c>
      <c r="I23" s="53" t="s">
        <v>95</v>
      </c>
      <c r="J23" s="54" t="s">
        <v>16</v>
      </c>
      <c r="K23" s="188">
        <v>1</v>
      </c>
      <c r="L23" s="157" t="s">
        <v>120</v>
      </c>
      <c r="M23" s="215">
        <v>17671.99214912</v>
      </c>
      <c r="N23" s="190">
        <v>44960</v>
      </c>
      <c r="O23" s="190">
        <v>45001</v>
      </c>
      <c r="P23" s="4">
        <f t="shared" si="1"/>
        <v>41</v>
      </c>
      <c r="Q23" s="190">
        <v>44986</v>
      </c>
      <c r="R23" s="190">
        <v>45009</v>
      </c>
      <c r="S23" s="4">
        <f>DATA_MASTER[[#This Row],[Date Finish]]-DATA_MASTER[[#This Row],[Finish Fabrikasi]]</f>
        <v>-8</v>
      </c>
      <c r="T23" s="5" t="str">
        <f>IF(DATA_MASTER[[#This Row],[Date Aktual Delivery to Site]]&lt;0,"Terlambat",IF(DATA_MASTER[[#This Row],[Date Aktual Delivery to Site]]&gt;30,"Sesuai Schedule",IF(DATA_MASTER[[#This Row],[Date Aktual Delivery to Site]]=0,"On schedule")))</f>
        <v>Terlambat</v>
      </c>
      <c r="U23" s="5" t="str">
        <f>IF(DATA_MASTER[[#This Row],[Status]]="completed","COMPLETED",IF(DATA_MASTER[[#This Row],[Status]]="RFD","WAKTU",IF(DATA_MASTER[[#This Row],[Status]]="ON GOING","PRIORITAS")))</f>
        <v>COMPLETED</v>
      </c>
      <c r="V23" s="4">
        <f>2023</f>
        <v>2023</v>
      </c>
    </row>
    <row r="24" spans="1:22" ht="30" customHeight="1" x14ac:dyDescent="0.3">
      <c r="A24" s="53" t="s">
        <v>129</v>
      </c>
      <c r="B24" s="54" t="s">
        <v>565</v>
      </c>
      <c r="C24" s="151">
        <v>1</v>
      </c>
      <c r="D24" s="54" t="s">
        <v>144</v>
      </c>
      <c r="E24" s="55" t="s">
        <v>130</v>
      </c>
      <c r="F24" s="54" t="s">
        <v>131</v>
      </c>
      <c r="G24" s="2" t="e" vm="3">
        <v>#VALUE!</v>
      </c>
      <c r="H24" s="17">
        <f>IFERROR(SUMIF(FABRIKASI[No.PON],DATA_MASTER[[#This Row],[NO. PON]],FABRIKASI[Berat Fabrikasi])+SUMIF(AKSESORIS[No.PON],DATA_MASTER[[#This Row],[NO. PON]],AKSESORIS[Total Berat
Aksesories
(Kg)])+SUMIF(BNW[No.PON],DATA_MASTER[[#This Row],[NO. PON]],BNW[Total Berat Baut
(Kg)])," ")*DATA_MASTER[[#This Row],[Qty
(Unit)]]</f>
        <v>66115.710000000006</v>
      </c>
      <c r="I24" s="53" t="s">
        <v>95</v>
      </c>
      <c r="J24" s="54" t="s">
        <v>16</v>
      </c>
      <c r="K24" s="188">
        <v>1</v>
      </c>
      <c r="L24" s="157" t="s">
        <v>120</v>
      </c>
      <c r="M24" s="215">
        <v>75141.991200000004</v>
      </c>
      <c r="N24" s="190">
        <v>44959</v>
      </c>
      <c r="O24" s="190">
        <v>44989</v>
      </c>
      <c r="P24" s="4">
        <f t="shared" si="1"/>
        <v>30</v>
      </c>
      <c r="Q24" s="190">
        <v>44992</v>
      </c>
      <c r="R24" s="190">
        <v>45015</v>
      </c>
      <c r="S24" s="4">
        <f>DATA_MASTER[[#This Row],[Date Finish]]-DATA_MASTER[[#This Row],[Finish Fabrikasi]]</f>
        <v>-26</v>
      </c>
      <c r="T24" s="5" t="str">
        <f>IF(DATA_MASTER[[#This Row],[Date Aktual Delivery to Site]]&lt;0,"Terlambat",IF(DATA_MASTER[[#This Row],[Date Aktual Delivery to Site]]&gt;30,"Sesuai Schedule",IF(DATA_MASTER[[#This Row],[Date Aktual Delivery to Site]]=0,"On schedule")))</f>
        <v>Terlambat</v>
      </c>
      <c r="U24" s="5" t="str">
        <f>IF(DATA_MASTER[[#This Row],[Status]]="completed","COMPLETED",IF(DATA_MASTER[[#This Row],[Status]]="RFD","WAKTU",IF(DATA_MASTER[[#This Row],[Status]]="ON GOING","PRIORITAS")))</f>
        <v>COMPLETED</v>
      </c>
      <c r="V24" s="4">
        <f>2023</f>
        <v>2023</v>
      </c>
    </row>
    <row r="25" spans="1:22" ht="30" customHeight="1" x14ac:dyDescent="0.3">
      <c r="A25" s="53" t="s">
        <v>521</v>
      </c>
      <c r="B25" s="54" t="s">
        <v>565</v>
      </c>
      <c r="C25" s="151">
        <v>2</v>
      </c>
      <c r="D25" s="54" t="s">
        <v>210</v>
      </c>
      <c r="E25" s="55" t="s">
        <v>211</v>
      </c>
      <c r="F25" s="54" t="s">
        <v>212</v>
      </c>
      <c r="G25" s="2" t="e" vm="4">
        <v>#VALUE!</v>
      </c>
      <c r="H25" s="17">
        <f>IFERROR(SUMIF(FABRIKASI[No.PON],DATA_MASTER[[#This Row],[NO. PON]],FABRIKASI[Berat Fabrikasi])+SUMIF(AKSESORIS[No.PON],DATA_MASTER[[#This Row],[NO. PON]],AKSESORIS[Total Berat
Aksesories
(Kg)])+SUMIF(BNW[No.PON],DATA_MASTER[[#This Row],[NO. PON]],BNW[Total Berat Baut
(Kg)])," ")*DATA_MASTER[[#This Row],[Qty
(Unit)]]</f>
        <v>26998.236000000001</v>
      </c>
      <c r="I25" s="53" t="s">
        <v>95</v>
      </c>
      <c r="J25" s="54" t="s">
        <v>16</v>
      </c>
      <c r="K25" s="188">
        <v>1</v>
      </c>
      <c r="L25" s="157" t="s">
        <v>120</v>
      </c>
      <c r="M25" s="215"/>
      <c r="N25" s="190">
        <v>44966</v>
      </c>
      <c r="O25" s="190">
        <v>45011</v>
      </c>
      <c r="P25" s="4">
        <f t="shared" si="1"/>
        <v>45</v>
      </c>
      <c r="Q25" s="190">
        <v>45005</v>
      </c>
      <c r="R25" s="190">
        <v>45013</v>
      </c>
      <c r="S25" s="4">
        <f>DATA_MASTER[[#This Row],[Date Finish]]-DATA_MASTER[[#This Row],[Finish Fabrikasi]]</f>
        <v>-2</v>
      </c>
      <c r="T25" s="5" t="str">
        <f>IF(DATA_MASTER[[#This Row],[Date Aktual Delivery to Site]]&lt;0,"Terlambat",IF(DATA_MASTER[[#This Row],[Date Aktual Delivery to Site]]&gt;30,"Sesuai Schedule",IF(DATA_MASTER[[#This Row],[Date Aktual Delivery to Site]]=0,"On schedule")))</f>
        <v>Terlambat</v>
      </c>
      <c r="U25" s="5" t="str">
        <f>IF(DATA_MASTER[[#This Row],[Status]]="completed","COMPLETED",IF(DATA_MASTER[[#This Row],[Status]]="RFD","WAKTU",IF(DATA_MASTER[[#This Row],[Status]]="ON GOING","PRIORITAS")))</f>
        <v>COMPLETED</v>
      </c>
      <c r="V25" s="4">
        <f>2023</f>
        <v>2023</v>
      </c>
    </row>
    <row r="26" spans="1:22" ht="30" customHeight="1" x14ac:dyDescent="0.3">
      <c r="A26" s="53" t="s">
        <v>522</v>
      </c>
      <c r="B26" s="54" t="s">
        <v>565</v>
      </c>
      <c r="C26" s="151">
        <v>3</v>
      </c>
      <c r="D26" s="54" t="s">
        <v>213</v>
      </c>
      <c r="E26" s="55" t="s">
        <v>211</v>
      </c>
      <c r="F26" s="54" t="s">
        <v>212</v>
      </c>
      <c r="G26" s="2" t="e" vm="4">
        <v>#VALUE!</v>
      </c>
      <c r="H26" s="17">
        <f>IFERROR(SUMIF(FABRIKASI[No.PON],DATA_MASTER[[#This Row],[NO. PON]],FABRIKASI[Berat Fabrikasi])+SUMIF(AKSESORIS[No.PON],DATA_MASTER[[#This Row],[NO. PON]],AKSESORIS[Total Berat
Aksesories
(Kg)])+SUMIF(BNW[No.PON],DATA_MASTER[[#This Row],[NO. PON]],BNW[Total Berat Baut
(Kg)])," ")*DATA_MASTER[[#This Row],[Qty
(Unit)]]</f>
        <v>50129.345999999998</v>
      </c>
      <c r="I26" s="53" t="s">
        <v>95</v>
      </c>
      <c r="J26" s="54" t="s">
        <v>16</v>
      </c>
      <c r="K26" s="188">
        <v>1</v>
      </c>
      <c r="L26" s="157" t="s">
        <v>120</v>
      </c>
      <c r="M26" s="215"/>
      <c r="N26" s="190">
        <v>44966</v>
      </c>
      <c r="O26" s="190">
        <v>45011</v>
      </c>
      <c r="P26" s="4">
        <f t="shared" si="1"/>
        <v>45</v>
      </c>
      <c r="Q26" s="190">
        <v>45009</v>
      </c>
      <c r="R26" s="190">
        <v>45013</v>
      </c>
      <c r="S26" s="4">
        <f>DATA_MASTER[[#This Row],[Date Finish]]-DATA_MASTER[[#This Row],[Finish Fabrikasi]]</f>
        <v>-2</v>
      </c>
      <c r="T26" s="5" t="str">
        <f>IF(DATA_MASTER[[#This Row],[Date Aktual Delivery to Site]]&lt;0,"Terlambat",IF(DATA_MASTER[[#This Row],[Date Aktual Delivery to Site]]&gt;30,"Sesuai Schedule",IF(DATA_MASTER[[#This Row],[Date Aktual Delivery to Site]]=0,"On schedule")))</f>
        <v>Terlambat</v>
      </c>
      <c r="U26" s="5" t="str">
        <f>IF(DATA_MASTER[[#This Row],[Status]]="completed","COMPLETED",IF(DATA_MASTER[[#This Row],[Status]]="RFD","WAKTU",IF(DATA_MASTER[[#This Row],[Status]]="ON GOING","PRIORITAS")))</f>
        <v>COMPLETED</v>
      </c>
      <c r="V26" s="4">
        <f>2023</f>
        <v>2023</v>
      </c>
    </row>
    <row r="27" spans="1:22" ht="30" customHeight="1" x14ac:dyDescent="0.3">
      <c r="A27" s="53" t="s">
        <v>523</v>
      </c>
      <c r="B27" s="54" t="s">
        <v>565</v>
      </c>
      <c r="C27" s="151">
        <v>1</v>
      </c>
      <c r="D27" s="54" t="s">
        <v>214</v>
      </c>
      <c r="E27" s="55" t="s">
        <v>211</v>
      </c>
      <c r="F27" s="54" t="s">
        <v>212</v>
      </c>
      <c r="G27" s="2" t="e" vm="4">
        <v>#VALUE!</v>
      </c>
      <c r="H27" s="17">
        <f>IFERROR(SUMIF(FABRIKASI[No.PON],DATA_MASTER[[#This Row],[NO. PON]],FABRIKASI[Berat Fabrikasi])+SUMIF(AKSESORIS[No.PON],DATA_MASTER[[#This Row],[NO. PON]],AKSESORIS[Total Berat
Aksesories
(Kg)])+SUMIF(BNW[No.PON],DATA_MASTER[[#This Row],[NO. PON]],BNW[Total Berat Baut
(Kg)])," ")*DATA_MASTER[[#This Row],[Qty
(Unit)]]</f>
        <v>22417.190000000002</v>
      </c>
      <c r="I27" s="53" t="s">
        <v>95</v>
      </c>
      <c r="J27" s="54" t="s">
        <v>16</v>
      </c>
      <c r="K27" s="188">
        <v>1</v>
      </c>
      <c r="L27" s="157" t="s">
        <v>120</v>
      </c>
      <c r="M27" s="215"/>
      <c r="N27" s="190">
        <v>44966</v>
      </c>
      <c r="O27" s="190">
        <v>45011</v>
      </c>
      <c r="P27" s="4">
        <f t="shared" si="1"/>
        <v>45</v>
      </c>
      <c r="Q27" s="190">
        <v>44992</v>
      </c>
      <c r="R27" s="190">
        <v>45013</v>
      </c>
      <c r="S27" s="4">
        <f>DATA_MASTER[[#This Row],[Date Finish]]-DATA_MASTER[[#This Row],[Finish Fabrikasi]]</f>
        <v>-2</v>
      </c>
      <c r="T27" s="5" t="str">
        <f>IF(DATA_MASTER[[#This Row],[Date Aktual Delivery to Site]]&lt;0,"Terlambat",IF(DATA_MASTER[[#This Row],[Date Aktual Delivery to Site]]&gt;30,"Sesuai Schedule",IF(DATA_MASTER[[#This Row],[Date Aktual Delivery to Site]]=0,"On schedule")))</f>
        <v>Terlambat</v>
      </c>
      <c r="U27" s="5" t="str">
        <f>IF(DATA_MASTER[[#This Row],[Status]]="completed","COMPLETED",IF(DATA_MASTER[[#This Row],[Status]]="RFD","WAKTU",IF(DATA_MASTER[[#This Row],[Status]]="ON GOING","PRIORITAS")))</f>
        <v>COMPLETED</v>
      </c>
      <c r="V27" s="4">
        <f>2023</f>
        <v>2023</v>
      </c>
    </row>
    <row r="28" spans="1:22" ht="30" customHeight="1" x14ac:dyDescent="0.3">
      <c r="A28" s="53" t="s">
        <v>128</v>
      </c>
      <c r="B28" s="54" t="s">
        <v>565</v>
      </c>
      <c r="C28" s="151">
        <v>1</v>
      </c>
      <c r="D28" s="54" t="s">
        <v>118</v>
      </c>
      <c r="E28" s="55" t="s">
        <v>146</v>
      </c>
      <c r="F28" s="54" t="s">
        <v>147</v>
      </c>
      <c r="G28" s="2" t="e" vm="8">
        <v>#VALUE!</v>
      </c>
      <c r="H28" s="17">
        <f>IFERROR(SUMIF(FABRIKASI[No.PON],DATA_MASTER[[#This Row],[NO. PON]],FABRIKASI[Berat Fabrikasi])+SUMIF(AKSESORIS[No.PON],DATA_MASTER[[#This Row],[NO. PON]],AKSESORIS[Total Berat
Aksesories
(Kg)])+SUMIF(BNW[No.PON],DATA_MASTER[[#This Row],[NO. PON]],BNW[Total Berat Baut
(Kg)])," ")*DATA_MASTER[[#This Row],[Qty
(Unit)]]</f>
        <v>1453.8612000000003</v>
      </c>
      <c r="I28" s="53" t="s">
        <v>95</v>
      </c>
      <c r="J28" s="54" t="s">
        <v>18</v>
      </c>
      <c r="K28" s="188">
        <v>1</v>
      </c>
      <c r="L28" s="157" t="s">
        <v>120</v>
      </c>
      <c r="M28" s="215"/>
      <c r="N28" s="190" t="s">
        <v>150</v>
      </c>
      <c r="O28" s="190" t="s">
        <v>150</v>
      </c>
      <c r="P28" s="4" t="e">
        <f t="shared" si="1"/>
        <v>#VALUE!</v>
      </c>
      <c r="Q28" s="190">
        <v>0</v>
      </c>
      <c r="R28" s="190">
        <v>44963</v>
      </c>
      <c r="S28" s="4" t="e">
        <f>DATA_MASTER[[#This Row],[Date Finish]]-DATA_MASTER[[#This Row],[Finish Fabrikasi]]</f>
        <v>#VALUE!</v>
      </c>
      <c r="T28" s="5" t="e">
        <f>IF(DATA_MASTER[[#This Row],[Date Aktual Delivery to Site]]&lt;0,"Terlambat",IF(DATA_MASTER[[#This Row],[Date Aktual Delivery to Site]]&gt;30,"Sesuai Schedule",IF(DATA_MASTER[[#This Row],[Date Aktual Delivery to Site]]=0,"On schedule")))</f>
        <v>#VALUE!</v>
      </c>
      <c r="U28" s="5" t="str">
        <f>IF(DATA_MASTER[[#This Row],[Status]]="completed","COMPLETED",IF(DATA_MASTER[[#This Row],[Status]]="RFD","WAKTU",IF(DATA_MASTER[[#This Row],[Status]]="ON GOING","PRIORITAS")))</f>
        <v>COMPLETED</v>
      </c>
      <c r="V28" s="4">
        <f>2023</f>
        <v>2023</v>
      </c>
    </row>
    <row r="29" spans="1:22" ht="30" customHeight="1" x14ac:dyDescent="0.3">
      <c r="A29" s="53" t="s">
        <v>531</v>
      </c>
      <c r="B29" s="54" t="s">
        <v>565</v>
      </c>
      <c r="C29" s="151">
        <v>2</v>
      </c>
      <c r="D29" s="54" t="s">
        <v>364</v>
      </c>
      <c r="E29" s="55" t="s">
        <v>307</v>
      </c>
      <c r="F29" s="54" t="s">
        <v>306</v>
      </c>
      <c r="G29" s="2" t="e" vm="4">
        <v>#VALUE!</v>
      </c>
      <c r="H29" s="17">
        <f>IFERROR(SUMIF(FABRIKASI[No.PON],DATA_MASTER[[#This Row],[NO. PON]],FABRIKASI[Berat Fabrikasi])+SUMIF(AKSESORIS[No.PON],DATA_MASTER[[#This Row],[NO. PON]],AKSESORIS[Total Berat
Aksesories
(Kg)])+SUMIF(BNW[No.PON],DATA_MASTER[[#This Row],[NO. PON]],BNW[Total Berat Baut
(Kg)])," ")*DATA_MASTER[[#This Row],[Qty
(Unit)]]</f>
        <v>71754.099999999991</v>
      </c>
      <c r="I29" s="53" t="s">
        <v>152</v>
      </c>
      <c r="J29" s="54" t="s">
        <v>16</v>
      </c>
      <c r="K29" s="188">
        <v>0.9</v>
      </c>
      <c r="L29" s="163" t="s">
        <v>643</v>
      </c>
      <c r="M29" s="216"/>
      <c r="N29" s="190">
        <v>45019</v>
      </c>
      <c r="O29" s="190">
        <v>45068</v>
      </c>
      <c r="P29" s="4">
        <f t="shared" si="1"/>
        <v>49</v>
      </c>
      <c r="Q29" s="190">
        <v>45055</v>
      </c>
      <c r="R29" s="190">
        <v>45085</v>
      </c>
      <c r="S29" s="4">
        <f>DATA_MASTER[[#This Row],[Date Finish]]-DATA_MASTER[[#This Row],[Finish Fabrikasi]]</f>
        <v>-17</v>
      </c>
      <c r="T29" s="5" t="str">
        <f>IF(DATA_MASTER[[#This Row],[Date Aktual Delivery to Site]]&lt;0,"Terlambat",IF(DATA_MASTER[[#This Row],[Date Aktual Delivery to Site]]&gt;30,"Sesuai Schedule",IF(DATA_MASTER[[#This Row],[Date Aktual Delivery to Site]]=0,"On schedule")))</f>
        <v>Terlambat</v>
      </c>
      <c r="U29" s="5" t="str">
        <f>IF(DATA_MASTER[[#This Row],[Status]]="completed","COMPLETED",IF(DATA_MASTER[[#This Row],[Status]]="RFD","WAKTU",IF(DATA_MASTER[[#This Row],[Status]]="ON GOING","PRIORITAS")))</f>
        <v>WAKTU</v>
      </c>
      <c r="V29" s="4">
        <f>2023</f>
        <v>2023</v>
      </c>
    </row>
    <row r="30" spans="1:22" ht="30" customHeight="1" x14ac:dyDescent="0.3">
      <c r="A30" s="53" t="s">
        <v>534</v>
      </c>
      <c r="B30" s="54" t="s">
        <v>565</v>
      </c>
      <c r="C30" s="151">
        <v>2</v>
      </c>
      <c r="D30" s="54" t="s">
        <v>365</v>
      </c>
      <c r="E30" s="55" t="s">
        <v>307</v>
      </c>
      <c r="F30" s="54" t="s">
        <v>306</v>
      </c>
      <c r="G30" s="2" t="e" vm="4">
        <v>#VALUE!</v>
      </c>
      <c r="H30" s="17">
        <f>IFERROR(SUMIF(FABRIKASI[No.PON],DATA_MASTER[[#This Row],[NO. PON]],FABRIKASI[Berat Fabrikasi])+SUMIF(AKSESORIS[No.PON],DATA_MASTER[[#This Row],[NO. PON]],AKSESORIS[Total Berat
Aksesories
(Kg)])+SUMIF(BNW[No.PON],DATA_MASTER[[#This Row],[NO. PON]],BNW[Total Berat Baut
(Kg)])," ")*DATA_MASTER[[#This Row],[Qty
(Unit)]]</f>
        <v>52532.916000000005</v>
      </c>
      <c r="I30" s="53" t="s">
        <v>152</v>
      </c>
      <c r="J30" s="54" t="s">
        <v>16</v>
      </c>
      <c r="K30" s="188">
        <v>0.9</v>
      </c>
      <c r="L30" s="157" t="s">
        <v>642</v>
      </c>
      <c r="M30" s="215"/>
      <c r="N30" s="190">
        <v>45019</v>
      </c>
      <c r="O30" s="190">
        <v>45068</v>
      </c>
      <c r="P30" s="4">
        <f t="shared" si="1"/>
        <v>49</v>
      </c>
      <c r="Q30" s="190">
        <v>45117</v>
      </c>
      <c r="R30" s="190">
        <f ca="1">TODAY()</f>
        <v>45640</v>
      </c>
      <c r="S30" s="4">
        <f ca="1">DATA_MASTER[[#This Row],[Date Finish]]-DATA_MASTER[[#This Row],[Finish Fabrikasi]]</f>
        <v>-572</v>
      </c>
      <c r="T30" s="5" t="str">
        <f ca="1">IF(DATA_MASTER[[#This Row],[Date Aktual Delivery to Site]]&lt;0,"Terlambat",IF(DATA_MASTER[[#This Row],[Date Aktual Delivery to Site]]&gt;30,"Sesuai Schedule",IF(DATA_MASTER[[#This Row],[Date Aktual Delivery to Site]]=0,"On schedule")))</f>
        <v>Terlambat</v>
      </c>
      <c r="U30" s="5" t="str">
        <f>IF(DATA_MASTER[[#This Row],[Status]]="completed","COMPLETED",IF(DATA_MASTER[[#This Row],[Status]]="RFD","WAKTU",IF(DATA_MASTER[[#This Row],[Status]]="ON GOING","PRIORITAS")))</f>
        <v>WAKTU</v>
      </c>
      <c r="V30" s="4">
        <f>2023</f>
        <v>2023</v>
      </c>
    </row>
    <row r="31" spans="1:22" ht="30" customHeight="1" x14ac:dyDescent="0.3">
      <c r="A31" s="53" t="s">
        <v>532</v>
      </c>
      <c r="B31" s="54" t="s">
        <v>565</v>
      </c>
      <c r="C31" s="151">
        <v>1</v>
      </c>
      <c r="D31" s="54" t="s">
        <v>366</v>
      </c>
      <c r="E31" s="55" t="s">
        <v>307</v>
      </c>
      <c r="F31" s="54" t="s">
        <v>306</v>
      </c>
      <c r="G31" s="2" t="e" vm="4">
        <v>#VALUE!</v>
      </c>
      <c r="H31" s="17">
        <f>IFERROR(SUMIF(FABRIKASI[No.PON],DATA_MASTER[[#This Row],[NO. PON]],FABRIKASI[Berat Fabrikasi])+SUMIF(AKSESORIS[No.PON],DATA_MASTER[[#This Row],[NO. PON]],AKSESORIS[Total Berat
Aksesories
(Kg)])+SUMIF(BNW[No.PON],DATA_MASTER[[#This Row],[NO. PON]],BNW[Total Berat Baut
(Kg)])," ")*DATA_MASTER[[#This Row],[Qty
(Unit)]]</f>
        <v>25049.214</v>
      </c>
      <c r="I31" s="53" t="s">
        <v>152</v>
      </c>
      <c r="J31" s="54" t="s">
        <v>16</v>
      </c>
      <c r="K31" s="188">
        <v>0.9</v>
      </c>
      <c r="L31" s="157" t="s">
        <v>642</v>
      </c>
      <c r="M31" s="215"/>
      <c r="N31" s="190">
        <v>45019</v>
      </c>
      <c r="O31" s="190">
        <v>45068</v>
      </c>
      <c r="P31" s="4">
        <f t="shared" si="1"/>
        <v>49</v>
      </c>
      <c r="Q31" s="190">
        <v>45062</v>
      </c>
      <c r="R31" s="190">
        <f ca="1">TODAY()</f>
        <v>45640</v>
      </c>
      <c r="S31" s="4">
        <f ca="1">DATA_MASTER[[#This Row],[Date Finish]]-DATA_MASTER[[#This Row],[Finish Fabrikasi]]</f>
        <v>-572</v>
      </c>
      <c r="T31" s="5" t="str">
        <f ca="1">IF(DATA_MASTER[[#This Row],[Date Aktual Delivery to Site]]&lt;0,"Terlambat",IF(DATA_MASTER[[#This Row],[Date Aktual Delivery to Site]]&gt;30,"Sesuai Schedule",IF(DATA_MASTER[[#This Row],[Date Aktual Delivery to Site]]=0,"On schedule")))</f>
        <v>Terlambat</v>
      </c>
      <c r="U31" s="5" t="str">
        <f>IF(DATA_MASTER[[#This Row],[Status]]="completed","COMPLETED",IF(DATA_MASTER[[#This Row],[Status]]="RFD","WAKTU",IF(DATA_MASTER[[#This Row],[Status]]="ON GOING","PRIORITAS")))</f>
        <v>WAKTU</v>
      </c>
      <c r="V31" s="4">
        <f>2023</f>
        <v>2023</v>
      </c>
    </row>
    <row r="32" spans="1:22" ht="30" customHeight="1" x14ac:dyDescent="0.3">
      <c r="A32" s="53" t="s">
        <v>538</v>
      </c>
      <c r="B32" s="54" t="s">
        <v>565</v>
      </c>
      <c r="C32" s="151">
        <v>1</v>
      </c>
      <c r="D32" s="54" t="s">
        <v>1207</v>
      </c>
      <c r="E32" s="55" t="s">
        <v>307</v>
      </c>
      <c r="F32" s="54" t="s">
        <v>306</v>
      </c>
      <c r="G32" s="2" t="e" vm="4">
        <v>#VALUE!</v>
      </c>
      <c r="H32" s="17">
        <f>IFERROR(SUMIF(FABRIKASI[No.PON],DATA_MASTER[[#This Row],[NO. PON]],FABRIKASI[Berat Fabrikasi])+SUMIF(AKSESORIS[No.PON],DATA_MASTER[[#This Row],[NO. PON]],AKSESORIS[Total Berat
Aksesories
(Kg)])+SUMIF(BNW[No.PON],DATA_MASTER[[#This Row],[NO. PON]],BNW[Total Berat Baut
(Kg)])," ")*DATA_MASTER[[#This Row],[Qty
(Unit)]]</f>
        <v>27225.017999999996</v>
      </c>
      <c r="I32" s="53" t="s">
        <v>95</v>
      </c>
      <c r="J32" s="54" t="s">
        <v>16</v>
      </c>
      <c r="K32" s="188">
        <v>1</v>
      </c>
      <c r="L32" s="157" t="s">
        <v>120</v>
      </c>
      <c r="M32" s="215"/>
      <c r="N32" s="190">
        <v>45019</v>
      </c>
      <c r="O32" s="190">
        <v>45068</v>
      </c>
      <c r="P32" s="4">
        <f t="shared" si="1"/>
        <v>49</v>
      </c>
      <c r="Q32" s="190">
        <v>45044</v>
      </c>
      <c r="R32" s="190">
        <v>45087</v>
      </c>
      <c r="S32" s="4">
        <f>DATA_MASTER[[#This Row],[Date Finish]]-DATA_MASTER[[#This Row],[Finish Fabrikasi]]</f>
        <v>-19</v>
      </c>
      <c r="T32" s="5" t="str">
        <f>IF(DATA_MASTER[[#This Row],[Date Aktual Delivery to Site]]&lt;0,"Terlambat",IF(DATA_MASTER[[#This Row],[Date Aktual Delivery to Site]]&gt;30,"Sesuai Schedule",IF(DATA_MASTER[[#This Row],[Date Aktual Delivery to Site]]=0,"On schedule")))</f>
        <v>Terlambat</v>
      </c>
      <c r="U32" s="5" t="str">
        <f>IF(DATA_MASTER[[#This Row],[Status]]="completed","COMPLETED",IF(DATA_MASTER[[#This Row],[Status]]="RFD","WAKTU",IF(DATA_MASTER[[#This Row],[Status]]="ON GOING","PRIORITAS")))</f>
        <v>COMPLETED</v>
      </c>
      <c r="V32" s="4">
        <f>2023</f>
        <v>2023</v>
      </c>
    </row>
    <row r="33" spans="1:22" ht="30" customHeight="1" x14ac:dyDescent="0.3">
      <c r="A33" s="53" t="s">
        <v>533</v>
      </c>
      <c r="B33" s="54" t="s">
        <v>565</v>
      </c>
      <c r="C33" s="151">
        <v>1</v>
      </c>
      <c r="D33" s="54" t="s">
        <v>311</v>
      </c>
      <c r="E33" s="55" t="s">
        <v>307</v>
      </c>
      <c r="F33" s="54" t="s">
        <v>306</v>
      </c>
      <c r="G33" s="2" t="e" vm="4">
        <v>#VALUE!</v>
      </c>
      <c r="H33" s="17">
        <f>IFERROR(SUMIF(FABRIKASI[No.PON],DATA_MASTER[[#This Row],[NO. PON]],FABRIKASI[Berat Fabrikasi])+SUMIF(AKSESORIS[No.PON],DATA_MASTER[[#This Row],[NO. PON]],AKSESORIS[Total Berat
Aksesories
(Kg)])+SUMIF(BNW[No.PON],DATA_MASTER[[#This Row],[NO. PON]],BNW[Total Berat Baut
(Kg)])," ")*DATA_MASTER[[#This Row],[Qty
(Unit)]]</f>
        <v>51714.871999999996</v>
      </c>
      <c r="I33" s="53" t="s">
        <v>95</v>
      </c>
      <c r="J33" s="54" t="s">
        <v>16</v>
      </c>
      <c r="K33" s="188">
        <v>1</v>
      </c>
      <c r="L33" s="157" t="s">
        <v>120</v>
      </c>
      <c r="M33" s="215"/>
      <c r="N33" s="190">
        <v>45019</v>
      </c>
      <c r="O33" s="190">
        <v>45068</v>
      </c>
      <c r="P33" s="4">
        <f t="shared" si="1"/>
        <v>49</v>
      </c>
      <c r="Q33" s="190">
        <v>45068</v>
      </c>
      <c r="R33" s="190">
        <v>45084</v>
      </c>
      <c r="S33" s="4">
        <f>DATA_MASTER[[#This Row],[Date Finish]]-DATA_MASTER[[#This Row],[Finish Fabrikasi]]</f>
        <v>-16</v>
      </c>
      <c r="T33" s="5" t="str">
        <f>IF(DATA_MASTER[[#This Row],[Date Aktual Delivery to Site]]&lt;0,"Terlambat",IF(DATA_MASTER[[#This Row],[Date Aktual Delivery to Site]]&gt;30,"Sesuai Schedule",IF(DATA_MASTER[[#This Row],[Date Aktual Delivery to Site]]=0,"On schedule")))</f>
        <v>Terlambat</v>
      </c>
      <c r="U33" s="5" t="str">
        <f>IF(DATA_MASTER[[#This Row],[Status]]="completed","COMPLETED",IF(DATA_MASTER[[#This Row],[Status]]="RFD","WAKTU",IF(DATA_MASTER[[#This Row],[Status]]="ON GOING","PRIORITAS")))</f>
        <v>COMPLETED</v>
      </c>
      <c r="V33" s="4">
        <f>2023</f>
        <v>2023</v>
      </c>
    </row>
    <row r="34" spans="1:22" ht="30" customHeight="1" x14ac:dyDescent="0.3">
      <c r="A34" s="53" t="s">
        <v>224</v>
      </c>
      <c r="B34" s="54" t="s">
        <v>565</v>
      </c>
      <c r="C34" s="151">
        <v>3</v>
      </c>
      <c r="D34" s="54" t="s">
        <v>225</v>
      </c>
      <c r="E34" s="55" t="s">
        <v>226</v>
      </c>
      <c r="F34" s="55" t="s">
        <v>228</v>
      </c>
      <c r="G34" s="2" t="e" vm="5">
        <v>#VALUE!</v>
      </c>
      <c r="H34" s="17">
        <f>IFERROR(SUMIF(FABRIKASI[No.PON],DATA_MASTER[[#This Row],[NO. PON]],FABRIKASI[Berat Fabrikasi])+SUMIF(AKSESORIS[No.PON],DATA_MASTER[[#This Row],[NO. PON]],AKSESORIS[Total Berat
Aksesories
(Kg)])+SUMIF(BNW[No.PON],DATA_MASTER[[#This Row],[NO. PON]],BNW[Total Berat Baut
(Kg)])," ")*DATA_MASTER[[#This Row],[Qty
(Unit)]]</f>
        <v>133017.63</v>
      </c>
      <c r="I34" s="53" t="s">
        <v>95</v>
      </c>
      <c r="J34" s="54" t="s">
        <v>16</v>
      </c>
      <c r="K34" s="188">
        <v>1</v>
      </c>
      <c r="L34" s="157" t="s">
        <v>120</v>
      </c>
      <c r="M34" s="215"/>
      <c r="N34" s="190">
        <v>44972</v>
      </c>
      <c r="O34" s="190">
        <v>45015</v>
      </c>
      <c r="P34" s="4">
        <f t="shared" si="1"/>
        <v>43</v>
      </c>
      <c r="Q34" s="190">
        <v>44979</v>
      </c>
      <c r="R34" s="190">
        <v>45029</v>
      </c>
      <c r="S34" s="4">
        <f>DATA_MASTER[[#This Row],[Date Finish]]-DATA_MASTER[[#This Row],[Finish Fabrikasi]]</f>
        <v>-14</v>
      </c>
      <c r="T34" s="5" t="str">
        <f>IF(DATA_MASTER[[#This Row],[Date Aktual Delivery to Site]]&lt;0,"Terlambat",IF(DATA_MASTER[[#This Row],[Date Aktual Delivery to Site]]&gt;30,"Sesuai Schedule",IF(DATA_MASTER[[#This Row],[Date Aktual Delivery to Site]]=0,"On schedule")))</f>
        <v>Terlambat</v>
      </c>
      <c r="U34" s="5" t="str">
        <f>IF(DATA_MASTER[[#This Row],[Status]]="completed","COMPLETED",IF(DATA_MASTER[[#This Row],[Status]]="RFD","WAKTU",IF(DATA_MASTER[[#This Row],[Status]]="ON GOING","PRIORITAS")))</f>
        <v>COMPLETED</v>
      </c>
      <c r="V34" s="4">
        <f>2023</f>
        <v>2023</v>
      </c>
    </row>
    <row r="35" spans="1:22" ht="30" customHeight="1" x14ac:dyDescent="0.3">
      <c r="A35" s="53" t="s">
        <v>430</v>
      </c>
      <c r="B35" s="54" t="s">
        <v>4</v>
      </c>
      <c r="C35" s="151">
        <v>1</v>
      </c>
      <c r="D35" s="54" t="s">
        <v>431</v>
      </c>
      <c r="E35" s="55" t="s">
        <v>432</v>
      </c>
      <c r="F35" s="54" t="s">
        <v>433</v>
      </c>
      <c r="G35" s="2" t="e" vm="9">
        <v>#VALUE!</v>
      </c>
      <c r="H35" s="17">
        <f>IFERROR(SUMIF(FABRIKASI[No.PON],DATA_MASTER[[#This Row],[NO. PON]],FABRIKASI[Berat Fabrikasi])+SUMIF(AKSESORIS[No.PON],DATA_MASTER[[#This Row],[NO. PON]],AKSESORIS[Total Berat
Aksesories
(Kg)])+SUMIF(BNW[No.PON],DATA_MASTER[[#This Row],[NO. PON]],BNW[Total Berat Baut
(Kg)])," ")*DATA_MASTER[[#This Row],[Qty
(Unit)]]</f>
        <v>29180.448508000005</v>
      </c>
      <c r="I35" s="53" t="s">
        <v>95</v>
      </c>
      <c r="J35" s="54" t="s">
        <v>16</v>
      </c>
      <c r="K35" s="188">
        <v>1</v>
      </c>
      <c r="L35" s="157" t="s">
        <v>120</v>
      </c>
      <c r="M35" s="215"/>
      <c r="N35" s="190">
        <v>45063</v>
      </c>
      <c r="O35" s="190">
        <v>45110</v>
      </c>
      <c r="P35" s="4">
        <f t="shared" si="1"/>
        <v>47</v>
      </c>
      <c r="Q35" s="190">
        <v>45087</v>
      </c>
      <c r="R35" s="190">
        <v>45148</v>
      </c>
      <c r="S35" s="4">
        <f>DATA_MASTER[[#This Row],[Date Finish]]-DATA_MASTER[[#This Row],[Finish Fabrikasi]]</f>
        <v>-38</v>
      </c>
      <c r="T35" s="5" t="str">
        <f>IF(DATA_MASTER[[#This Row],[Date Aktual Delivery to Site]]&lt;0,"Terlambat",IF(DATA_MASTER[[#This Row],[Date Aktual Delivery to Site]]&gt;30,"Sesuai Schedule",IF(DATA_MASTER[[#This Row],[Date Aktual Delivery to Site]]=0,"On schedule")))</f>
        <v>Terlambat</v>
      </c>
      <c r="U35" s="5" t="str">
        <f>IF(DATA_MASTER[[#This Row],[Status]]="completed","COMPLETED",IF(DATA_MASTER[[#This Row],[Status]]="RFD","WAKTU",IF(DATA_MASTER[[#This Row],[Status]]="ON GOING","PRIORITAS")))</f>
        <v>COMPLETED</v>
      </c>
      <c r="V35" s="4">
        <f>2023</f>
        <v>2023</v>
      </c>
    </row>
    <row r="36" spans="1:22" ht="30" customHeight="1" x14ac:dyDescent="0.3">
      <c r="A36" s="53" t="s">
        <v>524</v>
      </c>
      <c r="B36" s="54" t="s">
        <v>565</v>
      </c>
      <c r="C36" s="151">
        <v>1</v>
      </c>
      <c r="D36" s="54" t="s">
        <v>285</v>
      </c>
      <c r="E36" s="55" t="s">
        <v>287</v>
      </c>
      <c r="F36" s="54" t="s">
        <v>288</v>
      </c>
      <c r="G36" s="2" t="e" vm="5">
        <v>#VALUE!</v>
      </c>
      <c r="H36" s="17">
        <f>IFERROR(SUMIF(FABRIKASI[No.PON],DATA_MASTER[[#This Row],[NO. PON]],FABRIKASI[Berat Fabrikasi])+SUMIF(AKSESORIS[No.PON],DATA_MASTER[[#This Row],[NO. PON]],AKSESORIS[Total Berat
Aksesories
(Kg)])+SUMIF(BNW[No.PON],DATA_MASTER[[#This Row],[NO. PON]],BNW[Total Berat Baut
(Kg)])," ")*DATA_MASTER[[#This Row],[Qty
(Unit)]]</f>
        <v>62875.614000000001</v>
      </c>
      <c r="I36" s="53" t="s">
        <v>95</v>
      </c>
      <c r="J36" s="54" t="s">
        <v>16</v>
      </c>
      <c r="K36" s="188">
        <v>1</v>
      </c>
      <c r="L36" s="157" t="s">
        <v>120</v>
      </c>
      <c r="M36" s="215"/>
      <c r="N36" s="190">
        <v>45006</v>
      </c>
      <c r="O36" s="190">
        <v>45046</v>
      </c>
      <c r="P36" s="4">
        <f t="shared" si="1"/>
        <v>40</v>
      </c>
      <c r="Q36" s="190">
        <v>45023</v>
      </c>
      <c r="R36" s="190">
        <v>45073</v>
      </c>
      <c r="S36" s="4">
        <f>DATA_MASTER[[#This Row],[Date Finish]]-DATA_MASTER[[#This Row],[Finish Fabrikasi]]</f>
        <v>-27</v>
      </c>
      <c r="T36" s="5" t="str">
        <f>IF(DATA_MASTER[[#This Row],[Date Aktual Delivery to Site]]&lt;0,"Terlambat",IF(DATA_MASTER[[#This Row],[Date Aktual Delivery to Site]]&gt;30,"Sesuai Schedule",IF(DATA_MASTER[[#This Row],[Date Aktual Delivery to Site]]=0,"On schedule")))</f>
        <v>Terlambat</v>
      </c>
      <c r="U36" s="5" t="str">
        <f>IF(DATA_MASTER[[#This Row],[Status]]="completed","COMPLETED",IF(DATA_MASTER[[#This Row],[Status]]="RFD","WAKTU",IF(DATA_MASTER[[#This Row],[Status]]="ON GOING","PRIORITAS")))</f>
        <v>COMPLETED</v>
      </c>
      <c r="V36" s="4">
        <f>2023</f>
        <v>2023</v>
      </c>
    </row>
    <row r="37" spans="1:22" ht="30" customHeight="1" x14ac:dyDescent="0.3">
      <c r="A37" s="53" t="s">
        <v>525</v>
      </c>
      <c r="B37" s="54" t="s">
        <v>565</v>
      </c>
      <c r="C37" s="151">
        <v>2</v>
      </c>
      <c r="D37" s="54" t="s">
        <v>291</v>
      </c>
      <c r="E37" s="55" t="s">
        <v>287</v>
      </c>
      <c r="F37" s="54" t="s">
        <v>288</v>
      </c>
      <c r="G37" s="2" t="e" vm="5">
        <v>#VALUE!</v>
      </c>
      <c r="H37" s="17">
        <f>IFERROR(SUMIF(FABRIKASI[No.PON],DATA_MASTER[[#This Row],[NO. PON]],FABRIKASI[Berat Fabrikasi])+SUMIF(AKSESORIS[No.PON],DATA_MASTER[[#This Row],[NO. PON]],AKSESORIS[Total Berat
Aksesories
(Kg)])+SUMIF(BNW[No.PON],DATA_MASTER[[#This Row],[NO. PON]],BNW[Total Berat Baut
(Kg)])," ")*DATA_MASTER[[#This Row],[Qty
(Unit)]]</f>
        <v>141070.48800000001</v>
      </c>
      <c r="I37" s="53" t="s">
        <v>95</v>
      </c>
      <c r="J37" s="54" t="s">
        <v>16</v>
      </c>
      <c r="K37" s="188">
        <v>1</v>
      </c>
      <c r="L37" s="157" t="s">
        <v>120</v>
      </c>
      <c r="M37" s="215"/>
      <c r="N37" s="190">
        <v>45006</v>
      </c>
      <c r="O37" s="190">
        <v>45046</v>
      </c>
      <c r="P37" s="4">
        <f t="shared" si="1"/>
        <v>40</v>
      </c>
      <c r="Q37" s="190">
        <v>45090</v>
      </c>
      <c r="R37" s="190">
        <v>45111</v>
      </c>
      <c r="S37" s="4">
        <f>DATA_MASTER[[#This Row],[Date Finish]]-DATA_MASTER[[#This Row],[Finish Fabrikasi]]</f>
        <v>-65</v>
      </c>
      <c r="T37" s="5" t="str">
        <f>IF(DATA_MASTER[[#This Row],[Date Aktual Delivery to Site]]&lt;0,"Terlambat",IF(DATA_MASTER[[#This Row],[Date Aktual Delivery to Site]]&gt;30,"Sesuai Schedule",IF(DATA_MASTER[[#This Row],[Date Aktual Delivery to Site]]=0,"On schedule")))</f>
        <v>Terlambat</v>
      </c>
      <c r="U37" s="5" t="str">
        <f>IF(DATA_MASTER[[#This Row],[Status]]="completed","COMPLETED",IF(DATA_MASTER[[#This Row],[Status]]="RFD","WAKTU",IF(DATA_MASTER[[#This Row],[Status]]="ON GOING","PRIORITAS")))</f>
        <v>COMPLETED</v>
      </c>
      <c r="V37" s="4">
        <f>2023</f>
        <v>2023</v>
      </c>
    </row>
    <row r="38" spans="1:22" ht="30" customHeight="1" x14ac:dyDescent="0.3">
      <c r="A38" s="53" t="s">
        <v>526</v>
      </c>
      <c r="B38" s="54" t="s">
        <v>314</v>
      </c>
      <c r="C38" s="151">
        <v>1</v>
      </c>
      <c r="D38" s="54" t="s">
        <v>315</v>
      </c>
      <c r="E38" s="55" t="s">
        <v>287</v>
      </c>
      <c r="F38" s="54" t="s">
        <v>288</v>
      </c>
      <c r="G38" s="2" t="e" vm="5">
        <v>#VALUE!</v>
      </c>
      <c r="H38" s="17">
        <f>IFERROR(SUMIF(FABRIKASI[No.PON],DATA_MASTER[[#This Row],[NO. PON]],FABRIKASI[Berat Fabrikasi])+SUMIF(AKSESORIS[No.PON],DATA_MASTER[[#This Row],[NO. PON]],AKSESORIS[Total Berat
Aksesories
(Kg)])+SUMIF(BNW[No.PON],DATA_MASTER[[#This Row],[NO. PON]],BNW[Total Berat Baut
(Kg)])," ")*DATA_MASTER[[#This Row],[Qty
(Unit)]]</f>
        <v>4164.2339999999995</v>
      </c>
      <c r="I38" s="53" t="s">
        <v>95</v>
      </c>
      <c r="J38" s="54" t="s">
        <v>16</v>
      </c>
      <c r="K38" s="188">
        <v>1</v>
      </c>
      <c r="L38" s="157" t="s">
        <v>120</v>
      </c>
      <c r="M38" s="215"/>
      <c r="N38" s="190">
        <v>45006</v>
      </c>
      <c r="O38" s="190">
        <v>45046</v>
      </c>
      <c r="P38" s="4">
        <f t="shared" si="1"/>
        <v>40</v>
      </c>
      <c r="Q38" s="190">
        <v>0</v>
      </c>
      <c r="R38" s="190">
        <v>45111</v>
      </c>
      <c r="S38" s="4">
        <f>DATA_MASTER[[#This Row],[Date Finish]]-DATA_MASTER[[#This Row],[Finish Fabrikasi]]</f>
        <v>-65</v>
      </c>
      <c r="T38" s="5" t="str">
        <f>IF(DATA_MASTER[[#This Row],[Date Aktual Delivery to Site]]&lt;0,"Terlambat",IF(DATA_MASTER[[#This Row],[Date Aktual Delivery to Site]]&gt;30,"Sesuai Schedule",IF(DATA_MASTER[[#This Row],[Date Aktual Delivery to Site]]=0,"On schedule")))</f>
        <v>Terlambat</v>
      </c>
      <c r="U38" s="5" t="str">
        <f>IF(DATA_MASTER[[#This Row],[Status]]="completed","COMPLETED",IF(DATA_MASTER[[#This Row],[Status]]="RFD","WAKTU",IF(DATA_MASTER[[#This Row],[Status]]="ON GOING","PRIORITAS")))</f>
        <v>COMPLETED</v>
      </c>
      <c r="V38" s="4">
        <f>2023</f>
        <v>2023</v>
      </c>
    </row>
    <row r="39" spans="1:22" ht="30" customHeight="1" x14ac:dyDescent="0.3">
      <c r="A39" s="53" t="s">
        <v>358</v>
      </c>
      <c r="B39" s="54" t="s">
        <v>565</v>
      </c>
      <c r="C39" s="151">
        <f>1</f>
        <v>1</v>
      </c>
      <c r="D39" s="54" t="s">
        <v>225</v>
      </c>
      <c r="E39" s="55" t="s">
        <v>359</v>
      </c>
      <c r="F39" s="55" t="s">
        <v>360</v>
      </c>
      <c r="G39" s="2" t="e" vm="3">
        <v>#VALUE!</v>
      </c>
      <c r="H39" s="17">
        <f>IFERROR(SUMIF(FABRIKASI[No.PON],DATA_MASTER[[#This Row],[NO. PON]],FABRIKASI[Berat Fabrikasi])+SUMIF(AKSESORIS[No.PON],DATA_MASTER[[#This Row],[NO. PON]],AKSESORIS[Total Berat
Aksesories
(Kg)])+SUMIF(BNW[No.PON],DATA_MASTER[[#This Row],[NO. PON]],BNW[Total Berat Baut
(Kg)])," ")*DATA_MASTER[[#This Row],[Qty
(Unit)]]</f>
        <v>44339.21</v>
      </c>
      <c r="I39" s="53" t="s">
        <v>95</v>
      </c>
      <c r="J39" s="54" t="s">
        <v>16</v>
      </c>
      <c r="K39" s="188">
        <v>1</v>
      </c>
      <c r="L39" s="157" t="s">
        <v>120</v>
      </c>
      <c r="M39" s="215"/>
      <c r="N39" s="190">
        <v>45030</v>
      </c>
      <c r="O39" s="190">
        <v>45060</v>
      </c>
      <c r="P39" s="4">
        <f t="shared" si="1"/>
        <v>30</v>
      </c>
      <c r="Q39" s="190">
        <v>45045</v>
      </c>
      <c r="R39" s="190">
        <v>45061</v>
      </c>
      <c r="S39" s="4">
        <f>DATA_MASTER[[#This Row],[Date Finish]]-DATA_MASTER[[#This Row],[Finish Fabrikasi]]</f>
        <v>-1</v>
      </c>
      <c r="T39" s="5" t="str">
        <f>IF(DATA_MASTER[[#This Row],[Date Aktual Delivery to Site]]&lt;0,"Terlambat",IF(DATA_MASTER[[#This Row],[Date Aktual Delivery to Site]]&gt;30,"Sesuai Schedule",IF(DATA_MASTER[[#This Row],[Date Aktual Delivery to Site]]=0,"On schedule")))</f>
        <v>Terlambat</v>
      </c>
      <c r="U39" s="5" t="str">
        <f>IF(DATA_MASTER[[#This Row],[Status]]="completed","COMPLETED",IF(DATA_MASTER[[#This Row],[Status]]="RFD","WAKTU",IF(DATA_MASTER[[#This Row],[Status]]="ON GOING","PRIORITAS")))</f>
        <v>COMPLETED</v>
      </c>
      <c r="V39" s="4">
        <f>2023</f>
        <v>2023</v>
      </c>
    </row>
    <row r="40" spans="1:22" ht="30" customHeight="1" x14ac:dyDescent="0.3">
      <c r="A40" s="53" t="s">
        <v>348</v>
      </c>
      <c r="B40" s="54" t="s">
        <v>4</v>
      </c>
      <c r="C40" s="151">
        <f>1</f>
        <v>1</v>
      </c>
      <c r="D40" s="54" t="s">
        <v>349</v>
      </c>
      <c r="E40" s="55" t="s">
        <v>350</v>
      </c>
      <c r="F40" s="54" t="s">
        <v>351</v>
      </c>
      <c r="G40" s="2" t="e" vm="10">
        <v>#VALUE!</v>
      </c>
      <c r="H40" s="17">
        <f>IFERROR(SUMIF(FABRIKASI[No.PON],DATA_MASTER[[#This Row],[NO. PON]],FABRIKASI[Berat Fabrikasi])+SUMIF(AKSESORIS[No.PON],DATA_MASTER[[#This Row],[NO. PON]],AKSESORIS[Total Berat
Aksesories
(Kg)])+SUMIF(BNW[No.PON],DATA_MASTER[[#This Row],[NO. PON]],BNW[Total Berat Baut
(Kg)])," ")*DATA_MASTER[[#This Row],[Qty
(Unit)]]</f>
        <v>32415.459687999995</v>
      </c>
      <c r="I40" s="53" t="s">
        <v>95</v>
      </c>
      <c r="J40" s="54" t="s">
        <v>16</v>
      </c>
      <c r="K40" s="188">
        <v>1</v>
      </c>
      <c r="L40" s="157" t="s">
        <v>120</v>
      </c>
      <c r="M40" s="215"/>
      <c r="N40" s="190">
        <v>45026</v>
      </c>
      <c r="O40" s="190">
        <v>45056</v>
      </c>
      <c r="P40" s="4">
        <f t="shared" si="1"/>
        <v>30</v>
      </c>
      <c r="Q40" s="190">
        <v>45028</v>
      </c>
      <c r="R40" s="190">
        <v>45029</v>
      </c>
      <c r="S40" s="4">
        <f>DATA_MASTER[[#This Row],[Date Finish]]-DATA_MASTER[[#This Row],[Finish Fabrikasi]]</f>
        <v>27</v>
      </c>
      <c r="T40" s="5" t="b">
        <f>IF(DATA_MASTER[[#This Row],[Date Aktual Delivery to Site]]&lt;0,"Terlambat",IF(DATA_MASTER[[#This Row],[Date Aktual Delivery to Site]]&gt;30,"Sesuai Schedule",IF(DATA_MASTER[[#This Row],[Date Aktual Delivery to Site]]=0,"On schedule")))</f>
        <v>0</v>
      </c>
      <c r="U40" s="5" t="str">
        <f>IF(DATA_MASTER[[#This Row],[Status]]="completed","COMPLETED",IF(DATA_MASTER[[#This Row],[Status]]="RFD","WAKTU",IF(DATA_MASTER[[#This Row],[Status]]="ON GOING","PRIORITAS")))</f>
        <v>COMPLETED</v>
      </c>
      <c r="V40" s="4">
        <f>2023</f>
        <v>2023</v>
      </c>
    </row>
    <row r="41" spans="1:22" ht="31.95" customHeight="1" x14ac:dyDescent="0.3">
      <c r="A41" s="53" t="s">
        <v>427</v>
      </c>
      <c r="B41" s="54" t="s">
        <v>565</v>
      </c>
      <c r="C41" s="151">
        <f>1</f>
        <v>1</v>
      </c>
      <c r="D41" s="54" t="s">
        <v>118</v>
      </c>
      <c r="E41" s="55" t="s">
        <v>428</v>
      </c>
      <c r="F41" s="54" t="s">
        <v>429</v>
      </c>
      <c r="G41" s="2" t="e" vm="11">
        <v>#VALUE!</v>
      </c>
      <c r="H41" s="17">
        <f>IFERROR(SUMIF(FABRIKASI[No.PON],DATA_MASTER[[#This Row],[NO. PON]],FABRIKASI[Berat Fabrikasi])+SUMIF(AKSESORIS[No.PON],DATA_MASTER[[#This Row],[NO. PON]],AKSESORIS[Total Berat
Aksesories
(Kg)])+SUMIF(BNW[No.PON],DATA_MASTER[[#This Row],[NO. PON]],BNW[Total Berat Baut
(Kg)])," ")*DATA_MASTER[[#This Row],[Qty
(Unit)]]</f>
        <v>3482.36</v>
      </c>
      <c r="I41" s="53" t="s">
        <v>95</v>
      </c>
      <c r="J41" s="54" t="s">
        <v>18</v>
      </c>
      <c r="K41" s="188">
        <v>1</v>
      </c>
      <c r="L41" s="157" t="s">
        <v>120</v>
      </c>
      <c r="M41" s="215"/>
      <c r="N41" s="190">
        <v>45043</v>
      </c>
      <c r="O41" s="190">
        <v>45067</v>
      </c>
      <c r="P41" s="4">
        <f t="shared" si="1"/>
        <v>24</v>
      </c>
      <c r="Q41" s="190">
        <v>0</v>
      </c>
      <c r="R41" s="190">
        <f t="shared" ref="R41:R76" ca="1" si="2">TODAY()</f>
        <v>45640</v>
      </c>
      <c r="S41" s="4">
        <f ca="1">DATA_MASTER[[#This Row],[Date Finish]]-DATA_MASTER[[#This Row],[Finish Fabrikasi]]</f>
        <v>-573</v>
      </c>
      <c r="T41" s="187" t="str">
        <f ca="1">IF(DATA_MASTER[[#This Row],[Date Aktual Delivery to Site]]&lt;0,"Terlambat",IF(DATA_MASTER[[#This Row],[Date Aktual Delivery to Site]]&gt;30,"Sesuai Schedule",IF(DATA_MASTER[[#This Row],[Date Aktual Delivery to Site]]=0,"On schedule")))</f>
        <v>Terlambat</v>
      </c>
      <c r="U41" s="187" t="str">
        <f>IF(DATA_MASTER[[#This Row],[Status]]="completed","COMPLETED",IF(DATA_MASTER[[#This Row],[Status]]="RFD","WAKTU",IF(DATA_MASTER[[#This Row],[Status]]="ON GOING","PRIORITAS")))</f>
        <v>COMPLETED</v>
      </c>
      <c r="V41" s="4">
        <f>2023</f>
        <v>2023</v>
      </c>
    </row>
    <row r="42" spans="1:22" ht="31.95" customHeight="1" x14ac:dyDescent="0.3">
      <c r="A42" s="53" t="s">
        <v>418</v>
      </c>
      <c r="B42" s="54" t="s">
        <v>565</v>
      </c>
      <c r="C42" s="151">
        <f>1</f>
        <v>1</v>
      </c>
      <c r="D42" s="54" t="s">
        <v>415</v>
      </c>
      <c r="E42" s="55" t="s">
        <v>416</v>
      </c>
      <c r="F42" s="54" t="s">
        <v>417</v>
      </c>
      <c r="G42" s="2" t="e" vm="12">
        <v>#VALUE!</v>
      </c>
      <c r="H42" s="17">
        <f>IFERROR(SUMIF(FABRIKASI[No.PON],DATA_MASTER[[#This Row],[NO. PON]],FABRIKASI[Berat Fabrikasi])+SUMIF(AKSESORIS[No.PON],DATA_MASTER[[#This Row],[NO. PON]],AKSESORIS[Total Berat
Aksesories
(Kg)])+SUMIF(BNW[No.PON],DATA_MASTER[[#This Row],[NO. PON]],BNW[Total Berat Baut
(Kg)])," ")*DATA_MASTER[[#This Row],[Qty
(Unit)]]</f>
        <v>53793.210000000006</v>
      </c>
      <c r="I42" s="53" t="s">
        <v>95</v>
      </c>
      <c r="J42" s="54" t="s">
        <v>94</v>
      </c>
      <c r="K42" s="188">
        <v>1</v>
      </c>
      <c r="L42" s="157" t="s">
        <v>120</v>
      </c>
      <c r="M42" s="215"/>
      <c r="N42" s="190">
        <v>45026</v>
      </c>
      <c r="O42" s="190">
        <v>45056</v>
      </c>
      <c r="P42" s="4">
        <f t="shared" si="1"/>
        <v>30</v>
      </c>
      <c r="Q42" s="190">
        <v>45072</v>
      </c>
      <c r="R42" s="190">
        <f t="shared" ca="1" si="2"/>
        <v>45640</v>
      </c>
      <c r="S42" s="4">
        <f ca="1">DATA_MASTER[[#This Row],[Date Finish]]-DATA_MASTER[[#This Row],[Finish Fabrikasi]]</f>
        <v>-584</v>
      </c>
      <c r="T42" s="5" t="str">
        <f ca="1">IF(DATA_MASTER[[#This Row],[Date Aktual Delivery to Site]]&lt;0,"Terlambat",IF(DATA_MASTER[[#This Row],[Date Aktual Delivery to Site]]&gt;30,"Sesuai Schedule",IF(DATA_MASTER[[#This Row],[Date Aktual Delivery to Site]]=0,"On schedule")))</f>
        <v>Terlambat</v>
      </c>
      <c r="U42" s="5" t="str">
        <f>IF(DATA_MASTER[[#This Row],[Status]]="completed","COMPLETED",IF(DATA_MASTER[[#This Row],[Status]]="RFD","WAKTU",IF(DATA_MASTER[[#This Row],[Status]]="ON GOING","PRIORITAS")))</f>
        <v>COMPLETED</v>
      </c>
      <c r="V42" s="4">
        <f>2023</f>
        <v>2023</v>
      </c>
    </row>
    <row r="43" spans="1:22" ht="31.95" customHeight="1" x14ac:dyDescent="0.3">
      <c r="A43" s="53" t="s">
        <v>422</v>
      </c>
      <c r="B43" s="54" t="s">
        <v>565</v>
      </c>
      <c r="C43" s="151">
        <v>2</v>
      </c>
      <c r="D43" s="54" t="s">
        <v>225</v>
      </c>
      <c r="E43" s="55" t="s">
        <v>416</v>
      </c>
      <c r="F43" s="54" t="s">
        <v>417</v>
      </c>
      <c r="G43" s="2" t="e" vm="12">
        <v>#VALUE!</v>
      </c>
      <c r="H43" s="17">
        <f>IFERROR(SUMIF(FABRIKASI[No.PON],DATA_MASTER[[#This Row],[NO. PON]],FABRIKASI[Berat Fabrikasi])+SUMIF(AKSESORIS[No.PON],DATA_MASTER[[#This Row],[NO. PON]],AKSESORIS[Total Berat
Aksesories
(Kg)])+SUMIF(BNW[No.PON],DATA_MASTER[[#This Row],[NO. PON]],BNW[Total Berat Baut
(Kg)])," ")*DATA_MASTER[[#This Row],[Qty
(Unit)]]</f>
        <v>88678.42</v>
      </c>
      <c r="I43" s="53" t="s">
        <v>95</v>
      </c>
      <c r="J43" s="54" t="s">
        <v>94</v>
      </c>
      <c r="K43" s="188">
        <v>1</v>
      </c>
      <c r="L43" s="157" t="s">
        <v>120</v>
      </c>
      <c r="M43" s="215"/>
      <c r="N43" s="190">
        <v>45026</v>
      </c>
      <c r="O43" s="190">
        <v>45056</v>
      </c>
      <c r="P43" s="4">
        <f t="shared" si="1"/>
        <v>30</v>
      </c>
      <c r="Q43" s="190">
        <v>45077</v>
      </c>
      <c r="R43" s="190">
        <f t="shared" ca="1" si="2"/>
        <v>45640</v>
      </c>
      <c r="S43" s="4">
        <f ca="1">DATA_MASTER[[#This Row],[Date Finish]]-DATA_MASTER[[#This Row],[Finish Fabrikasi]]</f>
        <v>-584</v>
      </c>
      <c r="T43" s="5" t="str">
        <f ca="1">IF(DATA_MASTER[[#This Row],[Date Aktual Delivery to Site]]&lt;0,"Terlambat",IF(DATA_MASTER[[#This Row],[Date Aktual Delivery to Site]]&gt;30,"Sesuai Schedule",IF(DATA_MASTER[[#This Row],[Date Aktual Delivery to Site]]=0,"On schedule")))</f>
        <v>Terlambat</v>
      </c>
      <c r="U43" s="5" t="str">
        <f>IF(DATA_MASTER[[#This Row],[Status]]="completed","COMPLETED",IF(DATA_MASTER[[#This Row],[Status]]="RFD","WAKTU",IF(DATA_MASTER[[#This Row],[Status]]="ON GOING","PRIORITAS")))</f>
        <v>COMPLETED</v>
      </c>
      <c r="V43" s="4">
        <f>2023</f>
        <v>2023</v>
      </c>
    </row>
    <row r="44" spans="1:22" ht="31.95" customHeight="1" x14ac:dyDescent="0.3">
      <c r="A44" s="53" t="s">
        <v>424</v>
      </c>
      <c r="B44" s="54" t="s">
        <v>565</v>
      </c>
      <c r="C44" s="151">
        <f>1</f>
        <v>1</v>
      </c>
      <c r="D44" s="54" t="s">
        <v>425</v>
      </c>
      <c r="E44" s="55" t="s">
        <v>416</v>
      </c>
      <c r="F44" s="54" t="s">
        <v>417</v>
      </c>
      <c r="G44" s="2" t="e" vm="12">
        <v>#VALUE!</v>
      </c>
      <c r="H44" s="17">
        <f>IFERROR(SUMIF(FABRIKASI[No.PON],DATA_MASTER[[#This Row],[NO. PON]],FABRIKASI[Berat Fabrikasi])+SUMIF(AKSESORIS[No.PON],DATA_MASTER[[#This Row],[NO. PON]],AKSESORIS[Total Berat
Aksesories
(Kg)])+SUMIF(BNW[No.PON],DATA_MASTER[[#This Row],[NO. PON]],BNW[Total Berat Baut
(Kg)])," ")*DATA_MASTER[[#This Row],[Qty
(Unit)]]</f>
        <v>81510.535999999993</v>
      </c>
      <c r="I44" s="53" t="s">
        <v>95</v>
      </c>
      <c r="J44" s="54" t="s">
        <v>94</v>
      </c>
      <c r="K44" s="188">
        <v>1</v>
      </c>
      <c r="L44" s="157" t="s">
        <v>120</v>
      </c>
      <c r="M44" s="215"/>
      <c r="N44" s="190">
        <v>45026</v>
      </c>
      <c r="O44" s="190">
        <v>45056</v>
      </c>
      <c r="P44" s="4">
        <f t="shared" ref="P44:P75" si="3">O44-N44</f>
        <v>30</v>
      </c>
      <c r="Q44" s="190">
        <v>45134</v>
      </c>
      <c r="R44" s="190">
        <f t="shared" ca="1" si="2"/>
        <v>45640</v>
      </c>
      <c r="S44" s="4">
        <f ca="1">DATA_MASTER[[#This Row],[Date Finish]]-DATA_MASTER[[#This Row],[Finish Fabrikasi]]</f>
        <v>-584</v>
      </c>
      <c r="T44" s="5" t="str">
        <f ca="1">IF(DATA_MASTER[[#This Row],[Date Aktual Delivery to Site]]&lt;0,"Terlambat",IF(DATA_MASTER[[#This Row],[Date Aktual Delivery to Site]]&gt;30,"Sesuai Schedule",IF(DATA_MASTER[[#This Row],[Date Aktual Delivery to Site]]=0,"On schedule")))</f>
        <v>Terlambat</v>
      </c>
      <c r="U44" s="5" t="str">
        <f>IF(DATA_MASTER[[#This Row],[Status]]="completed","COMPLETED",IF(DATA_MASTER[[#This Row],[Status]]="RFD","WAKTU",IF(DATA_MASTER[[#This Row],[Status]]="ON GOING","PRIORITAS")))</f>
        <v>COMPLETED</v>
      </c>
      <c r="V44" s="4">
        <f>2023</f>
        <v>2023</v>
      </c>
    </row>
    <row r="45" spans="1:22" ht="31.95" customHeight="1" x14ac:dyDescent="0.3">
      <c r="A45" s="53" t="s">
        <v>645</v>
      </c>
      <c r="B45" s="54" t="s">
        <v>1118</v>
      </c>
      <c r="C45" s="151">
        <v>6</v>
      </c>
      <c r="D45" s="54" t="s">
        <v>646</v>
      </c>
      <c r="E45" s="55" t="s">
        <v>416</v>
      </c>
      <c r="F45" s="54" t="s">
        <v>417</v>
      </c>
      <c r="G45" s="2" t="e" vm="12">
        <v>#VALUE!</v>
      </c>
      <c r="H45" s="17">
        <f>IFERROR(SUMIF(FABRIKASI[No.PON],DATA_MASTER[[#This Row],[NO. PON]],FABRIKASI[Berat Fabrikasi])+SUMIF(AKSESORIS[No.PON],DATA_MASTER[[#This Row],[NO. PON]],AKSESORIS[Total Berat
Aksesories
(Kg)])+SUMIF(BNW[No.PON],DATA_MASTER[[#This Row],[NO. PON]],BNW[Total Berat Baut
(Kg)])," ")*DATA_MASTER[[#This Row],[Qty
(Unit)]]</f>
        <v>11561.543999999998</v>
      </c>
      <c r="I45" s="53" t="s">
        <v>95</v>
      </c>
      <c r="J45" s="54" t="s">
        <v>94</v>
      </c>
      <c r="K45" s="188">
        <v>1</v>
      </c>
      <c r="L45" s="157" t="s">
        <v>120</v>
      </c>
      <c r="M45" s="215"/>
      <c r="N45" s="190">
        <v>45026</v>
      </c>
      <c r="O45" s="190">
        <v>45056</v>
      </c>
      <c r="P45" s="4">
        <f t="shared" si="3"/>
        <v>30</v>
      </c>
      <c r="Q45" s="190">
        <v>45134</v>
      </c>
      <c r="R45" s="190">
        <f t="shared" ca="1" si="2"/>
        <v>45640</v>
      </c>
      <c r="S45" s="4">
        <f ca="1">DATA_MASTER[[#This Row],[Date Finish]]-DATA_MASTER[[#This Row],[Finish Fabrikasi]]</f>
        <v>-584</v>
      </c>
      <c r="T45" s="5" t="str">
        <f ca="1">IF(DATA_MASTER[[#This Row],[Date Aktual Delivery to Site]]&lt;0,"Terlambat",IF(DATA_MASTER[[#This Row],[Date Aktual Delivery to Site]]&gt;30,"Sesuai Schedule",IF(DATA_MASTER[[#This Row],[Date Aktual Delivery to Site]]=0,"On schedule")))</f>
        <v>Terlambat</v>
      </c>
      <c r="U45" s="5" t="str">
        <f>IF(DATA_MASTER[[#This Row],[Status]]="completed","COMPLETED",IF(DATA_MASTER[[#This Row],[Status]]="RFD","WAKTU",IF(DATA_MASTER[[#This Row],[Status]]="ON GOING","PRIORITAS")))</f>
        <v>COMPLETED</v>
      </c>
      <c r="V45" s="4">
        <f>2023</f>
        <v>2023</v>
      </c>
    </row>
    <row r="46" spans="1:22" ht="31.95" customHeight="1" x14ac:dyDescent="0.3">
      <c r="A46" s="53" t="s">
        <v>442</v>
      </c>
      <c r="B46" s="54" t="s">
        <v>565</v>
      </c>
      <c r="C46" s="151">
        <f>1</f>
        <v>1</v>
      </c>
      <c r="D46" s="54" t="s">
        <v>225</v>
      </c>
      <c r="E46" s="55" t="s">
        <v>416</v>
      </c>
      <c r="F46" s="54" t="s">
        <v>417</v>
      </c>
      <c r="G46" s="2" t="e" vm="12">
        <v>#VALUE!</v>
      </c>
      <c r="H46" s="17">
        <f>IFERROR(SUMIF(FABRIKASI[No.PON],DATA_MASTER[[#This Row],[NO. PON]],FABRIKASI[Berat Fabrikasi])+SUMIF(AKSESORIS[No.PON],DATA_MASTER[[#This Row],[NO. PON]],AKSESORIS[Total Berat
Aksesories
(Kg)])+SUMIF(BNW[No.PON],DATA_MASTER[[#This Row],[NO. PON]],BNW[Total Berat Baut
(Kg)])," ")*DATA_MASTER[[#This Row],[Qty
(Unit)]]</f>
        <v>44339.21</v>
      </c>
      <c r="I46" s="53" t="s">
        <v>95</v>
      </c>
      <c r="J46" s="54" t="s">
        <v>94</v>
      </c>
      <c r="K46" s="188">
        <v>1</v>
      </c>
      <c r="L46" s="157" t="s">
        <v>120</v>
      </c>
      <c r="M46" s="215"/>
      <c r="N46" s="190">
        <v>45071</v>
      </c>
      <c r="O46" s="190">
        <v>45112</v>
      </c>
      <c r="P46" s="4">
        <f t="shared" si="3"/>
        <v>41</v>
      </c>
      <c r="Q46" s="190">
        <v>45113</v>
      </c>
      <c r="R46" s="190">
        <f t="shared" ca="1" si="2"/>
        <v>45640</v>
      </c>
      <c r="S46" s="4">
        <f ca="1">DATA_MASTER[[#This Row],[Date Finish]]-DATA_MASTER[[#This Row],[Finish Fabrikasi]]</f>
        <v>-528</v>
      </c>
      <c r="T46" s="5" t="str">
        <f ca="1">IF(DATA_MASTER[[#This Row],[Date Aktual Delivery to Site]]&lt;0,"Terlambat",IF(DATA_MASTER[[#This Row],[Date Aktual Delivery to Site]]&gt;30,"Sesuai Schedule",IF(DATA_MASTER[[#This Row],[Date Aktual Delivery to Site]]=0,"On schedule")))</f>
        <v>Terlambat</v>
      </c>
      <c r="U46" s="5" t="str">
        <f>IF(DATA_MASTER[[#This Row],[Status]]="completed","COMPLETED",IF(DATA_MASTER[[#This Row],[Status]]="RFD","WAKTU",IF(DATA_MASTER[[#This Row],[Status]]="ON GOING","PRIORITAS")))</f>
        <v>COMPLETED</v>
      </c>
      <c r="V46" s="4">
        <f>2023</f>
        <v>2023</v>
      </c>
    </row>
    <row r="47" spans="1:22" ht="31.95" customHeight="1" x14ac:dyDescent="0.3">
      <c r="A47" s="53" t="s">
        <v>535</v>
      </c>
      <c r="B47" s="54" t="s">
        <v>565</v>
      </c>
      <c r="C47" s="151">
        <v>2</v>
      </c>
      <c r="D47" s="54" t="s">
        <v>214</v>
      </c>
      <c r="E47" s="55" t="s">
        <v>444</v>
      </c>
      <c r="F47" s="54" t="s">
        <v>500</v>
      </c>
      <c r="G47" s="2" t="e" vm="4">
        <v>#VALUE!</v>
      </c>
      <c r="H47" s="17">
        <f>IFERROR(SUMIF(FABRIKASI[No.PON],DATA_MASTER[[#This Row],[NO. PON]],FABRIKASI[Berat Fabrikasi])+SUMIF(AKSESORIS[No.PON],DATA_MASTER[[#This Row],[NO. PON]],AKSESORIS[Total Berat
Aksesories
(Kg)])+SUMIF(BNW[No.PON],DATA_MASTER[[#This Row],[NO. PON]],BNW[Total Berat Baut
(Kg)])," ")*DATA_MASTER[[#This Row],[Qty
(Unit)]]</f>
        <v>44834.380000000005</v>
      </c>
      <c r="I47" s="53" t="s">
        <v>152</v>
      </c>
      <c r="J47" s="54" t="s">
        <v>16</v>
      </c>
      <c r="K47" s="188">
        <v>0.9</v>
      </c>
      <c r="L47" s="236" t="s">
        <v>1216</v>
      </c>
      <c r="M47" s="215"/>
      <c r="N47" s="190">
        <v>45071</v>
      </c>
      <c r="O47" s="190">
        <v>45118</v>
      </c>
      <c r="P47" s="4">
        <f t="shared" si="3"/>
        <v>47</v>
      </c>
      <c r="Q47" s="190">
        <v>45092</v>
      </c>
      <c r="R47" s="190">
        <f t="shared" ca="1" si="2"/>
        <v>45640</v>
      </c>
      <c r="S47" s="4">
        <f ca="1">DATA_MASTER[[#This Row],[Date Finish]]-DATA_MASTER[[#This Row],[Finish Fabrikasi]]</f>
        <v>-522</v>
      </c>
      <c r="T47" s="5" t="str">
        <f ca="1">IF(DATA_MASTER[[#This Row],[Date Aktual Delivery to Site]]&lt;0,"Terlambat",IF(DATA_MASTER[[#This Row],[Date Aktual Delivery to Site]]&gt;30,"Sesuai Schedule",IF(DATA_MASTER[[#This Row],[Date Aktual Delivery to Site]]=0,"On schedule")))</f>
        <v>Terlambat</v>
      </c>
      <c r="U47" s="5" t="str">
        <f>IF(DATA_MASTER[[#This Row],[Status]]="completed","COMPLETED",IF(DATA_MASTER[[#This Row],[Status]]="RFD","WAKTU",IF(DATA_MASTER[[#This Row],[Status]]="ON GOING","PRIORITAS")))</f>
        <v>WAKTU</v>
      </c>
      <c r="V47" s="4">
        <f>2023</f>
        <v>2023</v>
      </c>
    </row>
    <row r="48" spans="1:22" ht="31.95" customHeight="1" x14ac:dyDescent="0.3">
      <c r="A48" s="53" t="s">
        <v>536</v>
      </c>
      <c r="B48" s="54" t="s">
        <v>565</v>
      </c>
      <c r="C48" s="151">
        <f>1</f>
        <v>1</v>
      </c>
      <c r="D48" s="54" t="s">
        <v>446</v>
      </c>
      <c r="E48" s="55" t="s">
        <v>444</v>
      </c>
      <c r="F48" s="54" t="s">
        <v>500</v>
      </c>
      <c r="G48" s="2" t="e" vm="4">
        <v>#VALUE!</v>
      </c>
      <c r="H48" s="17">
        <f>IFERROR(SUMIF(FABRIKASI[No.PON],DATA_MASTER[[#This Row],[NO. PON]],FABRIKASI[Berat Fabrikasi])+SUMIF(AKSESORIS[No.PON],DATA_MASTER[[#This Row],[NO. PON]],AKSESORIS[Total Berat
Aksesories
(Kg)])+SUMIF(BNW[No.PON],DATA_MASTER[[#This Row],[NO. PON]],BNW[Total Berat Baut
(Kg)])," ")*DATA_MASTER[[#This Row],[Qty
(Unit)]]</f>
        <v>25436.973999999998</v>
      </c>
      <c r="I48" s="53" t="s">
        <v>95</v>
      </c>
      <c r="J48" s="54" t="s">
        <v>16</v>
      </c>
      <c r="K48" s="188">
        <v>1</v>
      </c>
      <c r="L48" s="162" t="s">
        <v>120</v>
      </c>
      <c r="M48" s="215"/>
      <c r="N48" s="190">
        <v>45071</v>
      </c>
      <c r="O48" s="190">
        <v>45118</v>
      </c>
      <c r="P48" s="4">
        <f t="shared" si="3"/>
        <v>47</v>
      </c>
      <c r="Q48" s="190">
        <v>45103</v>
      </c>
      <c r="R48" s="190">
        <f t="shared" ca="1" si="2"/>
        <v>45640</v>
      </c>
      <c r="S48" s="4">
        <f ca="1">DATA_MASTER[[#This Row],[Date Finish]]-DATA_MASTER[[#This Row],[Finish Fabrikasi]]</f>
        <v>-522</v>
      </c>
      <c r="T48" s="5" t="str">
        <f ca="1">IF(DATA_MASTER[[#This Row],[Date Aktual Delivery to Site]]&lt;0,"Terlambat",IF(DATA_MASTER[[#This Row],[Date Aktual Delivery to Site]]&gt;30,"Sesuai Schedule",IF(DATA_MASTER[[#This Row],[Date Aktual Delivery to Site]]=0,"On schedule")))</f>
        <v>Terlambat</v>
      </c>
      <c r="U48" s="5" t="str">
        <f>IF(DATA_MASTER[[#This Row],[Status]]="completed","COMPLETED",IF(DATA_MASTER[[#This Row],[Status]]="RFD","WAKTU",IF(DATA_MASTER[[#This Row],[Status]]="ON GOING","PRIORITAS")))</f>
        <v>COMPLETED</v>
      </c>
      <c r="V48" s="4">
        <f>2023</f>
        <v>2023</v>
      </c>
    </row>
    <row r="49" spans="1:22" ht="31.95" customHeight="1" x14ac:dyDescent="0.3">
      <c r="A49" s="53" t="s">
        <v>537</v>
      </c>
      <c r="B49" s="54" t="s">
        <v>565</v>
      </c>
      <c r="C49" s="151">
        <f>1</f>
        <v>1</v>
      </c>
      <c r="D49" s="54" t="s">
        <v>448</v>
      </c>
      <c r="E49" s="55" t="s">
        <v>444</v>
      </c>
      <c r="F49" s="54" t="s">
        <v>500</v>
      </c>
      <c r="G49" s="2" t="e" vm="4">
        <v>#VALUE!</v>
      </c>
      <c r="H49" s="17">
        <f>IFERROR(SUMIF(FABRIKASI[No.PON],DATA_MASTER[[#This Row],[NO. PON]],FABRIKASI[Berat Fabrikasi])+SUMIF(AKSESORIS[No.PON],DATA_MASTER[[#This Row],[NO. PON]],AKSESORIS[Total Berat
Aksesories
(Kg)])+SUMIF(BNW[No.PON],DATA_MASTER[[#This Row],[NO. PON]],BNW[Total Berat Baut
(Kg)])," ")*DATA_MASTER[[#This Row],[Qty
(Unit)]]</f>
        <v>40050.050000000003</v>
      </c>
      <c r="I49" s="53" t="s">
        <v>152</v>
      </c>
      <c r="J49" s="54" t="s">
        <v>16</v>
      </c>
      <c r="K49" s="188">
        <v>0.9</v>
      </c>
      <c r="L49" s="157" t="s">
        <v>642</v>
      </c>
      <c r="M49" s="215"/>
      <c r="N49" s="190">
        <v>45071</v>
      </c>
      <c r="O49" s="190">
        <v>45118</v>
      </c>
      <c r="P49" s="4">
        <f t="shared" si="3"/>
        <v>47</v>
      </c>
      <c r="Q49" s="190">
        <v>45108</v>
      </c>
      <c r="R49" s="190">
        <f t="shared" ca="1" si="2"/>
        <v>45640</v>
      </c>
      <c r="S49" s="4">
        <f ca="1">DATA_MASTER[[#This Row],[Date Finish]]-DATA_MASTER[[#This Row],[Finish Fabrikasi]]</f>
        <v>-522</v>
      </c>
      <c r="T49" s="5" t="str">
        <f ca="1">IF(DATA_MASTER[[#This Row],[Date Aktual Delivery to Site]]&lt;0,"Terlambat",IF(DATA_MASTER[[#This Row],[Date Aktual Delivery to Site]]&gt;30,"Sesuai Schedule",IF(DATA_MASTER[[#This Row],[Date Aktual Delivery to Site]]=0,"On schedule")))</f>
        <v>Terlambat</v>
      </c>
      <c r="U49" s="5" t="str">
        <f>IF(DATA_MASTER[[#This Row],[Status]]="completed","COMPLETED",IF(DATA_MASTER[[#This Row],[Status]]="RFD","WAKTU",IF(DATA_MASTER[[#This Row],[Status]]="ON GOING","PRIORITAS")))</f>
        <v>WAKTU</v>
      </c>
      <c r="V49" s="4">
        <f>2023</f>
        <v>2023</v>
      </c>
    </row>
    <row r="50" spans="1:22" ht="31.95" customHeight="1" x14ac:dyDescent="0.3">
      <c r="A50" s="53" t="s">
        <v>863</v>
      </c>
      <c r="B50" s="54" t="s">
        <v>565</v>
      </c>
      <c r="C50" s="151">
        <v>1</v>
      </c>
      <c r="D50" s="54" t="s">
        <v>864</v>
      </c>
      <c r="E50" s="55" t="s">
        <v>866</v>
      </c>
      <c r="F50" s="54" t="s">
        <v>865</v>
      </c>
      <c r="G50" s="2" t="e" vm="4">
        <v>#VALUE!</v>
      </c>
      <c r="H50" s="17">
        <f>IFERROR(SUMIF(FABRIKASI[No.PON],DATA_MASTER[[#This Row],[NO. PON]],FABRIKASI[Berat Fabrikasi])+SUMIF(AKSESORIS[No.PON],DATA_MASTER[[#This Row],[NO. PON]],AKSESORIS[Total Berat
Aksesories
(Kg)])+SUMIF(BNW[No.PON],DATA_MASTER[[#This Row],[NO. PON]],BNW[Total Berat Baut
(Kg)])," ")*DATA_MASTER[[#This Row],[Qty
(Unit)]]</f>
        <v>62589.227281859792</v>
      </c>
      <c r="I50" s="53" t="s">
        <v>95</v>
      </c>
      <c r="J50" s="54" t="s">
        <v>16</v>
      </c>
      <c r="K50" s="188">
        <v>1</v>
      </c>
      <c r="L50" s="162" t="s">
        <v>120</v>
      </c>
      <c r="M50" s="216"/>
      <c r="N50" s="190">
        <v>45147</v>
      </c>
      <c r="O50" s="190">
        <v>45148</v>
      </c>
      <c r="P50" s="4">
        <f t="shared" si="3"/>
        <v>1</v>
      </c>
      <c r="Q50" s="190">
        <v>45162</v>
      </c>
      <c r="R50" s="190">
        <f t="shared" ca="1" si="2"/>
        <v>45640</v>
      </c>
      <c r="S50" s="4">
        <f ca="1">DATA_MASTER[[#This Row],[Date Finish]]-DATA_MASTER[[#This Row],[Finish Fabrikasi]]</f>
        <v>-492</v>
      </c>
      <c r="T50" s="187" t="str">
        <f ca="1">IF(DATA_MASTER[[#This Row],[Date Aktual Delivery to Site]]&lt;0,"Terlambat",IF(DATA_MASTER[[#This Row],[Date Aktual Delivery to Site]]&gt;30,"Sesuai Schedule",IF(DATA_MASTER[[#This Row],[Date Aktual Delivery to Site]]=0,"On schedule")))</f>
        <v>Terlambat</v>
      </c>
      <c r="U50" s="187" t="str">
        <f>IF(DATA_MASTER[[#This Row],[Status]]="completed","COMPLETED",IF(DATA_MASTER[[#This Row],[Status]]="RFD","WAKTU",IF(DATA_MASTER[[#This Row],[Status]]="ON GOING","PRIORITAS")))</f>
        <v>COMPLETED</v>
      </c>
      <c r="V50" s="4">
        <f>2023</f>
        <v>2023</v>
      </c>
    </row>
    <row r="51" spans="1:22" ht="31.95" customHeight="1" x14ac:dyDescent="0.3">
      <c r="A51" s="53" t="s">
        <v>527</v>
      </c>
      <c r="B51" s="54" t="s">
        <v>467</v>
      </c>
      <c r="C51" s="151">
        <v>1</v>
      </c>
      <c r="D51" s="54" t="s">
        <v>468</v>
      </c>
      <c r="E51" s="54" t="s">
        <v>470</v>
      </c>
      <c r="F51" s="54" t="s">
        <v>470</v>
      </c>
      <c r="G51" s="2" t="e" vm="5">
        <v>#VALUE!</v>
      </c>
      <c r="H51" s="17">
        <f>IFERROR(SUMIF(FABRIKASI[No.PON],DATA_MASTER[[#This Row],[NO. PON]],FABRIKASI[Berat Fabrikasi])+SUMIF(AKSESORIS[No.PON],DATA_MASTER[[#This Row],[NO. PON]],AKSESORIS[Total Berat
Aksesories
(Kg)])+SUMIF(BNW[No.PON],DATA_MASTER[[#This Row],[NO. PON]],BNW[Total Berat Baut
(Kg)])," ")*DATA_MASTER[[#This Row],[Qty
(Unit)]]</f>
        <v>9075.5536080000038</v>
      </c>
      <c r="I51" s="53" t="s">
        <v>95</v>
      </c>
      <c r="J51" s="54" t="s">
        <v>16</v>
      </c>
      <c r="K51" s="188">
        <v>1</v>
      </c>
      <c r="L51" s="157" t="s">
        <v>120</v>
      </c>
      <c r="M51" s="215"/>
      <c r="N51" s="190">
        <v>45072</v>
      </c>
      <c r="O51" s="190">
        <v>45149</v>
      </c>
      <c r="P51" s="4">
        <f t="shared" si="3"/>
        <v>77</v>
      </c>
      <c r="Q51" s="190">
        <v>45148</v>
      </c>
      <c r="R51" s="190">
        <f t="shared" ca="1" si="2"/>
        <v>45640</v>
      </c>
      <c r="S51" s="4">
        <f ca="1">DATA_MASTER[[#This Row],[Date Finish]]-DATA_MASTER[[#This Row],[Finish Fabrikasi]]</f>
        <v>-491</v>
      </c>
      <c r="T51" s="5" t="str">
        <f ca="1">IF(DATA_MASTER[[#This Row],[Date Aktual Delivery to Site]]&lt;0,"Terlambat",IF(DATA_MASTER[[#This Row],[Date Aktual Delivery to Site]]&gt;30,"Sesuai Schedule",IF(DATA_MASTER[[#This Row],[Date Aktual Delivery to Site]]=0,"On schedule")))</f>
        <v>Terlambat</v>
      </c>
      <c r="U51" s="5" t="str">
        <f>IF(DATA_MASTER[[#This Row],[Status]]="completed","COMPLETED",IF(DATA_MASTER[[#This Row],[Status]]="RFD","WAKTU",IF(DATA_MASTER[[#This Row],[Status]]="ON GOING","PRIORITAS")))</f>
        <v>COMPLETED</v>
      </c>
      <c r="V51" s="4">
        <f>2023</f>
        <v>2023</v>
      </c>
    </row>
    <row r="52" spans="1:22" ht="31.95" customHeight="1" x14ac:dyDescent="0.3">
      <c r="A52" s="53" t="s">
        <v>528</v>
      </c>
      <c r="B52" s="54" t="s">
        <v>467</v>
      </c>
      <c r="C52" s="151">
        <v>5</v>
      </c>
      <c r="D52" s="54" t="s">
        <v>480</v>
      </c>
      <c r="E52" s="54" t="s">
        <v>470</v>
      </c>
      <c r="F52" s="54" t="s">
        <v>470</v>
      </c>
      <c r="G52" s="2" t="e" vm="5">
        <v>#VALUE!</v>
      </c>
      <c r="H52" s="17">
        <f>IFERROR(SUMIF(FABRIKASI[No.PON],DATA_MASTER[[#This Row],[NO. PON]],FABRIKASI[Berat Fabrikasi])+SUMIF(AKSESORIS[No.PON],DATA_MASTER[[#This Row],[NO. PON]],AKSESORIS[Total Berat
Aksesories
(Kg)])+SUMIF(BNW[No.PON],DATA_MASTER[[#This Row],[NO. PON]],BNW[Total Berat Baut
(Kg)])," ")*DATA_MASTER[[#This Row],[Qty
(Unit)]]</f>
        <v>54983.898040000015</v>
      </c>
      <c r="I52" s="53" t="s">
        <v>95</v>
      </c>
      <c r="J52" s="54" t="s">
        <v>16</v>
      </c>
      <c r="K52" s="188">
        <v>1</v>
      </c>
      <c r="L52" s="157" t="s">
        <v>120</v>
      </c>
      <c r="M52" s="215"/>
      <c r="N52" s="190">
        <v>45072</v>
      </c>
      <c r="O52" s="190">
        <v>45149</v>
      </c>
      <c r="P52" s="4">
        <f t="shared" si="3"/>
        <v>77</v>
      </c>
      <c r="Q52" s="190">
        <v>45148</v>
      </c>
      <c r="R52" s="190">
        <f t="shared" ca="1" si="2"/>
        <v>45640</v>
      </c>
      <c r="S52" s="4">
        <f ca="1">DATA_MASTER[[#This Row],[Date Finish]]-DATA_MASTER[[#This Row],[Finish Fabrikasi]]</f>
        <v>-491</v>
      </c>
      <c r="T52" s="5" t="str">
        <f ca="1">IF(DATA_MASTER[[#This Row],[Date Aktual Delivery to Site]]&lt;0,"Terlambat",IF(DATA_MASTER[[#This Row],[Date Aktual Delivery to Site]]&gt;30,"Sesuai Schedule",IF(DATA_MASTER[[#This Row],[Date Aktual Delivery to Site]]=0,"On schedule")))</f>
        <v>Terlambat</v>
      </c>
      <c r="U52" s="5" t="str">
        <f>IF(DATA_MASTER[[#This Row],[Status]]="completed","COMPLETED",IF(DATA_MASTER[[#This Row],[Status]]="RFD","WAKTU",IF(DATA_MASTER[[#This Row],[Status]]="ON GOING","PRIORITAS")))</f>
        <v>COMPLETED</v>
      </c>
      <c r="V52" s="4">
        <f>2023</f>
        <v>2023</v>
      </c>
    </row>
    <row r="53" spans="1:22" ht="31.95" customHeight="1" x14ac:dyDescent="0.3">
      <c r="A53" s="53" t="s">
        <v>529</v>
      </c>
      <c r="B53" s="54" t="s">
        <v>467</v>
      </c>
      <c r="C53" s="151">
        <v>3</v>
      </c>
      <c r="D53" s="54" t="s">
        <v>483</v>
      </c>
      <c r="E53" s="54" t="s">
        <v>470</v>
      </c>
      <c r="F53" s="54" t="s">
        <v>470</v>
      </c>
      <c r="G53" s="2" t="e" vm="5">
        <v>#VALUE!</v>
      </c>
      <c r="H53" s="17">
        <f>IFERROR(SUMIF(FABRIKASI[No.PON],DATA_MASTER[[#This Row],[NO. PON]],FABRIKASI[Berat Fabrikasi])+SUMIF(AKSESORIS[No.PON],DATA_MASTER[[#This Row],[NO. PON]],AKSESORIS[Total Berat
Aksesories
(Kg)])+SUMIF(BNW[No.PON],DATA_MASTER[[#This Row],[NO. PON]],BNW[Total Berat Baut
(Kg)])," ")*DATA_MASTER[[#This Row],[Qty
(Unit)]]</f>
        <v>38275.087823999995</v>
      </c>
      <c r="I53" s="53" t="s">
        <v>95</v>
      </c>
      <c r="J53" s="54" t="s">
        <v>16</v>
      </c>
      <c r="K53" s="188">
        <v>1</v>
      </c>
      <c r="L53" s="157" t="s">
        <v>120</v>
      </c>
      <c r="M53" s="215"/>
      <c r="N53" s="190">
        <v>45072</v>
      </c>
      <c r="O53" s="190">
        <v>45149</v>
      </c>
      <c r="P53" s="4">
        <f t="shared" si="3"/>
        <v>77</v>
      </c>
      <c r="Q53" s="190">
        <v>45148</v>
      </c>
      <c r="R53" s="190">
        <f t="shared" ca="1" si="2"/>
        <v>45640</v>
      </c>
      <c r="S53" s="4">
        <f ca="1">DATA_MASTER[[#This Row],[Date Finish]]-DATA_MASTER[[#This Row],[Finish Fabrikasi]]</f>
        <v>-491</v>
      </c>
      <c r="T53" s="5" t="str">
        <f ca="1">IF(DATA_MASTER[[#This Row],[Date Aktual Delivery to Site]]&lt;0,"Terlambat",IF(DATA_MASTER[[#This Row],[Date Aktual Delivery to Site]]&gt;30,"Sesuai Schedule",IF(DATA_MASTER[[#This Row],[Date Aktual Delivery to Site]]=0,"On schedule")))</f>
        <v>Terlambat</v>
      </c>
      <c r="U53" s="5" t="str">
        <f>IF(DATA_MASTER[[#This Row],[Status]]="completed","COMPLETED",IF(DATA_MASTER[[#This Row],[Status]]="RFD","WAKTU",IF(DATA_MASTER[[#This Row],[Status]]="ON GOING","PRIORITAS")))</f>
        <v>COMPLETED</v>
      </c>
      <c r="V53" s="4">
        <f>2023</f>
        <v>2023</v>
      </c>
    </row>
    <row r="54" spans="1:22" ht="31.95" customHeight="1" x14ac:dyDescent="0.3">
      <c r="A54" s="53" t="s">
        <v>530</v>
      </c>
      <c r="B54" s="54" t="s">
        <v>467</v>
      </c>
      <c r="C54" s="151">
        <v>1</v>
      </c>
      <c r="D54" s="54" t="s">
        <v>488</v>
      </c>
      <c r="E54" s="54" t="s">
        <v>470</v>
      </c>
      <c r="F54" s="54" t="s">
        <v>470</v>
      </c>
      <c r="G54" s="2" t="e" vm="5">
        <v>#VALUE!</v>
      </c>
      <c r="H54" s="17">
        <f>IFERROR(SUMIF(FABRIKASI[No.PON],DATA_MASTER[[#This Row],[NO. PON]],FABRIKASI[Berat Fabrikasi])+SUMIF(AKSESORIS[No.PON],DATA_MASTER[[#This Row],[NO. PON]],AKSESORIS[Total Berat
Aksesories
(Kg)])+SUMIF(BNW[No.PON],DATA_MASTER[[#This Row],[NO. PON]],BNW[Total Berat Baut
(Kg)])," ")*DATA_MASTER[[#This Row],[Qty
(Unit)]]</f>
        <v>15456.975608000004</v>
      </c>
      <c r="I54" s="53" t="s">
        <v>95</v>
      </c>
      <c r="J54" s="54" t="s">
        <v>16</v>
      </c>
      <c r="K54" s="188">
        <v>1</v>
      </c>
      <c r="L54" s="157" t="s">
        <v>120</v>
      </c>
      <c r="M54" s="215"/>
      <c r="N54" s="190">
        <v>45072</v>
      </c>
      <c r="O54" s="190">
        <v>45149</v>
      </c>
      <c r="P54" s="4">
        <f t="shared" si="3"/>
        <v>77</v>
      </c>
      <c r="Q54" s="190">
        <v>45148</v>
      </c>
      <c r="R54" s="190">
        <f t="shared" ca="1" si="2"/>
        <v>45640</v>
      </c>
      <c r="S54" s="4">
        <f ca="1">DATA_MASTER[[#This Row],[Date Finish]]-DATA_MASTER[[#This Row],[Finish Fabrikasi]]</f>
        <v>-491</v>
      </c>
      <c r="T54" s="5" t="str">
        <f ca="1">IF(DATA_MASTER[[#This Row],[Date Aktual Delivery to Site]]&lt;0,"Terlambat",IF(DATA_MASTER[[#This Row],[Date Aktual Delivery to Site]]&gt;30,"Sesuai Schedule",IF(DATA_MASTER[[#This Row],[Date Aktual Delivery to Site]]=0,"On schedule")))</f>
        <v>Terlambat</v>
      </c>
      <c r="U54" s="5" t="str">
        <f>IF(DATA_MASTER[[#This Row],[Status]]="completed","COMPLETED",IF(DATA_MASTER[[#This Row],[Status]]="RFD","WAKTU",IF(DATA_MASTER[[#This Row],[Status]]="ON GOING","PRIORITAS")))</f>
        <v>COMPLETED</v>
      </c>
      <c r="V54" s="4">
        <f>2023</f>
        <v>2023</v>
      </c>
    </row>
    <row r="55" spans="1:22" ht="31.95" customHeight="1" x14ac:dyDescent="0.3">
      <c r="A55" s="53" t="s">
        <v>489</v>
      </c>
      <c r="B55" s="54" t="s">
        <v>4</v>
      </c>
      <c r="C55" s="151">
        <v>1</v>
      </c>
      <c r="D55" s="54" t="s">
        <v>491</v>
      </c>
      <c r="E55" s="54" t="s">
        <v>501</v>
      </c>
      <c r="F55" s="54" t="s">
        <v>490</v>
      </c>
      <c r="G55" s="127" t="e" vm="13">
        <v>#VALUE!</v>
      </c>
      <c r="H55" s="126">
        <f>IFERROR(SUMIF(FABRIKASI[No.PON],DATA_MASTER[[#This Row],[NO. PON]],FABRIKASI[Berat Fabrikasi])+SUMIF(AKSESORIS[No.PON],DATA_MASTER[[#This Row],[NO. PON]],AKSESORIS[Total Berat
Aksesories
(Kg)])+SUMIF(BNW[No.PON],DATA_MASTER[[#This Row],[NO. PON]],BNW[Total Berat Baut
(Kg)])," ")*DATA_MASTER[[#This Row],[Qty
(Unit)]]</f>
        <v>34174.308407999997</v>
      </c>
      <c r="I55" s="53" t="s">
        <v>95</v>
      </c>
      <c r="J55" s="54" t="s">
        <v>18</v>
      </c>
      <c r="K55" s="188">
        <v>1</v>
      </c>
      <c r="L55" s="157" t="s">
        <v>120</v>
      </c>
      <c r="M55" s="215"/>
      <c r="N55" s="190">
        <v>45083</v>
      </c>
      <c r="O55" s="190">
        <v>45130</v>
      </c>
      <c r="P55" s="4">
        <f t="shared" si="3"/>
        <v>47</v>
      </c>
      <c r="Q55" s="190">
        <v>45121</v>
      </c>
      <c r="R55" s="190">
        <f t="shared" ca="1" si="2"/>
        <v>45640</v>
      </c>
      <c r="S55" s="4">
        <f ca="1">DATA_MASTER[[#This Row],[Date Finish]]-DATA_MASTER[[#This Row],[Finish Fabrikasi]]</f>
        <v>-510</v>
      </c>
      <c r="T55" s="5" t="str">
        <f ca="1">IF(DATA_MASTER[[#This Row],[Date Aktual Delivery to Site]]&lt;0,"Terlambat",IF(DATA_MASTER[[#This Row],[Date Aktual Delivery to Site]]&gt;30,"Sesuai Schedule",IF(DATA_MASTER[[#This Row],[Date Aktual Delivery to Site]]=0,"On schedule")))</f>
        <v>Terlambat</v>
      </c>
      <c r="U55" s="5" t="str">
        <f>IF(DATA_MASTER[[#This Row],[Status]]="completed","COMPLETED",IF(DATA_MASTER[[#This Row],[Status]]="RFD","WAKTU",IF(DATA_MASTER[[#This Row],[Status]]="ON GOING","PRIORITAS")))</f>
        <v>COMPLETED</v>
      </c>
      <c r="V55" s="4">
        <f>2023</f>
        <v>2023</v>
      </c>
    </row>
    <row r="56" spans="1:22" ht="31.95" customHeight="1" x14ac:dyDescent="0.3">
      <c r="A56" s="53" t="s">
        <v>498</v>
      </c>
      <c r="B56" s="54" t="s">
        <v>249</v>
      </c>
      <c r="C56" s="151">
        <v>1</v>
      </c>
      <c r="D56" s="54" t="s">
        <v>499</v>
      </c>
      <c r="E56" s="55" t="s">
        <v>502</v>
      </c>
      <c r="F56" s="54" t="s">
        <v>503</v>
      </c>
      <c r="G56" s="17" t="e" vm="14">
        <v>#VALUE!</v>
      </c>
      <c r="H56" s="126">
        <f>IFERROR(SUMIF(FABRIKASI[No.PON],DATA_MASTER[[#This Row],[NO. PON]],FABRIKASI[Berat Fabrikasi])+SUMIF(AKSESORIS[No.PON],DATA_MASTER[[#This Row],[NO. PON]],AKSESORIS[Total Berat
Aksesories
(Kg)])+SUMIF(BNW[No.PON],DATA_MASTER[[#This Row],[NO. PON]],BNW[Total Berat Baut
(Kg)])," ")*DATA_MASTER[[#This Row],[Qty
(Unit)]]</f>
        <v>11675.6</v>
      </c>
      <c r="I56" s="53" t="s">
        <v>95</v>
      </c>
      <c r="J56" s="54" t="s">
        <v>16</v>
      </c>
      <c r="K56" s="188">
        <v>1</v>
      </c>
      <c r="L56" s="162" t="s">
        <v>120</v>
      </c>
      <c r="M56" s="216"/>
      <c r="N56" s="190">
        <v>45085</v>
      </c>
      <c r="O56" s="190">
        <v>45117</v>
      </c>
      <c r="P56" s="4">
        <f t="shared" si="3"/>
        <v>32</v>
      </c>
      <c r="Q56" s="190">
        <v>45113</v>
      </c>
      <c r="R56" s="190">
        <f t="shared" ca="1" si="2"/>
        <v>45640</v>
      </c>
      <c r="S56" s="4">
        <f ca="1">DATA_MASTER[[#This Row],[Date Finish]]-DATA_MASTER[[#This Row],[Finish Fabrikasi]]</f>
        <v>-523</v>
      </c>
      <c r="T56" s="5" t="str">
        <f ca="1">IF(DATA_MASTER[[#This Row],[Date Aktual Delivery to Site]]&lt;0,"Terlambat",IF(DATA_MASTER[[#This Row],[Date Aktual Delivery to Site]]&gt;30,"Sesuai Schedule",IF(DATA_MASTER[[#This Row],[Date Aktual Delivery to Site]]=0,"On schedule")))</f>
        <v>Terlambat</v>
      </c>
      <c r="U56" s="5" t="str">
        <f>IF(DATA_MASTER[[#This Row],[Status]]="completed","COMPLETED",IF(DATA_MASTER[[#This Row],[Status]]="RFD","WAKTU",IF(DATA_MASTER[[#This Row],[Status]]="ON GOING","PRIORITAS")))</f>
        <v>COMPLETED</v>
      </c>
      <c r="V56" s="4">
        <f>2023</f>
        <v>2023</v>
      </c>
    </row>
    <row r="57" spans="1:22" ht="31.95" customHeight="1" x14ac:dyDescent="0.3">
      <c r="A57" s="53" t="s">
        <v>504</v>
      </c>
      <c r="B57" s="54" t="s">
        <v>4</v>
      </c>
      <c r="C57" s="151">
        <v>1</v>
      </c>
      <c r="D57" s="54" t="s">
        <v>491</v>
      </c>
      <c r="E57" s="55" t="s">
        <v>506</v>
      </c>
      <c r="F57" s="54" t="s">
        <v>505</v>
      </c>
      <c r="G57" s="17" t="e" vm="4">
        <v>#VALUE!</v>
      </c>
      <c r="H57" s="126">
        <f>IFERROR(SUMIF(FABRIKASI[No.PON],DATA_MASTER[[#This Row],[NO. PON]],FABRIKASI[Berat Fabrikasi])+SUMIF(AKSESORIS[No.PON],DATA_MASTER[[#This Row],[NO. PON]],AKSESORIS[Total Berat
Aksesories
(Kg)])+SUMIF(BNW[No.PON],DATA_MASTER[[#This Row],[NO. PON]],BNW[Total Berat Baut
(Kg)])," ")*DATA_MASTER[[#This Row],[Qty
(Unit)]]</f>
        <v>29572.09640799999</v>
      </c>
      <c r="I57" s="53" t="s">
        <v>95</v>
      </c>
      <c r="J57" s="54" t="s">
        <v>16</v>
      </c>
      <c r="K57" s="188">
        <v>1</v>
      </c>
      <c r="L57" s="157" t="s">
        <v>120</v>
      </c>
      <c r="M57" s="215"/>
      <c r="N57" s="190">
        <v>45086</v>
      </c>
      <c r="O57" s="190">
        <v>45133</v>
      </c>
      <c r="P57" s="4">
        <f t="shared" si="3"/>
        <v>47</v>
      </c>
      <c r="Q57" s="190">
        <v>45125</v>
      </c>
      <c r="R57" s="190">
        <f t="shared" ca="1" si="2"/>
        <v>45640</v>
      </c>
      <c r="S57" s="4">
        <f ca="1">DATA_MASTER[[#This Row],[Date Finish]]-DATA_MASTER[[#This Row],[Finish Fabrikasi]]</f>
        <v>-507</v>
      </c>
      <c r="T57" s="5" t="str">
        <f ca="1">IF(DATA_MASTER[[#This Row],[Date Aktual Delivery to Site]]&lt;0,"Terlambat",IF(DATA_MASTER[[#This Row],[Date Aktual Delivery to Site]]&gt;30,"Sesuai Schedule",IF(DATA_MASTER[[#This Row],[Date Aktual Delivery to Site]]=0,"On schedule")))</f>
        <v>Terlambat</v>
      </c>
      <c r="U57" s="5" t="str">
        <f>IF(DATA_MASTER[[#This Row],[Status]]="completed","COMPLETED",IF(DATA_MASTER[[#This Row],[Status]]="RFD","WAKTU",IF(DATA_MASTER[[#This Row],[Status]]="ON GOING","PRIORITAS")))</f>
        <v>COMPLETED</v>
      </c>
      <c r="V57" s="4">
        <f>2023</f>
        <v>2023</v>
      </c>
    </row>
    <row r="58" spans="1:22" ht="31.95" customHeight="1" x14ac:dyDescent="0.3">
      <c r="A58" s="53" t="s">
        <v>508</v>
      </c>
      <c r="B58" s="54" t="s">
        <v>509</v>
      </c>
      <c r="C58" s="151">
        <v>1</v>
      </c>
      <c r="D58" s="54" t="s">
        <v>510</v>
      </c>
      <c r="E58" s="55" t="s">
        <v>511</v>
      </c>
      <c r="F58" s="54" t="s">
        <v>512</v>
      </c>
      <c r="G58" s="17" t="s">
        <v>513</v>
      </c>
      <c r="H58" s="126">
        <f>IFERROR(SUMIF(FABRIKASI[No.PON],DATA_MASTER[[#This Row],[NO. PON]],FABRIKASI[Berat Fabrikasi])+SUMIF(AKSESORIS[No.PON],DATA_MASTER[[#This Row],[NO. PON]],AKSESORIS[Total Berat
Aksesories
(Kg)])+SUMIF(BNW[No.PON],DATA_MASTER[[#This Row],[NO. PON]],BNW[Total Berat Baut
(Kg)])," ")*DATA_MASTER[[#This Row],[Qty
(Unit)]]</f>
        <v>3854.33</v>
      </c>
      <c r="I58" s="53" t="s">
        <v>95</v>
      </c>
      <c r="J58" s="54" t="s">
        <v>18</v>
      </c>
      <c r="K58" s="188">
        <v>1</v>
      </c>
      <c r="L58" s="157" t="s">
        <v>120</v>
      </c>
      <c r="M58" s="215"/>
      <c r="N58" s="190">
        <v>45084</v>
      </c>
      <c r="O58" s="190">
        <v>45099</v>
      </c>
      <c r="P58" s="4">
        <f t="shared" si="3"/>
        <v>15</v>
      </c>
      <c r="Q58" s="190">
        <v>0</v>
      </c>
      <c r="R58" s="190">
        <f t="shared" ca="1" si="2"/>
        <v>45640</v>
      </c>
      <c r="S58" s="4">
        <f ca="1">DATA_MASTER[[#This Row],[Date Finish]]-DATA_MASTER[[#This Row],[Finish Fabrikasi]]</f>
        <v>-541</v>
      </c>
      <c r="T58" s="5" t="str">
        <f ca="1">IF(DATA_MASTER[[#This Row],[Date Aktual Delivery to Site]]&lt;0,"Terlambat",IF(DATA_MASTER[[#This Row],[Date Aktual Delivery to Site]]&gt;30,"Sesuai Schedule",IF(DATA_MASTER[[#This Row],[Date Aktual Delivery to Site]]=0,"On schedule")))</f>
        <v>Terlambat</v>
      </c>
      <c r="U58" s="5" t="str">
        <f>IF(DATA_MASTER[[#This Row],[Status]]="completed","COMPLETED",IF(DATA_MASTER[[#This Row],[Status]]="RFD","WAKTU",IF(DATA_MASTER[[#This Row],[Status]]="ON GOING","PRIORITAS")))</f>
        <v>COMPLETED</v>
      </c>
      <c r="V58" s="4">
        <f>2023</f>
        <v>2023</v>
      </c>
    </row>
    <row r="59" spans="1:22" ht="31.95" customHeight="1" x14ac:dyDescent="0.3">
      <c r="A59" s="53" t="s">
        <v>514</v>
      </c>
      <c r="B59" s="54" t="s">
        <v>4</v>
      </c>
      <c r="C59" s="151">
        <v>1</v>
      </c>
      <c r="D59" s="54" t="s">
        <v>517</v>
      </c>
      <c r="E59" s="55" t="s">
        <v>516</v>
      </c>
      <c r="F59" s="54" t="s">
        <v>515</v>
      </c>
      <c r="G59" s="17" t="e" vm="10">
        <v>#VALUE!</v>
      </c>
      <c r="H59" s="126">
        <f>IFERROR(SUMIF(FABRIKASI[No.PON],DATA_MASTER[[#This Row],[NO. PON]],FABRIKASI[Berat Fabrikasi])+SUMIF(AKSESORIS[No.PON],DATA_MASTER[[#This Row],[NO. PON]],AKSESORIS[Total Berat
Aksesories
(Kg)])+SUMIF(BNW[No.PON],DATA_MASTER[[#This Row],[NO. PON]],BNW[Total Berat Baut
(Kg)])," ")*DATA_MASTER[[#This Row],[Qty
(Unit)]]</f>
        <v>64277.925858000002</v>
      </c>
      <c r="I59" s="53" t="s">
        <v>95</v>
      </c>
      <c r="J59" s="54" t="s">
        <v>16</v>
      </c>
      <c r="K59" s="188">
        <v>1</v>
      </c>
      <c r="L59" s="162" t="s">
        <v>120</v>
      </c>
      <c r="M59" s="216"/>
      <c r="N59" s="190">
        <v>45086</v>
      </c>
      <c r="O59" s="190">
        <v>45136</v>
      </c>
      <c r="P59" s="4">
        <f t="shared" si="3"/>
        <v>50</v>
      </c>
      <c r="Q59" s="190">
        <v>45152</v>
      </c>
      <c r="R59" s="190">
        <f t="shared" ca="1" si="2"/>
        <v>45640</v>
      </c>
      <c r="S59" s="4">
        <f ca="1">DATA_MASTER[[#This Row],[Date Finish]]-DATA_MASTER[[#This Row],[Finish Fabrikasi]]</f>
        <v>-504</v>
      </c>
      <c r="T59" s="5" t="str">
        <f ca="1">IF(DATA_MASTER[[#This Row],[Date Aktual Delivery to Site]]&lt;0,"Terlambat",IF(DATA_MASTER[[#This Row],[Date Aktual Delivery to Site]]&gt;30,"Sesuai Schedule",IF(DATA_MASTER[[#This Row],[Date Aktual Delivery to Site]]=0,"On schedule")))</f>
        <v>Terlambat</v>
      </c>
      <c r="U59" s="5" t="str">
        <f>IF(DATA_MASTER[[#This Row],[Status]]="completed","COMPLETED",IF(DATA_MASTER[[#This Row],[Status]]="RFD","WAKTU",IF(DATA_MASTER[[#This Row],[Status]]="ON GOING","PRIORITAS")))</f>
        <v>COMPLETED</v>
      </c>
      <c r="V59" s="4">
        <f>2023</f>
        <v>2023</v>
      </c>
    </row>
    <row r="60" spans="1:22" ht="31.95" customHeight="1" x14ac:dyDescent="0.3">
      <c r="A60" s="53" t="s">
        <v>518</v>
      </c>
      <c r="B60" s="54" t="s">
        <v>4</v>
      </c>
      <c r="C60" s="151">
        <v>1</v>
      </c>
      <c r="D60" s="54" t="s">
        <v>349</v>
      </c>
      <c r="E60" s="54" t="s">
        <v>520</v>
      </c>
      <c r="F60" s="54" t="s">
        <v>519</v>
      </c>
      <c r="G60" s="17" t="e" vm="15">
        <v>#VALUE!</v>
      </c>
      <c r="H60" s="126">
        <f>IFERROR(SUMIF(FABRIKASI[No.PON],DATA_MASTER[[#This Row],[NO. PON]],FABRIKASI[Berat Fabrikasi])+SUMIF(AKSESORIS[No.PON],DATA_MASTER[[#This Row],[NO. PON]],AKSESORIS[Total Berat
Aksesories
(Kg)])+SUMIF(BNW[No.PON],DATA_MASTER[[#This Row],[NO. PON]],BNW[Total Berat Baut
(Kg)])," ")*DATA_MASTER[[#This Row],[Qty
(Unit)]]</f>
        <v>34214.793104000004</v>
      </c>
      <c r="I60" s="53" t="s">
        <v>95</v>
      </c>
      <c r="J60" s="54" t="s">
        <v>18</v>
      </c>
      <c r="K60" s="188">
        <v>1</v>
      </c>
      <c r="L60" s="162" t="s">
        <v>120</v>
      </c>
      <c r="M60" s="216"/>
      <c r="N60" s="190">
        <v>45089</v>
      </c>
      <c r="O60" s="190">
        <v>45136</v>
      </c>
      <c r="P60" s="4">
        <f t="shared" si="3"/>
        <v>47</v>
      </c>
      <c r="Q60" s="190">
        <v>45149</v>
      </c>
      <c r="R60" s="190">
        <f t="shared" ca="1" si="2"/>
        <v>45640</v>
      </c>
      <c r="S60" s="4">
        <f ca="1">DATA_MASTER[[#This Row],[Date Finish]]-DATA_MASTER[[#This Row],[Finish Fabrikasi]]</f>
        <v>-504</v>
      </c>
      <c r="T60" s="5" t="str">
        <f ca="1">IF(DATA_MASTER[[#This Row],[Date Aktual Delivery to Site]]&lt;0,"Terlambat",IF(DATA_MASTER[[#This Row],[Date Aktual Delivery to Site]]&gt;30,"Sesuai Schedule",IF(DATA_MASTER[[#This Row],[Date Aktual Delivery to Site]]=0,"On schedule")))</f>
        <v>Terlambat</v>
      </c>
      <c r="U60" s="5" t="str">
        <f>IF(DATA_MASTER[[#This Row],[Status]]="completed","COMPLETED",IF(DATA_MASTER[[#This Row],[Status]]="RFD","WAKTU",IF(DATA_MASTER[[#This Row],[Status]]="ON GOING","PRIORITAS")))</f>
        <v>COMPLETED</v>
      </c>
      <c r="V60" s="4">
        <f>2023</f>
        <v>2023</v>
      </c>
    </row>
    <row r="61" spans="1:22" ht="31.95" customHeight="1" x14ac:dyDescent="0.3">
      <c r="A61" s="53" t="s">
        <v>548</v>
      </c>
      <c r="B61" s="54" t="s">
        <v>4</v>
      </c>
      <c r="C61" s="151">
        <v>1</v>
      </c>
      <c r="D61" s="54" t="s">
        <v>549</v>
      </c>
      <c r="E61" s="54" t="s">
        <v>550</v>
      </c>
      <c r="F61" s="54" t="s">
        <v>551</v>
      </c>
      <c r="G61" s="17" t="e" vm="16">
        <v>#VALUE!</v>
      </c>
      <c r="H61" s="126">
        <f>IFERROR(SUMIF(FABRIKASI[No.PON],DATA_MASTER[[#This Row],[NO. PON]],FABRIKASI[Berat Fabrikasi])+SUMIF(AKSESORIS[No.PON],DATA_MASTER[[#This Row],[NO. PON]],AKSESORIS[Total Berat
Aksesories
(Kg)])+SUMIF(BNW[No.PON],DATA_MASTER[[#This Row],[NO. PON]],BNW[Total Berat Baut
(Kg)])," ")*DATA_MASTER[[#This Row],[Qty
(Unit)]]</f>
        <v>68400.295198000007</v>
      </c>
      <c r="I61" s="53" t="s">
        <v>95</v>
      </c>
      <c r="J61" s="54" t="s">
        <v>16</v>
      </c>
      <c r="K61" s="188">
        <v>1</v>
      </c>
      <c r="L61" s="162" t="s">
        <v>120</v>
      </c>
      <c r="M61" s="216"/>
      <c r="N61" s="190">
        <v>45091</v>
      </c>
      <c r="O61" s="190">
        <v>45141</v>
      </c>
      <c r="P61" s="4">
        <f t="shared" si="3"/>
        <v>50</v>
      </c>
      <c r="Q61" s="190">
        <v>45136</v>
      </c>
      <c r="R61" s="190">
        <f t="shared" ca="1" si="2"/>
        <v>45640</v>
      </c>
      <c r="S61" s="4">
        <f ca="1">DATA_MASTER[[#This Row],[Date Finish]]-DATA_MASTER[[#This Row],[Finish Fabrikasi]]</f>
        <v>-499</v>
      </c>
      <c r="T61" s="5" t="str">
        <f ca="1">IF(DATA_MASTER[[#This Row],[Date Aktual Delivery to Site]]&lt;0,"Terlambat",IF(DATA_MASTER[[#This Row],[Date Aktual Delivery to Site]]&gt;30,"Sesuai Schedule",IF(DATA_MASTER[[#This Row],[Date Aktual Delivery to Site]]=0,"On schedule")))</f>
        <v>Terlambat</v>
      </c>
      <c r="U61" s="5" t="str">
        <f>IF(DATA_MASTER[[#This Row],[Status]]="completed","COMPLETED",IF(DATA_MASTER[[#This Row],[Status]]="RFD","WAKTU",IF(DATA_MASTER[[#This Row],[Status]]="ON GOING","PRIORITAS")))</f>
        <v>COMPLETED</v>
      </c>
      <c r="V61" s="4">
        <f>2023</f>
        <v>2023</v>
      </c>
    </row>
    <row r="62" spans="1:22" ht="31.95" customHeight="1" x14ac:dyDescent="0.3">
      <c r="A62" s="53" t="s">
        <v>552</v>
      </c>
      <c r="B62" s="54" t="s">
        <v>4</v>
      </c>
      <c r="C62" s="151">
        <v>1</v>
      </c>
      <c r="D62" s="54" t="s">
        <v>553</v>
      </c>
      <c r="E62" s="54" t="s">
        <v>554</v>
      </c>
      <c r="F62" s="54" t="s">
        <v>551</v>
      </c>
      <c r="G62" s="17" t="e" vm="16">
        <v>#VALUE!</v>
      </c>
      <c r="H62" s="126">
        <f>IFERROR(SUMIF(FABRIKASI[No.PON],DATA_MASTER[[#This Row],[NO. PON]],FABRIKASI[Berat Fabrikasi])+SUMIF(AKSESORIS[No.PON],DATA_MASTER[[#This Row],[NO. PON]],AKSESORIS[Total Berat
Aksesories
(Kg)])+SUMIF(BNW[No.PON],DATA_MASTER[[#This Row],[NO. PON]],BNW[Total Berat Baut
(Kg)])," ")*DATA_MASTER[[#This Row],[Qty
(Unit)]]</f>
        <v>25519.303197999998</v>
      </c>
      <c r="I62" s="53" t="s">
        <v>95</v>
      </c>
      <c r="J62" s="54" t="s">
        <v>16</v>
      </c>
      <c r="K62" s="188">
        <v>1</v>
      </c>
      <c r="L62" s="157" t="s">
        <v>120</v>
      </c>
      <c r="M62" s="215"/>
      <c r="N62" s="190">
        <v>45091</v>
      </c>
      <c r="O62" s="190">
        <v>45148</v>
      </c>
      <c r="P62" s="4">
        <f t="shared" si="3"/>
        <v>57</v>
      </c>
      <c r="Q62" s="190">
        <v>45154</v>
      </c>
      <c r="R62" s="190">
        <f t="shared" ca="1" si="2"/>
        <v>45640</v>
      </c>
      <c r="S62" s="4">
        <f ca="1">DATA_MASTER[[#This Row],[Date Finish]]-DATA_MASTER[[#This Row],[Finish Fabrikasi]]</f>
        <v>-492</v>
      </c>
      <c r="T62" s="5" t="str">
        <f ca="1">IF(DATA_MASTER[[#This Row],[Date Aktual Delivery to Site]]&lt;0,"Terlambat",IF(DATA_MASTER[[#This Row],[Date Aktual Delivery to Site]]&gt;30,"Sesuai Schedule",IF(DATA_MASTER[[#This Row],[Date Aktual Delivery to Site]]=0,"On schedule")))</f>
        <v>Terlambat</v>
      </c>
      <c r="U62" s="5" t="str">
        <f>IF(DATA_MASTER[[#This Row],[Status]]="completed","COMPLETED",IF(DATA_MASTER[[#This Row],[Status]]="RFD","WAKTU",IF(DATA_MASTER[[#This Row],[Status]]="ON GOING","PRIORITAS")))</f>
        <v>COMPLETED</v>
      </c>
      <c r="V62" s="4">
        <f>2023</f>
        <v>2023</v>
      </c>
    </row>
    <row r="63" spans="1:22" ht="31.95" customHeight="1" x14ac:dyDescent="0.3">
      <c r="A63" s="53" t="s">
        <v>566</v>
      </c>
      <c r="B63" s="54" t="s">
        <v>249</v>
      </c>
      <c r="C63" s="151">
        <v>2</v>
      </c>
      <c r="D63" s="54" t="s">
        <v>567</v>
      </c>
      <c r="E63" s="54" t="s">
        <v>569</v>
      </c>
      <c r="F63" s="54" t="s">
        <v>568</v>
      </c>
      <c r="G63" s="17" t="e" vm="15">
        <v>#VALUE!</v>
      </c>
      <c r="H63" s="126">
        <f>IFERROR(SUMIF(FABRIKASI[No.PON],DATA_MASTER[[#This Row],[NO. PON]],FABRIKASI[Berat Fabrikasi])+SUMIF(AKSESORIS[No.PON],DATA_MASTER[[#This Row],[NO. PON]],AKSESORIS[Total Berat
Aksesories
(Kg)])+SUMIF(BNW[No.PON],DATA_MASTER[[#This Row],[NO. PON]],BNW[Total Berat Baut
(Kg)])," ")*DATA_MASTER[[#This Row],[Qty
(Unit)]]</f>
        <v>191888.75684800002</v>
      </c>
      <c r="I63" s="53" t="s">
        <v>95</v>
      </c>
      <c r="J63" s="54" t="s">
        <v>18</v>
      </c>
      <c r="K63" s="188">
        <v>1</v>
      </c>
      <c r="L63" s="162" t="s">
        <v>120</v>
      </c>
      <c r="M63" s="216"/>
      <c r="N63" s="190">
        <v>45096</v>
      </c>
      <c r="O63" s="190">
        <v>45166</v>
      </c>
      <c r="P63" s="4">
        <f t="shared" si="3"/>
        <v>70</v>
      </c>
      <c r="Q63" s="190">
        <v>45161</v>
      </c>
      <c r="R63" s="190">
        <f t="shared" ca="1" si="2"/>
        <v>45640</v>
      </c>
      <c r="S63" s="4">
        <f ca="1">DATA_MASTER[[#This Row],[Date Finish]]-DATA_MASTER[[#This Row],[Finish Fabrikasi]]</f>
        <v>-474</v>
      </c>
      <c r="T63" s="5" t="str">
        <f ca="1">IF(DATA_MASTER[[#This Row],[Date Aktual Delivery to Site]]&lt;0,"Terlambat",IF(DATA_MASTER[[#This Row],[Date Aktual Delivery to Site]]&gt;30,"Sesuai Schedule",IF(DATA_MASTER[[#This Row],[Date Aktual Delivery to Site]]=0,"On schedule")))</f>
        <v>Terlambat</v>
      </c>
      <c r="U63" s="5" t="str">
        <f>IF(DATA_MASTER[[#This Row],[Status]]="completed","COMPLETED",IF(DATA_MASTER[[#This Row],[Status]]="RFD","WAKTU",IF(DATA_MASTER[[#This Row],[Status]]="ON GOING","PRIORITAS")))</f>
        <v>COMPLETED</v>
      </c>
      <c r="V63" s="4">
        <f>2023</f>
        <v>2023</v>
      </c>
    </row>
    <row r="64" spans="1:22" ht="31.95" customHeight="1" x14ac:dyDescent="0.3">
      <c r="A64" s="53" t="s">
        <v>839</v>
      </c>
      <c r="B64" s="54" t="s">
        <v>68</v>
      </c>
      <c r="C64" s="151">
        <v>1</v>
      </c>
      <c r="D64" s="54" t="s">
        <v>840</v>
      </c>
      <c r="E64" s="54" t="s">
        <v>841</v>
      </c>
      <c r="F64" s="54" t="s">
        <v>551</v>
      </c>
      <c r="G64" s="17" t="s">
        <v>842</v>
      </c>
      <c r="H64" s="126">
        <f>IFERROR(SUMIF(FABRIKASI[No.PON],DATA_MASTER[[#This Row],[NO. PON]],FABRIKASI[Berat Fabrikasi])+SUMIF(AKSESORIS[No.PON],DATA_MASTER[[#This Row],[NO. PON]],AKSESORIS[Total Berat
Aksesories
(Kg)])+SUMIF(BNW[No.PON],DATA_MASTER[[#This Row],[NO. PON]],BNW[Total Berat Baut
(Kg)])," ")*DATA_MASTER[[#This Row],[Qty
(Unit)]]</f>
        <v>44161.22</v>
      </c>
      <c r="I64" s="53" t="s">
        <v>95</v>
      </c>
      <c r="J64" s="54" t="s">
        <v>16</v>
      </c>
      <c r="K64" s="188">
        <v>1</v>
      </c>
      <c r="L64" s="162" t="s">
        <v>120</v>
      </c>
      <c r="M64" s="216"/>
      <c r="N64" s="190">
        <v>45140</v>
      </c>
      <c r="O64" s="190">
        <v>45186</v>
      </c>
      <c r="P64" s="4">
        <f t="shared" si="3"/>
        <v>46</v>
      </c>
      <c r="Q64" s="190">
        <v>0</v>
      </c>
      <c r="R64" s="190">
        <f t="shared" ca="1" si="2"/>
        <v>45640</v>
      </c>
      <c r="S64" s="4">
        <f ca="1">DATA_MASTER[[#This Row],[Date Finish]]-DATA_MASTER[[#This Row],[Finish Fabrikasi]]</f>
        <v>-454</v>
      </c>
      <c r="T64" s="187" t="str">
        <f ca="1">IF(DATA_MASTER[[#This Row],[Date Aktual Delivery to Site]]&lt;0,"Terlambat",IF(DATA_MASTER[[#This Row],[Date Aktual Delivery to Site]]&gt;30,"Sesuai Schedule",IF(DATA_MASTER[[#This Row],[Date Aktual Delivery to Site]]=0,"On schedule")))</f>
        <v>Terlambat</v>
      </c>
      <c r="U64" s="187" t="str">
        <f>IF(DATA_MASTER[[#This Row],[Status]]="completed","COMPLETED",IF(DATA_MASTER[[#This Row],[Status]]="RFD","WAKTU",IF(DATA_MASTER[[#This Row],[Status]]="ON GOING","PRIORITAS")))</f>
        <v>COMPLETED</v>
      </c>
      <c r="V64" s="4">
        <f>2023</f>
        <v>2023</v>
      </c>
    </row>
    <row r="65" spans="1:22" ht="31.95" customHeight="1" x14ac:dyDescent="0.3">
      <c r="A65" s="53" t="s">
        <v>585</v>
      </c>
      <c r="B65" s="54" t="s">
        <v>4</v>
      </c>
      <c r="C65" s="151">
        <v>1</v>
      </c>
      <c r="D65" s="54" t="s">
        <v>586</v>
      </c>
      <c r="E65" s="54" t="s">
        <v>587</v>
      </c>
      <c r="F65" s="54" t="s">
        <v>588</v>
      </c>
      <c r="G65" s="17" t="e" vm="17">
        <v>#VALUE!</v>
      </c>
      <c r="H65" s="126">
        <f>IFERROR(SUMIF(FABRIKASI[No.PON],DATA_MASTER[[#This Row],[NO. PON]],FABRIKASI[Berat Fabrikasi])+SUMIF(AKSESORIS[No.PON],DATA_MASTER[[#This Row],[NO. PON]],AKSESORIS[Total Berat
Aksesories
(Kg)])+SUMIF(BNW[No.PON],DATA_MASTER[[#This Row],[NO. PON]],BNW[Total Berat Baut
(Kg)])," ")*DATA_MASTER[[#This Row],[Qty
(Unit)]]</f>
        <v>19480.028600000001</v>
      </c>
      <c r="I65" s="53" t="s">
        <v>95</v>
      </c>
      <c r="J65" s="54" t="s">
        <v>16</v>
      </c>
      <c r="K65" s="188">
        <v>1</v>
      </c>
      <c r="L65" s="157" t="s">
        <v>120</v>
      </c>
      <c r="M65" s="215"/>
      <c r="N65" s="190">
        <v>45096</v>
      </c>
      <c r="O65" s="190">
        <v>45226</v>
      </c>
      <c r="P65" s="4">
        <f t="shared" si="3"/>
        <v>130</v>
      </c>
      <c r="Q65" s="190">
        <v>45140</v>
      </c>
      <c r="R65" s="190">
        <f t="shared" ca="1" si="2"/>
        <v>45640</v>
      </c>
      <c r="S65" s="4">
        <f ca="1">DATA_MASTER[[#This Row],[Date Finish]]-DATA_MASTER[[#This Row],[Finish Fabrikasi]]</f>
        <v>-414</v>
      </c>
      <c r="T65" s="5" t="str">
        <f ca="1">IF(DATA_MASTER[[#This Row],[Date Aktual Delivery to Site]]&lt;0,"Terlambat",IF(DATA_MASTER[[#This Row],[Date Aktual Delivery to Site]]&gt;30,"Sesuai Schedule",IF(DATA_MASTER[[#This Row],[Date Aktual Delivery to Site]]=0,"On schedule")))</f>
        <v>Terlambat</v>
      </c>
      <c r="U65" s="5" t="str">
        <f>IF(DATA_MASTER[[#This Row],[Status]]="completed","COMPLETED",IF(DATA_MASTER[[#This Row],[Status]]="RFD","WAKTU",IF(DATA_MASTER[[#This Row],[Status]]="ON GOING","PRIORITAS")))</f>
        <v>COMPLETED</v>
      </c>
      <c r="V65" s="4">
        <f>2023</f>
        <v>2023</v>
      </c>
    </row>
    <row r="66" spans="1:22" ht="31.95" customHeight="1" x14ac:dyDescent="0.3">
      <c r="A66" s="53" t="s">
        <v>589</v>
      </c>
      <c r="B66" s="54" t="s">
        <v>4</v>
      </c>
      <c r="C66" s="151">
        <v>1</v>
      </c>
      <c r="D66" s="54" t="s">
        <v>517</v>
      </c>
      <c r="E66" s="54" t="s">
        <v>590</v>
      </c>
      <c r="F66" s="54" t="s">
        <v>591</v>
      </c>
      <c r="G66" s="17" t="e" vm="18">
        <v>#VALUE!</v>
      </c>
      <c r="H66" s="126">
        <f>IFERROR(SUMIF(FABRIKASI[No.PON],DATA_MASTER[[#This Row],[NO. PON]],FABRIKASI[Berat Fabrikasi])+SUMIF(AKSESORIS[No.PON],DATA_MASTER[[#This Row],[NO. PON]],AKSESORIS[Total Berat
Aksesories
(Kg)])+SUMIF(BNW[No.PON],DATA_MASTER[[#This Row],[NO. PON]],BNW[Total Berat Baut
(Kg)])," ")*DATA_MASTER[[#This Row],[Qty
(Unit)]]</f>
        <v>39989.344187999995</v>
      </c>
      <c r="I66" s="53" t="s">
        <v>95</v>
      </c>
      <c r="J66" s="54" t="s">
        <v>23</v>
      </c>
      <c r="K66" s="188">
        <v>1</v>
      </c>
      <c r="L66" s="162" t="s">
        <v>120</v>
      </c>
      <c r="M66" s="216"/>
      <c r="N66" s="190">
        <v>45103</v>
      </c>
      <c r="O66" s="190">
        <v>45147</v>
      </c>
      <c r="P66" s="4">
        <f t="shared" si="3"/>
        <v>44</v>
      </c>
      <c r="Q66" s="190" t="s">
        <v>985</v>
      </c>
      <c r="R66" s="190">
        <f t="shared" ca="1" si="2"/>
        <v>45640</v>
      </c>
      <c r="S66" s="4">
        <f ca="1">DATA_MASTER[[#This Row],[Date Finish]]-DATA_MASTER[[#This Row],[Finish Fabrikasi]]</f>
        <v>-493</v>
      </c>
      <c r="T66" s="5" t="str">
        <f ca="1">IF(DATA_MASTER[[#This Row],[Date Aktual Delivery to Site]]&lt;0,"Terlambat",IF(DATA_MASTER[[#This Row],[Date Aktual Delivery to Site]]&gt;30,"Sesuai Schedule",IF(DATA_MASTER[[#This Row],[Date Aktual Delivery to Site]]=0,"On schedule")))</f>
        <v>Terlambat</v>
      </c>
      <c r="U66" s="5" t="str">
        <f>IF(DATA_MASTER[[#This Row],[Status]]="completed","COMPLETED",IF(DATA_MASTER[[#This Row],[Status]]="RFD","WAKTU",IF(DATA_MASTER[[#This Row],[Status]]="ON GOING","PRIORITAS")))</f>
        <v>COMPLETED</v>
      </c>
      <c r="V66" s="4">
        <f>2023</f>
        <v>2023</v>
      </c>
    </row>
    <row r="67" spans="1:22" ht="31.95" customHeight="1" x14ac:dyDescent="0.3">
      <c r="A67" s="53" t="s">
        <v>669</v>
      </c>
      <c r="B67" s="54" t="s">
        <v>670</v>
      </c>
      <c r="C67" s="151">
        <v>1</v>
      </c>
      <c r="D67" s="54" t="s">
        <v>671</v>
      </c>
      <c r="E67" s="54" t="s">
        <v>590</v>
      </c>
      <c r="F67" s="54" t="s">
        <v>591</v>
      </c>
      <c r="G67" s="17" t="e" vm="18">
        <v>#VALUE!</v>
      </c>
      <c r="H67" s="126">
        <f>IFERROR(SUMIF(FABRIKASI[No.PON],DATA_MASTER[[#This Row],[NO. PON]],FABRIKASI[Berat Fabrikasi])+SUMIF(AKSESORIS[No.PON],DATA_MASTER[[#This Row],[NO. PON]],AKSESORIS[Total Berat
Aksesories
(Kg)])+SUMIF(BNW[No.PON],DATA_MASTER[[#This Row],[NO. PON]],BNW[Total Berat Baut
(Kg)])," ")*DATA_MASTER[[#This Row],[Qty
(Unit)]]</f>
        <v>6708.2150000000011</v>
      </c>
      <c r="I67" s="53" t="s">
        <v>95</v>
      </c>
      <c r="J67" s="54" t="s">
        <v>23</v>
      </c>
      <c r="K67" s="188">
        <v>1</v>
      </c>
      <c r="L67" s="162" t="s">
        <v>120</v>
      </c>
      <c r="M67" s="216"/>
      <c r="N67" s="190">
        <v>45103</v>
      </c>
      <c r="O67" s="190">
        <v>45164</v>
      </c>
      <c r="P67" s="4">
        <f t="shared" si="3"/>
        <v>61</v>
      </c>
      <c r="Q67" s="190">
        <v>0</v>
      </c>
      <c r="R67" s="190">
        <f t="shared" ca="1" si="2"/>
        <v>45640</v>
      </c>
      <c r="S67" s="4">
        <f ca="1">DATA_MASTER[[#This Row],[Date Finish]]-DATA_MASTER[[#This Row],[Finish Fabrikasi]]</f>
        <v>-476</v>
      </c>
      <c r="T67" s="187" t="str">
        <f ca="1">IF(DATA_MASTER[[#This Row],[Date Aktual Delivery to Site]]&lt;0,"Terlambat",IF(DATA_MASTER[[#This Row],[Date Aktual Delivery to Site]]&gt;30,"Sesuai Schedule",IF(DATA_MASTER[[#This Row],[Date Aktual Delivery to Site]]=0,"On schedule")))</f>
        <v>Terlambat</v>
      </c>
      <c r="U67" s="187" t="str">
        <f>IF(DATA_MASTER[[#This Row],[Status]]="completed","COMPLETED",IF(DATA_MASTER[[#This Row],[Status]]="RFD","WAKTU",IF(DATA_MASTER[[#This Row],[Status]]="ON GOING","PRIORITAS")))</f>
        <v>COMPLETED</v>
      </c>
      <c r="V67" s="4">
        <f>2023</f>
        <v>2023</v>
      </c>
    </row>
    <row r="68" spans="1:22" ht="31.95" customHeight="1" x14ac:dyDescent="0.3">
      <c r="A68" s="53" t="s">
        <v>730</v>
      </c>
      <c r="B68" s="54" t="s">
        <v>68</v>
      </c>
      <c r="C68" s="151">
        <v>1</v>
      </c>
      <c r="D68" s="54" t="s">
        <v>731</v>
      </c>
      <c r="E68" s="54" t="s">
        <v>732</v>
      </c>
      <c r="F68" s="54" t="s">
        <v>720</v>
      </c>
      <c r="G68" s="17" t="e" vm="19">
        <v>#VALUE!</v>
      </c>
      <c r="H68" s="126">
        <f>IFERROR(SUMIF(FABRIKASI[No.PON],DATA_MASTER[[#This Row],[NO. PON]],FABRIKASI[Berat Fabrikasi])+SUMIF(AKSESORIS[No.PON],DATA_MASTER[[#This Row],[NO. PON]],AKSESORIS[Total Berat
Aksesories
(Kg)])+SUMIF(BNW[No.PON],DATA_MASTER[[#This Row],[NO. PON]],BNW[Total Berat Baut
(Kg)])," ")*DATA_MASTER[[#This Row],[Qty
(Unit)]]</f>
        <v>30913.558621630888</v>
      </c>
      <c r="I68" s="53" t="s">
        <v>95</v>
      </c>
      <c r="J68" s="54" t="s">
        <v>18</v>
      </c>
      <c r="K68" s="188">
        <v>1</v>
      </c>
      <c r="L68" s="162" t="s">
        <v>120</v>
      </c>
      <c r="M68" s="215"/>
      <c r="N68" s="190" t="s">
        <v>702</v>
      </c>
      <c r="O68" s="190">
        <v>45086</v>
      </c>
      <c r="P68" s="4">
        <f t="shared" si="3"/>
        <v>-47</v>
      </c>
      <c r="Q68" s="190">
        <v>0</v>
      </c>
      <c r="R68" s="190">
        <f t="shared" ca="1" si="2"/>
        <v>45640</v>
      </c>
      <c r="S68" s="4">
        <f ca="1">DATA_MASTER[[#This Row],[Date Finish]]-DATA_MASTER[[#This Row],[Finish Fabrikasi]]</f>
        <v>-554</v>
      </c>
      <c r="T68" s="5" t="str">
        <f ca="1">IF(DATA_MASTER[[#This Row],[Date Aktual Delivery to Site]]&lt;0,"Terlambat",IF(DATA_MASTER[[#This Row],[Date Aktual Delivery to Site]]&gt;30,"Sesuai Schedule",IF(DATA_MASTER[[#This Row],[Date Aktual Delivery to Site]]=0,"On schedule")))</f>
        <v>Terlambat</v>
      </c>
      <c r="U68" s="5" t="str">
        <f>IF(DATA_MASTER[[#This Row],[Status]]="completed","COMPLETED",IF(DATA_MASTER[[#This Row],[Status]]="RFD","WAKTU",IF(DATA_MASTER[[#This Row],[Status]]="ON GOING","PRIORITAS")))</f>
        <v>COMPLETED</v>
      </c>
      <c r="V68" s="4">
        <f>2023</f>
        <v>2023</v>
      </c>
    </row>
    <row r="69" spans="1:22" ht="31.95" customHeight="1" x14ac:dyDescent="0.3">
      <c r="A69" s="53" t="s">
        <v>718</v>
      </c>
      <c r="B69" s="54" t="s">
        <v>4</v>
      </c>
      <c r="C69" s="151">
        <v>1</v>
      </c>
      <c r="D69" s="54" t="s">
        <v>20</v>
      </c>
      <c r="E69" s="54" t="s">
        <v>719</v>
      </c>
      <c r="F69" s="54" t="s">
        <v>720</v>
      </c>
      <c r="G69" s="17" t="e" vm="19">
        <v>#VALUE!</v>
      </c>
      <c r="H69" s="126">
        <f>IFERROR(SUMIF(FABRIKASI[No.PON],DATA_MASTER[[#This Row],[NO. PON]],FABRIKASI[Berat Fabrikasi])+SUMIF(AKSESORIS[No.PON],DATA_MASTER[[#This Row],[NO. PON]],AKSESORIS[Total Berat
Aksesories
(Kg)])+SUMIF(BNW[No.PON],DATA_MASTER[[#This Row],[NO. PON]],BNW[Total Berat Baut
(Kg)])," ")*DATA_MASTER[[#This Row],[Qty
(Unit)]]</f>
        <v>25465.041888</v>
      </c>
      <c r="I69" s="53" t="s">
        <v>95</v>
      </c>
      <c r="J69" s="54" t="s">
        <v>23</v>
      </c>
      <c r="K69" s="188">
        <v>1</v>
      </c>
      <c r="L69" s="162" t="s">
        <v>120</v>
      </c>
      <c r="M69" s="216"/>
      <c r="N69" s="190" t="s">
        <v>702</v>
      </c>
      <c r="O69" s="190">
        <v>45086</v>
      </c>
      <c r="P69" s="4">
        <f t="shared" si="3"/>
        <v>-47</v>
      </c>
      <c r="Q69" s="190">
        <v>45173</v>
      </c>
      <c r="R69" s="190">
        <f t="shared" ca="1" si="2"/>
        <v>45640</v>
      </c>
      <c r="S69" s="4">
        <f ca="1">DATA_MASTER[[#This Row],[Date Finish]]-DATA_MASTER[[#This Row],[Finish Fabrikasi]]</f>
        <v>-554</v>
      </c>
      <c r="T69" s="5" t="str">
        <f ca="1">IF(DATA_MASTER[[#This Row],[Date Aktual Delivery to Site]]&lt;0,"Terlambat",IF(DATA_MASTER[[#This Row],[Date Aktual Delivery to Site]]&gt;30,"Sesuai Schedule",IF(DATA_MASTER[[#This Row],[Date Aktual Delivery to Site]]=0,"On schedule")))</f>
        <v>Terlambat</v>
      </c>
      <c r="U69" s="5" t="str">
        <f>IF(DATA_MASTER[[#This Row],[Status]]="completed","COMPLETED",IF(DATA_MASTER[[#This Row],[Status]]="RFD","WAKTU",IF(DATA_MASTER[[#This Row],[Status]]="ON GOING","PRIORITAS")))</f>
        <v>COMPLETED</v>
      </c>
      <c r="V69" s="4">
        <f>2023</f>
        <v>2023</v>
      </c>
    </row>
    <row r="70" spans="1:22" ht="31.95" customHeight="1" x14ac:dyDescent="0.3">
      <c r="A70" s="53" t="s">
        <v>753</v>
      </c>
      <c r="B70" s="54" t="s">
        <v>68</v>
      </c>
      <c r="C70" s="151">
        <v>1</v>
      </c>
      <c r="D70" s="54" t="s">
        <v>754</v>
      </c>
      <c r="E70" s="54" t="s">
        <v>755</v>
      </c>
      <c r="F70" s="54" t="s">
        <v>756</v>
      </c>
      <c r="G70" s="17" t="e" vm="20">
        <v>#VALUE!</v>
      </c>
      <c r="H70" s="126">
        <f>IFERROR(SUMIF(FABRIKASI[No.PON],DATA_MASTER[[#This Row],[NO. PON]],FABRIKASI[Berat Fabrikasi])+SUMIF(AKSESORIS[No.PON],DATA_MASTER[[#This Row],[NO. PON]],AKSESORIS[Total Berat
Aksesories
(Kg)])+SUMIF(BNW[No.PON],DATA_MASTER[[#This Row],[NO. PON]],BNW[Total Berat Baut
(Kg)])," ")*DATA_MASTER[[#This Row],[Qty
(Unit)]]</f>
        <v>22831.638760000002</v>
      </c>
      <c r="I70" s="53" t="s">
        <v>95</v>
      </c>
      <c r="J70" s="54" t="s">
        <v>18</v>
      </c>
      <c r="K70" s="188">
        <v>1</v>
      </c>
      <c r="L70" s="162" t="s">
        <v>120</v>
      </c>
      <c r="M70" s="216"/>
      <c r="N70" s="190">
        <v>44965</v>
      </c>
      <c r="O70" s="190" t="s">
        <v>757</v>
      </c>
      <c r="P70" s="4">
        <f t="shared" si="3"/>
        <v>227</v>
      </c>
      <c r="Q70" s="190">
        <v>0</v>
      </c>
      <c r="R70" s="190">
        <f t="shared" ca="1" si="2"/>
        <v>45640</v>
      </c>
      <c r="S70" s="4">
        <f ca="1">DATA_MASTER[[#This Row],[Date Finish]]-DATA_MASTER[[#This Row],[Finish Fabrikasi]]</f>
        <v>-448</v>
      </c>
      <c r="T70" s="5" t="str">
        <f ca="1">IF(DATA_MASTER[[#This Row],[Date Aktual Delivery to Site]]&lt;0,"Terlambat",IF(DATA_MASTER[[#This Row],[Date Aktual Delivery to Site]]&gt;30,"Sesuai Schedule",IF(DATA_MASTER[[#This Row],[Date Aktual Delivery to Site]]=0,"On schedule")))</f>
        <v>Terlambat</v>
      </c>
      <c r="U70" s="5" t="str">
        <f>IF(DATA_MASTER[[#This Row],[Status]]="completed","COMPLETED",IF(DATA_MASTER[[#This Row],[Status]]="RFD","WAKTU",IF(DATA_MASTER[[#This Row],[Status]]="ON GOING","PRIORITAS")))</f>
        <v>COMPLETED</v>
      </c>
      <c r="V70" s="4">
        <f>2023</f>
        <v>2023</v>
      </c>
    </row>
    <row r="71" spans="1:22" ht="31.95" customHeight="1" x14ac:dyDescent="0.3">
      <c r="A71" s="53" t="s">
        <v>672</v>
      </c>
      <c r="B71" s="54" t="s">
        <v>4</v>
      </c>
      <c r="C71" s="151">
        <v>1</v>
      </c>
      <c r="D71" s="54" t="s">
        <v>349</v>
      </c>
      <c r="E71" s="54" t="s">
        <v>674</v>
      </c>
      <c r="F71" s="54" t="s">
        <v>673</v>
      </c>
      <c r="G71" s="17" t="e" vm="21">
        <v>#VALUE!</v>
      </c>
      <c r="H71" s="126">
        <f>IFERROR(SUMIF(FABRIKASI[No.PON],DATA_MASTER[[#This Row],[NO. PON]],FABRIKASI[Berat Fabrikasi])+SUMIF(AKSESORIS[No.PON],DATA_MASTER[[#This Row],[NO. PON]],AKSESORIS[Total Berat
Aksesories
(Kg)])+SUMIF(BNW[No.PON],DATA_MASTER[[#This Row],[NO. PON]],BNW[Total Berat Baut
(Kg)])," ")*DATA_MASTER[[#This Row],[Qty
(Unit)]]</f>
        <v>34172.553104000006</v>
      </c>
      <c r="I71" s="53" t="s">
        <v>95</v>
      </c>
      <c r="J71" s="54" t="s">
        <v>23</v>
      </c>
      <c r="K71" s="188">
        <v>1</v>
      </c>
      <c r="L71" s="162" t="s">
        <v>120</v>
      </c>
      <c r="M71" s="216"/>
      <c r="N71" s="190">
        <v>45120</v>
      </c>
      <c r="O71" s="190">
        <v>45164</v>
      </c>
      <c r="P71" s="4">
        <f t="shared" si="3"/>
        <v>44</v>
      </c>
      <c r="Q71" s="190">
        <v>45164</v>
      </c>
      <c r="R71" s="190">
        <f t="shared" ca="1" si="2"/>
        <v>45640</v>
      </c>
      <c r="S71" s="4">
        <f ca="1">DATA_MASTER[[#This Row],[Date Finish]]-DATA_MASTER[[#This Row],[Finish Fabrikasi]]</f>
        <v>-476</v>
      </c>
      <c r="T71" s="187" t="str">
        <f ca="1">IF(DATA_MASTER[[#This Row],[Date Aktual Delivery to Site]]&lt;0,"Terlambat",IF(DATA_MASTER[[#This Row],[Date Aktual Delivery to Site]]&gt;30,"Sesuai Schedule",IF(DATA_MASTER[[#This Row],[Date Aktual Delivery to Site]]=0,"On schedule")))</f>
        <v>Terlambat</v>
      </c>
      <c r="U71" s="187" t="str">
        <f>IF(DATA_MASTER[[#This Row],[Status]]="completed","COMPLETED",IF(DATA_MASTER[[#This Row],[Status]]="RFD","WAKTU",IF(DATA_MASTER[[#This Row],[Status]]="ON GOING","PRIORITAS")))</f>
        <v>COMPLETED</v>
      </c>
      <c r="V71" s="4">
        <f>2023</f>
        <v>2023</v>
      </c>
    </row>
    <row r="72" spans="1:22" ht="31.95" customHeight="1" x14ac:dyDescent="0.3">
      <c r="A72" s="53" t="s">
        <v>627</v>
      </c>
      <c r="B72" s="54" t="s">
        <v>565</v>
      </c>
      <c r="C72" s="151">
        <v>3</v>
      </c>
      <c r="D72" s="54" t="s">
        <v>628</v>
      </c>
      <c r="E72" s="54" t="s">
        <v>629</v>
      </c>
      <c r="F72" s="54" t="s">
        <v>630</v>
      </c>
      <c r="G72" s="17" t="e" vm="22">
        <v>#VALUE!</v>
      </c>
      <c r="H72" s="126">
        <f>IFERROR(SUMIF(FABRIKASI[No.PON],DATA_MASTER[[#This Row],[NO. PON]],FABRIKASI[Berat Fabrikasi])+SUMIF(AKSESORIS[No.PON],DATA_MASTER[[#This Row],[NO. PON]],AKSESORIS[Total Berat
Aksesories
(Kg)])+SUMIF(BNW[No.PON],DATA_MASTER[[#This Row],[NO. PON]],BNW[Total Berat Baut
(Kg)])," ")*DATA_MASTER[[#This Row],[Qty
(Unit)]]</f>
        <v>94327.385999999999</v>
      </c>
      <c r="I72" s="53" t="s">
        <v>95</v>
      </c>
      <c r="J72" s="54" t="s">
        <v>18</v>
      </c>
      <c r="K72" s="188">
        <v>1</v>
      </c>
      <c r="L72" s="162" t="s">
        <v>120</v>
      </c>
      <c r="M72" s="216"/>
      <c r="N72" s="190">
        <v>45113</v>
      </c>
      <c r="O72" s="190">
        <v>45147</v>
      </c>
      <c r="P72" s="4">
        <f t="shared" si="3"/>
        <v>34</v>
      </c>
      <c r="Q72" s="190">
        <v>45142</v>
      </c>
      <c r="R72" s="190">
        <f t="shared" ca="1" si="2"/>
        <v>45640</v>
      </c>
      <c r="S72" s="4">
        <f ca="1">DATA_MASTER[[#This Row],[Date Finish]]-DATA_MASTER[[#This Row],[Finish Fabrikasi]]</f>
        <v>-493</v>
      </c>
      <c r="T72" s="5" t="str">
        <f ca="1">IF(DATA_MASTER[[#This Row],[Date Aktual Delivery to Site]]&lt;0,"Terlambat",IF(DATA_MASTER[[#This Row],[Date Aktual Delivery to Site]]&gt;30,"Sesuai Schedule",IF(DATA_MASTER[[#This Row],[Date Aktual Delivery to Site]]=0,"On schedule")))</f>
        <v>Terlambat</v>
      </c>
      <c r="U72" s="5" t="str">
        <f>IF(DATA_MASTER[[#This Row],[Status]]="completed","COMPLETED",IF(DATA_MASTER[[#This Row],[Status]]="RFD","WAKTU",IF(DATA_MASTER[[#This Row],[Status]]="ON GOING","PRIORITAS")))</f>
        <v>COMPLETED</v>
      </c>
      <c r="V72" s="4">
        <f>2023</f>
        <v>2023</v>
      </c>
    </row>
    <row r="73" spans="1:22" ht="31.95" customHeight="1" x14ac:dyDescent="0.3">
      <c r="A73" s="53" t="s">
        <v>697</v>
      </c>
      <c r="B73" s="54" t="s">
        <v>249</v>
      </c>
      <c r="C73" s="151">
        <v>1</v>
      </c>
      <c r="D73" s="54" t="s">
        <v>698</v>
      </c>
      <c r="E73" s="54" t="s">
        <v>699</v>
      </c>
      <c r="F73" s="54" t="s">
        <v>700</v>
      </c>
      <c r="G73" s="17" t="e" vm="23">
        <v>#VALUE!</v>
      </c>
      <c r="H73" s="126">
        <f>IFERROR(SUMIF(FABRIKASI[No.PON],DATA_MASTER[[#This Row],[NO. PON]],FABRIKASI[Berat Fabrikasi])+SUMIF(AKSESORIS[No.PON],DATA_MASTER[[#This Row],[NO. PON]],AKSESORIS[Total Berat
Aksesories
(Kg)])+SUMIF(BNW[No.PON],DATA_MASTER[[#This Row],[NO. PON]],BNW[Total Berat Baut
(Kg)])," ")*DATA_MASTER[[#This Row],[Qty
(Unit)]]</f>
        <v>142183.78384400005</v>
      </c>
      <c r="I73" s="53" t="s">
        <v>95</v>
      </c>
      <c r="J73" s="54" t="s">
        <v>94</v>
      </c>
      <c r="K73" s="188">
        <v>1</v>
      </c>
      <c r="L73" s="162" t="s">
        <v>120</v>
      </c>
      <c r="M73" s="216"/>
      <c r="N73" s="190" t="s">
        <v>701</v>
      </c>
      <c r="O73" s="190">
        <v>45178</v>
      </c>
      <c r="P73" s="4">
        <f t="shared" si="3"/>
        <v>50</v>
      </c>
      <c r="Q73" s="190">
        <v>0</v>
      </c>
      <c r="R73" s="190">
        <f t="shared" ca="1" si="2"/>
        <v>45640</v>
      </c>
      <c r="S73" s="4">
        <f ca="1">DATA_MASTER[[#This Row],[Date Finish]]-DATA_MASTER[[#This Row],[Finish Fabrikasi]]</f>
        <v>-462</v>
      </c>
      <c r="T73" s="5" t="str">
        <f ca="1">IF(DATA_MASTER[[#This Row],[Date Aktual Delivery to Site]]&lt;0,"Terlambat",IF(DATA_MASTER[[#This Row],[Date Aktual Delivery to Site]]&gt;30,"Sesuai Schedule",IF(DATA_MASTER[[#This Row],[Date Aktual Delivery to Site]]=0,"On schedule")))</f>
        <v>Terlambat</v>
      </c>
      <c r="U73" s="5" t="str">
        <f>IF(DATA_MASTER[[#This Row],[Status]]="completed","COMPLETED",IF(DATA_MASTER[[#This Row],[Status]]="RFD","WAKTU",IF(DATA_MASTER[[#This Row],[Status]]="ON GOING","PRIORITAS")))</f>
        <v>COMPLETED</v>
      </c>
      <c r="V73" s="4">
        <f>2023</f>
        <v>2023</v>
      </c>
    </row>
    <row r="74" spans="1:22" ht="31.95" customHeight="1" x14ac:dyDescent="0.3">
      <c r="A74" s="53" t="s">
        <v>649</v>
      </c>
      <c r="B74" s="54" t="s">
        <v>650</v>
      </c>
      <c r="C74" s="151">
        <v>1</v>
      </c>
      <c r="D74" s="54" t="s">
        <v>650</v>
      </c>
      <c r="E74" s="54" t="s">
        <v>651</v>
      </c>
      <c r="F74" s="54" t="s">
        <v>652</v>
      </c>
      <c r="G74" s="17" t="e" vm="2">
        <v>#VALUE!</v>
      </c>
      <c r="H74" s="126">
        <f>IFERROR(SUMIF(FABRIKASI[No.PON],DATA_MASTER[[#This Row],[NO. PON]],FABRIKASI[Berat Fabrikasi])+SUMIF(AKSESORIS[No.PON],DATA_MASTER[[#This Row],[NO. PON]],AKSESORIS[Total Berat
Aksesories
(Kg)])+SUMIF(BNW[No.PON],DATA_MASTER[[#This Row],[NO. PON]],BNW[Total Berat Baut
(Kg)])," ")*DATA_MASTER[[#This Row],[Qty
(Unit)]]</f>
        <v>5737.32</v>
      </c>
      <c r="I74" s="53" t="s">
        <v>95</v>
      </c>
      <c r="J74" s="54" t="s">
        <v>653</v>
      </c>
      <c r="K74" s="188">
        <v>1</v>
      </c>
      <c r="L74" s="162" t="s">
        <v>120</v>
      </c>
      <c r="M74" s="216"/>
      <c r="N74" s="190">
        <v>45117</v>
      </c>
      <c r="O74" s="190">
        <v>45133</v>
      </c>
      <c r="P74" s="4">
        <f t="shared" si="3"/>
        <v>16</v>
      </c>
      <c r="Q74" s="190">
        <v>0</v>
      </c>
      <c r="R74" s="190">
        <f t="shared" ca="1" si="2"/>
        <v>45640</v>
      </c>
      <c r="S74" s="4">
        <f ca="1">DATA_MASTER[[#This Row],[Date Finish]]-DATA_MASTER[[#This Row],[Finish Fabrikasi]]</f>
        <v>-507</v>
      </c>
      <c r="T74" s="5" t="str">
        <f ca="1">IF(DATA_MASTER[[#This Row],[Date Aktual Delivery to Site]]&lt;0,"Terlambat",IF(DATA_MASTER[[#This Row],[Date Aktual Delivery to Site]]&gt;30,"Sesuai Schedule",IF(DATA_MASTER[[#This Row],[Date Aktual Delivery to Site]]=0,"On schedule")))</f>
        <v>Terlambat</v>
      </c>
      <c r="U74" s="5" t="str">
        <f>IF(DATA_MASTER[[#This Row],[Status]]="completed","COMPLETED",IF(DATA_MASTER[[#This Row],[Status]]="RFD","WAKTU",IF(DATA_MASTER[[#This Row],[Status]]="ON GOING","PRIORITAS")))</f>
        <v>COMPLETED</v>
      </c>
      <c r="V74" s="4">
        <f>2023</f>
        <v>2023</v>
      </c>
    </row>
    <row r="75" spans="1:22" ht="31.95" customHeight="1" x14ac:dyDescent="0.3">
      <c r="A75" s="53" t="s">
        <v>658</v>
      </c>
      <c r="B75" s="54" t="s">
        <v>659</v>
      </c>
      <c r="C75" s="151">
        <v>1</v>
      </c>
      <c r="D75" s="54" t="s">
        <v>660</v>
      </c>
      <c r="E75" s="54" t="s">
        <v>661</v>
      </c>
      <c r="F75" s="54" t="s">
        <v>662</v>
      </c>
      <c r="G75" s="17" t="s">
        <v>663</v>
      </c>
      <c r="H75" s="126">
        <f>IFERROR(SUMIF(FABRIKASI[No.PON],DATA_MASTER[[#This Row],[NO. PON]],FABRIKASI[Berat Fabrikasi])+SUMIF(AKSESORIS[No.PON],DATA_MASTER[[#This Row],[NO. PON]],AKSESORIS[Total Berat
Aksesories
(Kg)])+SUMIF(BNW[No.PON],DATA_MASTER[[#This Row],[NO. PON]],BNW[Total Berat Baut
(Kg)])," ")*DATA_MASTER[[#This Row],[Qty
(Unit)]]</f>
        <v>20784.694</v>
      </c>
      <c r="I75" s="53" t="s">
        <v>95</v>
      </c>
      <c r="J75" s="54" t="s">
        <v>16</v>
      </c>
      <c r="K75" s="188">
        <v>1</v>
      </c>
      <c r="L75" s="162" t="s">
        <v>120</v>
      </c>
      <c r="M75" s="216"/>
      <c r="N75" s="190">
        <v>45119</v>
      </c>
      <c r="O75" s="190">
        <v>45154</v>
      </c>
      <c r="P75" s="4">
        <f t="shared" si="3"/>
        <v>35</v>
      </c>
      <c r="Q75" s="190">
        <v>45170</v>
      </c>
      <c r="R75" s="190">
        <f t="shared" ca="1" si="2"/>
        <v>45640</v>
      </c>
      <c r="S75" s="4">
        <f ca="1">DATA_MASTER[[#This Row],[Date Finish]]-DATA_MASTER[[#This Row],[Finish Fabrikasi]]</f>
        <v>-486</v>
      </c>
      <c r="T75" s="5" t="str">
        <f ca="1">IF(DATA_MASTER[[#This Row],[Date Aktual Delivery to Site]]&lt;0,"Terlambat",IF(DATA_MASTER[[#This Row],[Date Aktual Delivery to Site]]&gt;30,"Sesuai Schedule",IF(DATA_MASTER[[#This Row],[Date Aktual Delivery to Site]]=0,"On schedule")))</f>
        <v>Terlambat</v>
      </c>
      <c r="U75" s="5" t="str">
        <f>IF(DATA_MASTER[[#This Row],[Status]]="completed","COMPLETED",IF(DATA_MASTER[[#This Row],[Status]]="RFD","WAKTU",IF(DATA_MASTER[[#This Row],[Status]]="ON GOING","PRIORITAS")))</f>
        <v>COMPLETED</v>
      </c>
      <c r="V75" s="4">
        <f>2023</f>
        <v>2023</v>
      </c>
    </row>
    <row r="76" spans="1:22" ht="31.95" customHeight="1" x14ac:dyDescent="0.3">
      <c r="A76" s="53" t="s">
        <v>685</v>
      </c>
      <c r="B76" s="54" t="s">
        <v>4</v>
      </c>
      <c r="C76" s="151">
        <v>1</v>
      </c>
      <c r="D76" s="54" t="s">
        <v>686</v>
      </c>
      <c r="E76" s="54" t="s">
        <v>687</v>
      </c>
      <c r="F76" s="54" t="s">
        <v>688</v>
      </c>
      <c r="G76" s="17" t="s">
        <v>689</v>
      </c>
      <c r="H76" s="126">
        <f>IFERROR(SUMIF(FABRIKASI[No.PON],DATA_MASTER[[#This Row],[NO. PON]],FABRIKASI[Berat Fabrikasi])+SUMIF(AKSESORIS[No.PON],DATA_MASTER[[#This Row],[NO. PON]],AKSESORIS[Total Berat
Aksesories
(Kg)])+SUMIF(BNW[No.PON],DATA_MASTER[[#This Row],[NO. PON]],BNW[Total Berat Baut
(Kg)])," ")*DATA_MASTER[[#This Row],[Qty
(Unit)]]</f>
        <v>10589.413743999998</v>
      </c>
      <c r="I76" s="53" t="s">
        <v>95</v>
      </c>
      <c r="J76" s="54" t="s">
        <v>23</v>
      </c>
      <c r="K76" s="188">
        <v>1</v>
      </c>
      <c r="L76" s="162" t="s">
        <v>120</v>
      </c>
      <c r="M76" s="216"/>
      <c r="N76" s="190" t="s">
        <v>675</v>
      </c>
      <c r="O76" s="190" t="s">
        <v>690</v>
      </c>
      <c r="P76" s="4">
        <f t="shared" ref="P76:P81" si="4">O76-N76</f>
        <v>44</v>
      </c>
      <c r="Q76" s="190">
        <v>45168</v>
      </c>
      <c r="R76" s="190">
        <f t="shared" ca="1" si="2"/>
        <v>45640</v>
      </c>
      <c r="S76" s="4">
        <f ca="1">DATA_MASTER[[#This Row],[Date Finish]]-DATA_MASTER[[#This Row],[Finish Fabrikasi]]</f>
        <v>-471</v>
      </c>
      <c r="T76" s="5" t="str">
        <f ca="1">IF(DATA_MASTER[[#This Row],[Date Aktual Delivery to Site]]&lt;0,"Terlambat",IF(DATA_MASTER[[#This Row],[Date Aktual Delivery to Site]]&gt;30,"Sesuai Schedule",IF(DATA_MASTER[[#This Row],[Date Aktual Delivery to Site]]=0,"On schedule")))</f>
        <v>Terlambat</v>
      </c>
      <c r="U76" s="5" t="str">
        <f>IF(DATA_MASTER[[#This Row],[Status]]="completed","COMPLETED",IF(DATA_MASTER[[#This Row],[Status]]="RFD","WAKTU",IF(DATA_MASTER[[#This Row],[Status]]="ON GOING","PRIORITAS")))</f>
        <v>COMPLETED</v>
      </c>
      <c r="V76" s="4">
        <f>2023</f>
        <v>2023</v>
      </c>
    </row>
    <row r="77" spans="1:22" ht="31.95" customHeight="1" x14ac:dyDescent="0.3">
      <c r="A77" s="53" t="s">
        <v>1185</v>
      </c>
      <c r="B77" s="54" t="s">
        <v>68</v>
      </c>
      <c r="C77" s="151">
        <v>1</v>
      </c>
      <c r="D77" s="54" t="s">
        <v>1186</v>
      </c>
      <c r="E77" s="55" t="s">
        <v>691</v>
      </c>
      <c r="F77" s="54" t="s">
        <v>692</v>
      </c>
      <c r="G77" s="17" t="s">
        <v>693</v>
      </c>
      <c r="H77" s="126">
        <f>IFERROR(SUMIF(FABRIKASI[No.PON],DATA_MASTER[[#This Row],[NO. PON]],FABRIKASI[Berat Fabrikasi])+SUMIF(AKSESORIS[No.PON],DATA_MASTER[[#This Row],[NO. PON]],AKSESORIS[Total Berat
Aksesories
(Kg)])+SUMIF(BNW[No.PON],DATA_MASTER[[#This Row],[NO. PON]],BNW[Total Berat Baut
(Kg)])," ")*DATA_MASTER[[#This Row],[Qty
(Unit)]]</f>
        <v>330142.69600000011</v>
      </c>
      <c r="I77" s="53" t="s">
        <v>33</v>
      </c>
      <c r="J77" s="54" t="s">
        <v>18</v>
      </c>
      <c r="K77" s="188">
        <v>1</v>
      </c>
      <c r="L77" s="162" t="s">
        <v>120</v>
      </c>
      <c r="M77" s="216"/>
      <c r="N77" s="190" t="s">
        <v>675</v>
      </c>
      <c r="O77" s="190">
        <v>45147</v>
      </c>
      <c r="P77" s="4">
        <f t="shared" si="4"/>
        <v>22</v>
      </c>
      <c r="Q77" s="190"/>
      <c r="R77" s="190"/>
      <c r="S77" s="4">
        <f>DATA_MASTER[[#This Row],[Date Finish]]-DATA_MASTER[[#This Row],[Finish Fabrikasi]]</f>
        <v>45147</v>
      </c>
      <c r="T77" s="5" t="str">
        <f>IF(DATA_MASTER[[#This Row],[Date Aktual Delivery to Site]]&lt;0,"Terlambat",IF(DATA_MASTER[[#This Row],[Date Aktual Delivery to Site]]&gt;30,"Sesuai Schedule",IF(DATA_MASTER[[#This Row],[Date Aktual Delivery to Site]]=0,"On schedule")))</f>
        <v>Sesuai Schedule</v>
      </c>
      <c r="U77" s="5" t="str">
        <f>IF(DATA_MASTER[[#This Row],[Status]]="completed","COMPLETED",IF(DATA_MASTER[[#This Row],[Status]]="RFD","WAKTU",IF(DATA_MASTER[[#This Row],[Status]]="ON GOING","PRIORITAS")))</f>
        <v>PRIORITAS</v>
      </c>
      <c r="V77" s="4">
        <f>2023</f>
        <v>2023</v>
      </c>
    </row>
    <row r="78" spans="1:22" ht="31.95" customHeight="1" x14ac:dyDescent="0.3">
      <c r="A78" s="53" t="s">
        <v>935</v>
      </c>
      <c r="B78" s="54" t="s">
        <v>4</v>
      </c>
      <c r="C78" s="151">
        <v>1</v>
      </c>
      <c r="D78" s="54" t="s">
        <v>936</v>
      </c>
      <c r="E78" s="55" t="s">
        <v>937</v>
      </c>
      <c r="F78" s="54" t="s">
        <v>938</v>
      </c>
      <c r="G78" s="17" t="e" vm="3">
        <v>#VALUE!</v>
      </c>
      <c r="H78" s="126">
        <f>IFERROR(SUMIF(FABRIKASI[No.PON],DATA_MASTER[[#This Row],[NO. PON]],FABRIKASI[Berat Fabrikasi])+SUMIF(AKSESORIS[No.PON],DATA_MASTER[[#This Row],[NO. PON]],AKSESORIS[Total Berat
Aksesories
(Kg)])+SUMIF(BNW[No.PON],DATA_MASTER[[#This Row],[NO. PON]],BNW[Total Berat Baut
(Kg)])," ")*DATA_MASTER[[#This Row],[Qty
(Unit)]]</f>
        <v>42160.024558000005</v>
      </c>
      <c r="I78" s="53" t="s">
        <v>95</v>
      </c>
      <c r="J78" s="54" t="s">
        <v>16</v>
      </c>
      <c r="K78" s="188">
        <v>1</v>
      </c>
      <c r="L78" s="162" t="s">
        <v>120</v>
      </c>
      <c r="M78" s="216"/>
      <c r="N78" s="190">
        <v>45149</v>
      </c>
      <c r="O78" s="190">
        <v>45193</v>
      </c>
      <c r="P78" s="4">
        <f t="shared" si="4"/>
        <v>44</v>
      </c>
      <c r="Q78" s="190">
        <v>0</v>
      </c>
      <c r="R78" s="190">
        <f ca="1">TODAY()</f>
        <v>45640</v>
      </c>
      <c r="S78" s="4">
        <f ca="1">DATA_MASTER[[#This Row],[Date Finish]]-DATA_MASTER[[#This Row],[Finish Fabrikasi]]</f>
        <v>-447</v>
      </c>
      <c r="T78" s="5" t="str">
        <f ca="1">IF(DATA_MASTER[[#This Row],[Date Aktual Delivery to Site]]&lt;0,"Terlambat",IF(DATA_MASTER[[#This Row],[Date Aktual Delivery to Site]]&gt;30,"Sesuai Schedule",IF(DATA_MASTER[[#This Row],[Date Aktual Delivery to Site]]=0,"On schedule")))</f>
        <v>Terlambat</v>
      </c>
      <c r="U78" s="5" t="str">
        <f>IF(DATA_MASTER[[#This Row],[Status]]="completed","COMPLETED",IF(DATA_MASTER[[#This Row],[Status]]="RFD","WAKTU",IF(DATA_MASTER[[#This Row],[Status]]="ON GOING","PRIORITAS")))</f>
        <v>COMPLETED</v>
      </c>
      <c r="V78" s="4">
        <f>2023</f>
        <v>2023</v>
      </c>
    </row>
    <row r="79" spans="1:22" ht="31.95" customHeight="1" x14ac:dyDescent="0.3">
      <c r="A79" s="53" t="s">
        <v>944</v>
      </c>
      <c r="B79" s="54" t="s">
        <v>565</v>
      </c>
      <c r="C79" s="151">
        <v>2</v>
      </c>
      <c r="D79" s="54" t="s">
        <v>945</v>
      </c>
      <c r="E79" s="55" t="s">
        <v>946</v>
      </c>
      <c r="F79" s="54" t="s">
        <v>947</v>
      </c>
      <c r="G79" s="17" t="s">
        <v>742</v>
      </c>
      <c r="H79" s="126">
        <f>IFERROR(SUMIF(FABRIKASI[No.PON],DATA_MASTER[[#This Row],[NO. PON]],FABRIKASI[Berat Fabrikasi])+SUMIF(AKSESORIS[No.PON],DATA_MASTER[[#This Row],[NO. PON]],AKSESORIS[Total Berat
Aksesories
(Kg)])+SUMIF(BNW[No.PON],DATA_MASTER[[#This Row],[NO. PON]],BNW[Total Berat Baut
(Kg)])," ")*DATA_MASTER[[#This Row],[Qty
(Unit)]]</f>
        <v>20651.148000000001</v>
      </c>
      <c r="I79" s="53" t="s">
        <v>95</v>
      </c>
      <c r="J79" s="54" t="s">
        <v>16</v>
      </c>
      <c r="K79" s="188">
        <v>1</v>
      </c>
      <c r="L79" s="162" t="s">
        <v>1160</v>
      </c>
      <c r="M79" s="216"/>
      <c r="N79" s="190">
        <v>45156</v>
      </c>
      <c r="O79" s="190">
        <v>45170</v>
      </c>
      <c r="P79" s="4">
        <f t="shared" si="4"/>
        <v>14</v>
      </c>
      <c r="Q79" s="190">
        <v>45168</v>
      </c>
      <c r="R79" s="190">
        <f ca="1">TODAY()</f>
        <v>45640</v>
      </c>
      <c r="S79" s="4">
        <f ca="1">DATA_MASTER[[#This Row],[Date Finish]]-DATA_MASTER[[#This Row],[Finish Fabrikasi]]</f>
        <v>-470</v>
      </c>
      <c r="T79" s="187" t="str">
        <f ca="1">IF(DATA_MASTER[[#This Row],[Date Aktual Delivery to Site]]&lt;0,"Terlambat",IF(DATA_MASTER[[#This Row],[Date Aktual Delivery to Site]]&gt;30,"Sesuai Schedule",IF(DATA_MASTER[[#This Row],[Date Aktual Delivery to Site]]=0,"On schedule")))</f>
        <v>Terlambat</v>
      </c>
      <c r="U79" s="187" t="str">
        <f>IF(DATA_MASTER[[#This Row],[Status]]="completed","COMPLETED",IF(DATA_MASTER[[#This Row],[Status]]="RFD","WAKTU",IF(DATA_MASTER[[#This Row],[Status]]="ON GOING","PRIORITAS")))</f>
        <v>COMPLETED</v>
      </c>
      <c r="V79" s="4">
        <f>2023</f>
        <v>2023</v>
      </c>
    </row>
    <row r="80" spans="1:22" ht="31.95" customHeight="1" x14ac:dyDescent="0.3">
      <c r="A80" s="53" t="s">
        <v>758</v>
      </c>
      <c r="B80" s="54" t="s">
        <v>68</v>
      </c>
      <c r="C80" s="151">
        <v>1</v>
      </c>
      <c r="D80" s="54" t="s">
        <v>759</v>
      </c>
      <c r="E80" s="55" t="s">
        <v>761</v>
      </c>
      <c r="F80" s="54" t="s">
        <v>760</v>
      </c>
      <c r="G80" s="17" t="s">
        <v>762</v>
      </c>
      <c r="H80" s="126">
        <f>IFERROR(SUMIF(FABRIKASI[No.PON],DATA_MASTER[[#This Row],[NO. PON]],FABRIKASI[Berat Fabrikasi])+SUMIF(AKSESORIS[No.PON],DATA_MASTER[[#This Row],[NO. PON]],AKSESORIS[Total Berat
Aksesories
(Kg)])+SUMIF(BNW[No.PON],DATA_MASTER[[#This Row],[NO. PON]],BNW[Total Berat Baut
(Kg)])," ")*DATA_MASTER[[#This Row],[Qty
(Unit)]]</f>
        <v>30198.053800000016</v>
      </c>
      <c r="I80" s="53" t="s">
        <v>95</v>
      </c>
      <c r="J80" s="54" t="s">
        <v>18</v>
      </c>
      <c r="K80" s="188">
        <v>1</v>
      </c>
      <c r="L80" s="162" t="s">
        <v>120</v>
      </c>
      <c r="M80" s="216"/>
      <c r="N80" s="190">
        <v>45024</v>
      </c>
      <c r="O80" s="190">
        <v>45086</v>
      </c>
      <c r="P80" s="4">
        <f t="shared" si="4"/>
        <v>62</v>
      </c>
      <c r="Q80" s="190">
        <v>0</v>
      </c>
      <c r="R80" s="190">
        <f ca="1">TODAY()</f>
        <v>45640</v>
      </c>
      <c r="S80" s="4">
        <f ca="1">DATA_MASTER[[#This Row],[Date Finish]]-DATA_MASTER[[#This Row],[Finish Fabrikasi]]</f>
        <v>-554</v>
      </c>
      <c r="T80" s="5" t="str">
        <f ca="1">IF(DATA_MASTER[[#This Row],[Date Aktual Delivery to Site]]&lt;0,"Terlambat",IF(DATA_MASTER[[#This Row],[Date Aktual Delivery to Site]]&gt;30,"Sesuai Schedule",IF(DATA_MASTER[[#This Row],[Date Aktual Delivery to Site]]=0,"On schedule")))</f>
        <v>Terlambat</v>
      </c>
      <c r="U80" s="5" t="str">
        <f>IF(DATA_MASTER[[#This Row],[Status]]="completed","COMPLETED",IF(DATA_MASTER[[#This Row],[Status]]="RFD","WAKTU",IF(DATA_MASTER[[#This Row],[Status]]="ON GOING","PRIORITAS")))</f>
        <v>COMPLETED</v>
      </c>
      <c r="V80" s="4">
        <f>2023</f>
        <v>2023</v>
      </c>
    </row>
    <row r="81" spans="1:22" ht="31.95" customHeight="1" x14ac:dyDescent="0.3">
      <c r="A81" s="53" t="s">
        <v>894</v>
      </c>
      <c r="B81" s="54" t="s">
        <v>565</v>
      </c>
      <c r="C81" s="151">
        <v>1</v>
      </c>
      <c r="D81" s="54" t="s">
        <v>864</v>
      </c>
      <c r="E81" s="55" t="s">
        <v>895</v>
      </c>
      <c r="F81" s="54" t="s">
        <v>896</v>
      </c>
      <c r="G81" s="17" t="s">
        <v>762</v>
      </c>
      <c r="H81" s="126">
        <f>IFERROR(SUMIF(FABRIKASI[No.PON],DATA_MASTER[[#This Row],[NO. PON]],FABRIKASI[Berat Fabrikasi])+SUMIF(AKSESORIS[No.PON],DATA_MASTER[[#This Row],[NO. PON]],AKSESORIS[Total Berat
Aksesories
(Kg)])+SUMIF(BNW[No.PON],DATA_MASTER[[#This Row],[NO. PON]],BNW[Total Berat Baut
(Kg)])," ")*DATA_MASTER[[#This Row],[Qty
(Unit)]]</f>
        <v>61467.627281859786</v>
      </c>
      <c r="I81" s="53" t="s">
        <v>95</v>
      </c>
      <c r="J81" s="54" t="s">
        <v>94</v>
      </c>
      <c r="K81" s="188">
        <v>1</v>
      </c>
      <c r="L81" s="162" t="s">
        <v>120</v>
      </c>
      <c r="M81" s="216"/>
      <c r="N81" s="190">
        <v>45151</v>
      </c>
      <c r="O81" s="190">
        <v>45152</v>
      </c>
      <c r="P81" s="4">
        <f t="shared" si="4"/>
        <v>1</v>
      </c>
      <c r="Q81" s="190">
        <v>0</v>
      </c>
      <c r="R81" s="190">
        <f ca="1">TODAY()</f>
        <v>45640</v>
      </c>
      <c r="S81" s="4">
        <f ca="1">DATA_MASTER[[#This Row],[Date Finish]]-DATA_MASTER[[#This Row],[Finish Fabrikasi]]</f>
        <v>-488</v>
      </c>
      <c r="T81" s="5" t="str">
        <f ca="1">IF(DATA_MASTER[[#This Row],[Date Aktual Delivery to Site]]&lt;0,"Terlambat",IF(DATA_MASTER[[#This Row],[Date Aktual Delivery to Site]]&gt;30,"Sesuai Schedule",IF(DATA_MASTER[[#This Row],[Date Aktual Delivery to Site]]=0,"On schedule")))</f>
        <v>Terlambat</v>
      </c>
      <c r="U81" s="5" t="str">
        <f>IF(DATA_MASTER[[#This Row],[Status]]="completed","COMPLETED",IF(DATA_MASTER[[#This Row],[Status]]="RFD","WAKTU",IF(DATA_MASTER[[#This Row],[Status]]="ON GOING","PRIORITAS")))</f>
        <v>COMPLETED</v>
      </c>
      <c r="V81" s="4">
        <f>2023</f>
        <v>2023</v>
      </c>
    </row>
    <row r="82" spans="1:22" ht="31.95" customHeight="1" x14ac:dyDescent="0.3">
      <c r="A82" s="53" t="s">
        <v>1173</v>
      </c>
      <c r="B82" s="54" t="s">
        <v>565</v>
      </c>
      <c r="C82" s="151">
        <v>3</v>
      </c>
      <c r="D82" s="54" t="s">
        <v>1174</v>
      </c>
      <c r="E82" s="55" t="s">
        <v>1176</v>
      </c>
      <c r="F82" s="54" t="s">
        <v>1175</v>
      </c>
      <c r="G82" s="17" t="s">
        <v>1177</v>
      </c>
      <c r="H82" s="126">
        <f>IFERROR(SUMIF(FABRIKASI[No.PON],DATA_MASTER[[#This Row],[NO. PON]],FABRIKASI[Berat Fabrikasi])+SUMIF(AKSESORIS[No.PON],DATA_MASTER[[#This Row],[NO. PON]],AKSESORIS[Total Berat
Aksesories
(Kg)])+SUMIF(BNW[No.PON],DATA_MASTER[[#This Row],[NO. PON]],BNW[Total Berat Baut
(Kg)])," ")*DATA_MASTER[[#This Row],[Qty
(Unit)]]</f>
        <v>21879.15</v>
      </c>
      <c r="I82" s="53" t="s">
        <v>95</v>
      </c>
      <c r="J82" s="54" t="s">
        <v>16</v>
      </c>
      <c r="K82" s="188">
        <v>1</v>
      </c>
      <c r="L82" s="162" t="s">
        <v>120</v>
      </c>
      <c r="M82" s="216"/>
      <c r="N82" s="190"/>
      <c r="O82" s="190"/>
      <c r="P82" s="4"/>
      <c r="Q82" s="190"/>
      <c r="R82" s="190"/>
      <c r="S82" s="4">
        <f>DATA_MASTER[[#This Row],[Date Finish]]-DATA_MASTER[[#This Row],[Finish Fabrikasi]]</f>
        <v>0</v>
      </c>
      <c r="T82" s="5" t="str">
        <f>IF(DATA_MASTER[[#This Row],[Date Aktual Delivery to Site]]&lt;0,"Terlambat",IF(DATA_MASTER[[#This Row],[Date Aktual Delivery to Site]]&gt;30,"Sesuai Schedule",IF(DATA_MASTER[[#This Row],[Date Aktual Delivery to Site]]=0,"On schedule")))</f>
        <v>On schedule</v>
      </c>
      <c r="U82" s="5" t="str">
        <f>IF(DATA_MASTER[[#This Row],[Status]]="completed","COMPLETED",IF(DATA_MASTER[[#This Row],[Status]]="RFD","WAKTU",IF(DATA_MASTER[[#This Row],[Status]]="ON GOING","PRIORITAS")))</f>
        <v>COMPLETED</v>
      </c>
      <c r="V82" s="4">
        <f>2023</f>
        <v>2023</v>
      </c>
    </row>
    <row r="83" spans="1:22" ht="31.95" customHeight="1" x14ac:dyDescent="0.3">
      <c r="A83" s="53" t="s">
        <v>953</v>
      </c>
      <c r="B83" s="54" t="s">
        <v>955</v>
      </c>
      <c r="C83" s="151">
        <v>1</v>
      </c>
      <c r="D83" s="54" t="s">
        <v>954</v>
      </c>
      <c r="E83" s="55" t="s">
        <v>956</v>
      </c>
      <c r="F83" s="54" t="s">
        <v>957</v>
      </c>
      <c r="G83" s="17" t="s">
        <v>958</v>
      </c>
      <c r="H83" s="126">
        <f>IFERROR(SUMIF(FABRIKASI[No.PON],DATA_MASTER[[#This Row],[NO. PON]],FABRIKASI[Berat Fabrikasi])+SUMIF(AKSESORIS[No.PON],DATA_MASTER[[#This Row],[NO. PON]],AKSESORIS[Total Berat
Aksesories
(Kg)])+SUMIF(BNW[No.PON],DATA_MASTER[[#This Row],[NO. PON]],BNW[Total Berat Baut
(Kg)])," ")*DATA_MASTER[[#This Row],[Qty
(Unit)]]</f>
        <v>2307.1734200000001</v>
      </c>
      <c r="I83" s="53" t="s">
        <v>95</v>
      </c>
      <c r="J83" s="54" t="s">
        <v>18</v>
      </c>
      <c r="K83" s="188">
        <v>1</v>
      </c>
      <c r="L83" s="162" t="s">
        <v>120</v>
      </c>
      <c r="M83" s="216"/>
      <c r="N83" s="190">
        <v>45159</v>
      </c>
      <c r="O83" s="190">
        <v>45173</v>
      </c>
      <c r="P83" s="4">
        <f t="shared" ref="P83:P109" si="5">O83-N83</f>
        <v>14</v>
      </c>
      <c r="Q83" s="190">
        <v>0</v>
      </c>
      <c r="R83" s="190">
        <f t="shared" ref="R83:R89" ca="1" si="6">TODAY()</f>
        <v>45640</v>
      </c>
      <c r="S83" s="4">
        <f ca="1">DATA_MASTER[[#This Row],[Date Finish]]-DATA_MASTER[[#This Row],[Finish Fabrikasi]]</f>
        <v>-467</v>
      </c>
      <c r="T83" s="187" t="str">
        <f ca="1">IF(DATA_MASTER[[#This Row],[Date Aktual Delivery to Site]]&lt;0,"Terlambat",IF(DATA_MASTER[[#This Row],[Date Aktual Delivery to Site]]&gt;30,"Sesuai Schedule",IF(DATA_MASTER[[#This Row],[Date Aktual Delivery to Site]]=0,"On schedule")))</f>
        <v>Terlambat</v>
      </c>
      <c r="U83" s="187" t="str">
        <f>IF(DATA_MASTER[[#This Row],[Status]]="completed","COMPLETED",IF(DATA_MASTER[[#This Row],[Status]]="RFD","WAKTU",IF(DATA_MASTER[[#This Row],[Status]]="ON GOING","PRIORITAS")))</f>
        <v>COMPLETED</v>
      </c>
      <c r="V83" s="4">
        <f>2023</f>
        <v>2023</v>
      </c>
    </row>
    <row r="84" spans="1:22" ht="31.95" customHeight="1" x14ac:dyDescent="0.3">
      <c r="A84" s="53" t="s">
        <v>739</v>
      </c>
      <c r="B84" s="54" t="s">
        <v>249</v>
      </c>
      <c r="C84" s="151">
        <v>1</v>
      </c>
      <c r="D84" s="54" t="s">
        <v>250</v>
      </c>
      <c r="E84" s="55" t="s">
        <v>741</v>
      </c>
      <c r="F84" s="55" t="s">
        <v>740</v>
      </c>
      <c r="G84" s="17" t="s">
        <v>742</v>
      </c>
      <c r="H84" s="126">
        <f>IFERROR(SUMIF(FABRIKASI[No.PON],DATA_MASTER[[#This Row],[NO. PON]],FABRIKASI[Berat Fabrikasi])+SUMIF(AKSESORIS[No.PON],DATA_MASTER[[#This Row],[NO. PON]],AKSESORIS[Total Berat
Aksesories
(Kg)])+SUMIF(BNW[No.PON],DATA_MASTER[[#This Row],[NO. PON]],BNW[Total Berat Baut
(Kg)])," ")*DATA_MASTER[[#This Row],[Qty
(Unit)]]</f>
        <v>72876.409159999996</v>
      </c>
      <c r="I84" s="53" t="s">
        <v>95</v>
      </c>
      <c r="J84" s="54" t="s">
        <v>16</v>
      </c>
      <c r="K84" s="188">
        <v>1</v>
      </c>
      <c r="L84" s="162" t="s">
        <v>120</v>
      </c>
      <c r="M84" s="216"/>
      <c r="N84" s="190">
        <v>44934</v>
      </c>
      <c r="O84" s="190" t="s">
        <v>743</v>
      </c>
      <c r="P84" s="4">
        <f t="shared" si="5"/>
        <v>220</v>
      </c>
      <c r="Q84" s="190">
        <v>0</v>
      </c>
      <c r="R84" s="190">
        <f t="shared" ca="1" si="6"/>
        <v>45640</v>
      </c>
      <c r="S84" s="4">
        <f ca="1">DATA_MASTER[[#This Row],[Date Finish]]-DATA_MASTER[[#This Row],[Finish Fabrikasi]]</f>
        <v>-486</v>
      </c>
      <c r="T84" s="5" t="str">
        <f ca="1">IF(DATA_MASTER[[#This Row],[Date Aktual Delivery to Site]]&lt;0,"Terlambat",IF(DATA_MASTER[[#This Row],[Date Aktual Delivery to Site]]&gt;30,"Sesuai Schedule",IF(DATA_MASTER[[#This Row],[Date Aktual Delivery to Site]]=0,"On schedule")))</f>
        <v>Terlambat</v>
      </c>
      <c r="U84" s="5" t="str">
        <f>IF(DATA_MASTER[[#This Row],[Status]]="completed","COMPLETED",IF(DATA_MASTER[[#This Row],[Status]]="RFD","WAKTU",IF(DATA_MASTER[[#This Row],[Status]]="ON GOING","PRIORITAS")))</f>
        <v>COMPLETED</v>
      </c>
      <c r="V84" s="4">
        <f>2023</f>
        <v>2023</v>
      </c>
    </row>
    <row r="85" spans="1:22" ht="31.95" customHeight="1" x14ac:dyDescent="0.3">
      <c r="A85" s="53" t="s">
        <v>750</v>
      </c>
      <c r="B85" s="54" t="s">
        <v>565</v>
      </c>
      <c r="C85" s="151">
        <v>1</v>
      </c>
      <c r="D85" s="54" t="s">
        <v>225</v>
      </c>
      <c r="E85" s="55" t="s">
        <v>752</v>
      </c>
      <c r="F85" s="54" t="s">
        <v>751</v>
      </c>
      <c r="G85" s="17" t="s">
        <v>742</v>
      </c>
      <c r="H85" s="126">
        <f>IFERROR(SUMIF(FABRIKASI[No.PON],DATA_MASTER[[#This Row],[NO. PON]],FABRIKASI[Berat Fabrikasi])+SUMIF(AKSESORIS[No.PON],DATA_MASTER[[#This Row],[NO. PON]],AKSESORIS[Total Berat
Aksesories
(Kg)])+SUMIF(BNW[No.PON],DATA_MASTER[[#This Row],[NO. PON]],BNW[Total Berat Baut
(Kg)])," ")*DATA_MASTER[[#This Row],[Qty
(Unit)]]</f>
        <v>44339.21</v>
      </c>
      <c r="I85" s="53" t="s">
        <v>95</v>
      </c>
      <c r="J85" s="54" t="s">
        <v>16</v>
      </c>
      <c r="K85" s="188">
        <v>1</v>
      </c>
      <c r="L85" s="162" t="s">
        <v>120</v>
      </c>
      <c r="M85" s="216"/>
      <c r="N85" s="190">
        <v>45140</v>
      </c>
      <c r="O85" s="190">
        <v>45141</v>
      </c>
      <c r="P85" s="4">
        <f t="shared" si="5"/>
        <v>1</v>
      </c>
      <c r="Q85" s="190">
        <v>45140</v>
      </c>
      <c r="R85" s="190">
        <f t="shared" ca="1" si="6"/>
        <v>45640</v>
      </c>
      <c r="S85" s="4">
        <f ca="1">DATA_MASTER[[#This Row],[Date Finish]]-DATA_MASTER[[#This Row],[Finish Fabrikasi]]</f>
        <v>-499</v>
      </c>
      <c r="T85" s="187" t="str">
        <f ca="1">IF(DATA_MASTER[[#This Row],[Date Aktual Delivery to Site]]&lt;0,"Terlambat",IF(DATA_MASTER[[#This Row],[Date Aktual Delivery to Site]]&gt;30,"Sesuai Schedule",IF(DATA_MASTER[[#This Row],[Date Aktual Delivery to Site]]=0,"On schedule")))</f>
        <v>Terlambat</v>
      </c>
      <c r="U85" s="187" t="str">
        <f>IF(DATA_MASTER[[#This Row],[Status]]="completed","COMPLETED",IF(DATA_MASTER[[#This Row],[Status]]="RFD","WAKTU",IF(DATA_MASTER[[#This Row],[Status]]="ON GOING","PRIORITAS")))</f>
        <v>COMPLETED</v>
      </c>
      <c r="V85" s="4">
        <f>2023</f>
        <v>2023</v>
      </c>
    </row>
    <row r="86" spans="1:22" ht="31.95" customHeight="1" x14ac:dyDescent="0.3">
      <c r="A86" s="53" t="s">
        <v>787</v>
      </c>
      <c r="B86" s="54" t="s">
        <v>4</v>
      </c>
      <c r="C86" s="151">
        <v>1</v>
      </c>
      <c r="D86" s="54" t="s">
        <v>788</v>
      </c>
      <c r="E86" s="55" t="s">
        <v>789</v>
      </c>
      <c r="F86" s="54" t="s">
        <v>790</v>
      </c>
      <c r="G86" s="17" t="s">
        <v>791</v>
      </c>
      <c r="H86" s="126">
        <f>IFERROR(SUMIF(FABRIKASI[No.PON],DATA_MASTER[[#This Row],[NO. PON]],FABRIKASI[Berat Fabrikasi])+SUMIF(AKSESORIS[No.PON],DATA_MASTER[[#This Row],[NO. PON]],AKSESORIS[Total Berat
Aksesories
(Kg)])+SUMIF(BNW[No.PON],DATA_MASTER[[#This Row],[NO. PON]],BNW[Total Berat Baut
(Kg)])," ")*DATA_MASTER[[#This Row],[Qty
(Unit)]]</f>
        <v>123722.847632</v>
      </c>
      <c r="I86" s="53" t="s">
        <v>95</v>
      </c>
      <c r="J86" s="54" t="s">
        <v>94</v>
      </c>
      <c r="K86" s="188">
        <v>1</v>
      </c>
      <c r="L86" s="162" t="s">
        <v>120</v>
      </c>
      <c r="M86" s="216">
        <v>128101.53241990398</v>
      </c>
      <c r="N86" s="190">
        <v>45145</v>
      </c>
      <c r="O86" s="190">
        <v>45191</v>
      </c>
      <c r="P86" s="4">
        <f t="shared" si="5"/>
        <v>46</v>
      </c>
      <c r="Q86" s="190">
        <v>0</v>
      </c>
      <c r="R86" s="190">
        <f t="shared" ca="1" si="6"/>
        <v>45640</v>
      </c>
      <c r="S86" s="4">
        <f ca="1">DATA_MASTER[[#This Row],[Date Finish]]-DATA_MASTER[[#This Row],[Finish Fabrikasi]]</f>
        <v>-449</v>
      </c>
      <c r="T86" s="187" t="str">
        <f ca="1">IF(DATA_MASTER[[#This Row],[Date Aktual Delivery to Site]]&lt;0,"Terlambat",IF(DATA_MASTER[[#This Row],[Date Aktual Delivery to Site]]&gt;30,"Sesuai Schedule",IF(DATA_MASTER[[#This Row],[Date Aktual Delivery to Site]]=0,"On schedule")))</f>
        <v>Terlambat</v>
      </c>
      <c r="U86" s="187" t="str">
        <f>IF(DATA_MASTER[[#This Row],[Status]]="completed","COMPLETED",IF(DATA_MASTER[[#This Row],[Status]]="RFD","WAKTU",IF(DATA_MASTER[[#This Row],[Status]]="ON GOING","PRIORITAS")))</f>
        <v>COMPLETED</v>
      </c>
      <c r="V86" s="4">
        <f>2023</f>
        <v>2023</v>
      </c>
    </row>
    <row r="87" spans="1:22" ht="31.95" customHeight="1" x14ac:dyDescent="0.3">
      <c r="A87" s="53" t="s">
        <v>792</v>
      </c>
      <c r="B87" s="54" t="s">
        <v>793</v>
      </c>
      <c r="C87" s="151">
        <v>1</v>
      </c>
      <c r="D87" s="54" t="s">
        <v>794</v>
      </c>
      <c r="E87" s="55" t="s">
        <v>795</v>
      </c>
      <c r="F87" s="54" t="s">
        <v>796</v>
      </c>
      <c r="G87" s="17" t="e" vm="23">
        <v>#VALUE!</v>
      </c>
      <c r="H87" s="126">
        <f>IFERROR(SUMIF(FABRIKASI[No.PON],DATA_MASTER[[#This Row],[NO. PON]],FABRIKASI[Berat Fabrikasi])+SUMIF(AKSESORIS[No.PON],DATA_MASTER[[#This Row],[NO. PON]],AKSESORIS[Total Berat
Aksesories
(Kg)])+SUMIF(BNW[No.PON],DATA_MASTER[[#This Row],[NO. PON]],BNW[Total Berat Baut
(Kg)])," ")*DATA_MASTER[[#This Row],[Qty
(Unit)]]</f>
        <v>23903.115000000002</v>
      </c>
      <c r="I87" s="53" t="s">
        <v>95</v>
      </c>
      <c r="J87" s="54" t="s">
        <v>94</v>
      </c>
      <c r="K87" s="188">
        <v>1</v>
      </c>
      <c r="L87" s="162" t="s">
        <v>120</v>
      </c>
      <c r="M87" s="216">
        <v>25783.03857248</v>
      </c>
      <c r="N87" s="190">
        <v>45024</v>
      </c>
      <c r="O87" s="190" t="s">
        <v>797</v>
      </c>
      <c r="P87" s="4">
        <f t="shared" si="5"/>
        <v>169</v>
      </c>
      <c r="Q87" s="190">
        <v>0</v>
      </c>
      <c r="R87" s="190">
        <f t="shared" ca="1" si="6"/>
        <v>45640</v>
      </c>
      <c r="S87" s="4">
        <f ca="1">DATA_MASTER[[#This Row],[Date Finish]]-DATA_MASTER[[#This Row],[Finish Fabrikasi]]</f>
        <v>-447</v>
      </c>
      <c r="T87" s="5" t="str">
        <f ca="1">IF(DATA_MASTER[[#This Row],[Date Aktual Delivery to Site]]&lt;0,"Terlambat",IF(DATA_MASTER[[#This Row],[Date Aktual Delivery to Site]]&gt;30,"Sesuai Schedule",IF(DATA_MASTER[[#This Row],[Date Aktual Delivery to Site]]=0,"On schedule")))</f>
        <v>Terlambat</v>
      </c>
      <c r="U87" s="5" t="str">
        <f>IF(DATA_MASTER[[#This Row],[Status]]="completed","COMPLETED",IF(DATA_MASTER[[#This Row],[Status]]="RFD","WAKTU",IF(DATA_MASTER[[#This Row],[Status]]="ON GOING","PRIORITAS")))</f>
        <v>COMPLETED</v>
      </c>
      <c r="V87" s="4">
        <f>2023</f>
        <v>2023</v>
      </c>
    </row>
    <row r="88" spans="1:22" ht="31.95" customHeight="1" x14ac:dyDescent="0.3">
      <c r="A88" s="53" t="s">
        <v>852</v>
      </c>
      <c r="B88" s="54" t="s">
        <v>565</v>
      </c>
      <c r="C88" s="151">
        <v>3</v>
      </c>
      <c r="D88" s="54" t="s">
        <v>210</v>
      </c>
      <c r="E88" s="55" t="s">
        <v>853</v>
      </c>
      <c r="F88" s="54" t="s">
        <v>854</v>
      </c>
      <c r="G88" s="17" t="s">
        <v>855</v>
      </c>
      <c r="H88" s="126">
        <f>IFERROR(SUMIF(FABRIKASI[No.PON],DATA_MASTER[[#This Row],[NO. PON]],FABRIKASI[Berat Fabrikasi])+SUMIF(AKSESORIS[No.PON],DATA_MASTER[[#This Row],[NO. PON]],AKSESORIS[Total Berat
Aksesories
(Kg)])+SUMIF(BNW[No.PON],DATA_MASTER[[#This Row],[NO. PON]],BNW[Total Berat Baut
(Kg)])," ")*DATA_MASTER[[#This Row],[Qty
(Unit)]]</f>
        <v>34890.852000000014</v>
      </c>
      <c r="I88" s="53" t="s">
        <v>95</v>
      </c>
      <c r="J88" s="54" t="s">
        <v>16</v>
      </c>
      <c r="K88" s="188">
        <v>1</v>
      </c>
      <c r="L88" s="162" t="s">
        <v>1160</v>
      </c>
      <c r="M88" s="216">
        <v>38928.506400000006</v>
      </c>
      <c r="N88" s="190">
        <v>45148</v>
      </c>
      <c r="O88" s="190">
        <v>45160</v>
      </c>
      <c r="P88" s="4">
        <f t="shared" si="5"/>
        <v>12</v>
      </c>
      <c r="Q88" s="190">
        <v>45150</v>
      </c>
      <c r="R88" s="190">
        <f t="shared" ca="1" si="6"/>
        <v>45640</v>
      </c>
      <c r="S88" s="4">
        <f ca="1">DATA_MASTER[[#This Row],[Date Finish]]-DATA_MASTER[[#This Row],[Finish Fabrikasi]]</f>
        <v>-480</v>
      </c>
      <c r="T88" s="187" t="str">
        <f ca="1">IF(DATA_MASTER[[#This Row],[Date Aktual Delivery to Site]]&lt;0,"Terlambat",IF(DATA_MASTER[[#This Row],[Date Aktual Delivery to Site]]&gt;30,"Sesuai Schedule",IF(DATA_MASTER[[#This Row],[Date Aktual Delivery to Site]]=0,"On schedule")))</f>
        <v>Terlambat</v>
      </c>
      <c r="U88" s="187" t="str">
        <f>IF(DATA_MASTER[[#This Row],[Status]]="completed","COMPLETED",IF(DATA_MASTER[[#This Row],[Status]]="RFD","WAKTU",IF(DATA_MASTER[[#This Row],[Status]]="ON GOING","PRIORITAS")))</f>
        <v>COMPLETED</v>
      </c>
      <c r="V88" s="4">
        <f>2023</f>
        <v>2023</v>
      </c>
    </row>
    <row r="89" spans="1:22" ht="31.95" customHeight="1" x14ac:dyDescent="0.3">
      <c r="A89" s="53" t="s">
        <v>798</v>
      </c>
      <c r="B89" s="54" t="s">
        <v>799</v>
      </c>
      <c r="C89" s="151">
        <v>1</v>
      </c>
      <c r="D89" s="54" t="s">
        <v>867</v>
      </c>
      <c r="E89" s="55" t="s">
        <v>800</v>
      </c>
      <c r="F89" s="54" t="s">
        <v>801</v>
      </c>
      <c r="G89" s="17" t="s">
        <v>802</v>
      </c>
      <c r="H89" s="126">
        <f>IFERROR(SUMIF(FABRIKASI[No.PON],DATA_MASTER[[#This Row],[NO. PON]],FABRIKASI[Berat Fabrikasi])+SUMIF(AKSESORIS[No.PON],DATA_MASTER[[#This Row],[NO. PON]],AKSESORIS[Total Berat
Aksesories
(Kg)])+SUMIF(BNW[No.PON],DATA_MASTER[[#This Row],[NO. PON]],BNW[Total Berat Baut
(Kg)])," ")*DATA_MASTER[[#This Row],[Qty
(Unit)]]</f>
        <v>6951.4168880000007</v>
      </c>
      <c r="I89" s="53" t="s">
        <v>95</v>
      </c>
      <c r="J89" s="54" t="s">
        <v>16</v>
      </c>
      <c r="K89" s="188">
        <v>1</v>
      </c>
      <c r="L89" s="162" t="s">
        <v>1160</v>
      </c>
      <c r="M89" s="216"/>
      <c r="N89" s="190">
        <v>45145</v>
      </c>
      <c r="O89" s="190">
        <v>45169</v>
      </c>
      <c r="P89" s="4">
        <f t="shared" si="5"/>
        <v>24</v>
      </c>
      <c r="Q89" s="190">
        <v>0</v>
      </c>
      <c r="R89" s="190">
        <f t="shared" ca="1" si="6"/>
        <v>45640</v>
      </c>
      <c r="S89" s="4">
        <f ca="1">DATA_MASTER[[#This Row],[Date Finish]]-DATA_MASTER[[#This Row],[Finish Fabrikasi]]</f>
        <v>-471</v>
      </c>
      <c r="T89" s="187" t="str">
        <f ca="1">IF(DATA_MASTER[[#This Row],[Date Aktual Delivery to Site]]&lt;0,"Terlambat",IF(DATA_MASTER[[#This Row],[Date Aktual Delivery to Site]]&gt;30,"Sesuai Schedule",IF(DATA_MASTER[[#This Row],[Date Aktual Delivery to Site]]=0,"On schedule")))</f>
        <v>Terlambat</v>
      </c>
      <c r="U89" s="187" t="str">
        <f>IF(DATA_MASTER[[#This Row],[Status]]="completed","COMPLETED",IF(DATA_MASTER[[#This Row],[Status]]="RFD","WAKTU",IF(DATA_MASTER[[#This Row],[Status]]="ON GOING","PRIORITAS")))</f>
        <v>COMPLETED</v>
      </c>
      <c r="V89" s="4">
        <f>2023</f>
        <v>2023</v>
      </c>
    </row>
    <row r="90" spans="1:22" ht="31.95" customHeight="1" x14ac:dyDescent="0.3">
      <c r="A90" s="53" t="s">
        <v>1000</v>
      </c>
      <c r="B90" s="54" t="s">
        <v>68</v>
      </c>
      <c r="C90" s="151">
        <v>1</v>
      </c>
      <c r="D90" s="54" t="s">
        <v>1001</v>
      </c>
      <c r="E90" s="55" t="s">
        <v>1002</v>
      </c>
      <c r="F90" s="54" t="s">
        <v>1003</v>
      </c>
      <c r="G90" s="17" t="s">
        <v>1004</v>
      </c>
      <c r="H90" s="126">
        <f>IFERROR(SUMIF(FABRIKASI[No.PON],DATA_MASTER[[#This Row],[NO. PON]],FABRIKASI[Berat Fabrikasi])+SUMIF(AKSESORIS[No.PON],DATA_MASTER[[#This Row],[NO. PON]],AKSESORIS[Total Berat
Aksesories
(Kg)])+SUMIF(BNW[No.PON],DATA_MASTER[[#This Row],[NO. PON]],BNW[Total Berat Baut
(Kg)])," ")*DATA_MASTER[[#This Row],[Qty
(Unit)]]</f>
        <v>16494.379999999997</v>
      </c>
      <c r="I90" s="53" t="s">
        <v>95</v>
      </c>
      <c r="J90" s="54" t="s">
        <v>16</v>
      </c>
      <c r="K90" s="188">
        <v>1</v>
      </c>
      <c r="L90" s="162" t="s">
        <v>1160</v>
      </c>
      <c r="M90" s="216"/>
      <c r="N90" s="190">
        <v>45187</v>
      </c>
      <c r="O90" s="190">
        <v>45226</v>
      </c>
      <c r="P90" s="4">
        <f t="shared" si="5"/>
        <v>39</v>
      </c>
      <c r="Q90" s="190"/>
      <c r="R90" s="190"/>
      <c r="S90" s="4">
        <f>DATA_MASTER[[#This Row],[Date Finish]]-DATA_MASTER[[#This Row],[Finish Fabrikasi]]</f>
        <v>45226</v>
      </c>
      <c r="T90" s="187" t="str">
        <f>IF(DATA_MASTER[[#This Row],[Date Aktual Delivery to Site]]&lt;0,"Terlambat",IF(DATA_MASTER[[#This Row],[Date Aktual Delivery to Site]]&gt;30,"Sesuai Schedule",IF(DATA_MASTER[[#This Row],[Date Aktual Delivery to Site]]=0,"On schedule")))</f>
        <v>Sesuai Schedule</v>
      </c>
      <c r="U90" s="187" t="str">
        <f>IF(DATA_MASTER[[#This Row],[Status]]="completed","COMPLETED",IF(DATA_MASTER[[#This Row],[Status]]="RFD","WAKTU",IF(DATA_MASTER[[#This Row],[Status]]="ON GOING","PRIORITAS")))</f>
        <v>COMPLETED</v>
      </c>
      <c r="V90" s="4">
        <f>2023</f>
        <v>2023</v>
      </c>
    </row>
    <row r="91" spans="1:22" ht="31.95" customHeight="1" x14ac:dyDescent="0.3">
      <c r="A91" s="53" t="s">
        <v>960</v>
      </c>
      <c r="B91" s="54" t="s">
        <v>4</v>
      </c>
      <c r="C91" s="151">
        <v>1</v>
      </c>
      <c r="D91" s="54" t="s">
        <v>686</v>
      </c>
      <c r="E91" s="55" t="s">
        <v>961</v>
      </c>
      <c r="F91" s="54" t="s">
        <v>962</v>
      </c>
      <c r="G91" s="17" t="s">
        <v>689</v>
      </c>
      <c r="H91" s="126">
        <f>IFERROR(SUMIF(FABRIKASI[No.PON],DATA_MASTER[[#This Row],[NO. PON]],FABRIKASI[Berat Fabrikasi])+SUMIF(AKSESORIS[No.PON],DATA_MASTER[[#This Row],[NO. PON]],AKSESORIS[Total Berat
Aksesories
(Kg)])+SUMIF(BNW[No.PON],DATA_MASTER[[#This Row],[NO. PON]],BNW[Total Berat Baut
(Kg)])," ")*DATA_MASTER[[#This Row],[Qty
(Unit)]]</f>
        <v>8639.5304639999977</v>
      </c>
      <c r="I91" s="53" t="s">
        <v>95</v>
      </c>
      <c r="J91" s="54" t="s">
        <v>23</v>
      </c>
      <c r="K91" s="188">
        <v>1</v>
      </c>
      <c r="L91" s="162" t="s">
        <v>120</v>
      </c>
      <c r="M91" s="216">
        <v>11984.77</v>
      </c>
      <c r="N91" s="190">
        <v>45163</v>
      </c>
      <c r="O91" s="190">
        <v>45193</v>
      </c>
      <c r="P91" s="4">
        <f t="shared" si="5"/>
        <v>30</v>
      </c>
      <c r="Q91" s="190">
        <v>0</v>
      </c>
      <c r="R91" s="190">
        <f ca="1">TODAY()</f>
        <v>45640</v>
      </c>
      <c r="S91" s="4">
        <f ca="1">DATA_MASTER[[#This Row],[Date Finish]]-DATA_MASTER[[#This Row],[Finish Fabrikasi]]</f>
        <v>-447</v>
      </c>
      <c r="T91" s="5" t="str">
        <f ca="1">IF(DATA_MASTER[[#This Row],[Date Aktual Delivery to Site]]&lt;0,"Terlambat",IF(DATA_MASTER[[#This Row],[Date Aktual Delivery to Site]]&gt;30,"Sesuai Schedule",IF(DATA_MASTER[[#This Row],[Date Aktual Delivery to Site]]=0,"On schedule")))</f>
        <v>Terlambat</v>
      </c>
      <c r="U91" s="5" t="str">
        <f>IF(DATA_MASTER[[#This Row],[Status]]="completed","COMPLETED",IF(DATA_MASTER[[#This Row],[Status]]="RFD","WAKTU",IF(DATA_MASTER[[#This Row],[Status]]="ON GOING","PRIORITAS")))</f>
        <v>COMPLETED</v>
      </c>
      <c r="V91" s="4">
        <f>2023</f>
        <v>2023</v>
      </c>
    </row>
    <row r="92" spans="1:22" ht="31.95" customHeight="1" x14ac:dyDescent="0.3">
      <c r="A92" s="53" t="s">
        <v>905</v>
      </c>
      <c r="B92" s="54" t="s">
        <v>565</v>
      </c>
      <c r="C92" s="151">
        <v>1</v>
      </c>
      <c r="D92" s="54" t="s">
        <v>908</v>
      </c>
      <c r="E92" s="55" t="s">
        <v>907</v>
      </c>
      <c r="F92" s="54" t="s">
        <v>906</v>
      </c>
      <c r="G92" s="17" t="s">
        <v>909</v>
      </c>
      <c r="H92" s="126">
        <f>IFERROR(SUMIF(FABRIKASI[No.PON],DATA_MASTER[[#This Row],[NO. PON]],FABRIKASI[Berat Fabrikasi])+SUMIF(AKSESORIS[No.PON],DATA_MASTER[[#This Row],[NO. PON]],AKSESORIS[Total Berat
Aksesories
(Kg)])+SUMIF(BNW[No.PON],DATA_MASTER[[#This Row],[NO. PON]],BNW[Total Berat Baut
(Kg)])," ")*DATA_MASTER[[#This Row],[Qty
(Unit)]]</f>
        <v>103.32013994960001</v>
      </c>
      <c r="I92" s="53" t="s">
        <v>95</v>
      </c>
      <c r="J92" s="54" t="s">
        <v>18</v>
      </c>
      <c r="K92" s="188">
        <v>1</v>
      </c>
      <c r="L92" s="162" t="s">
        <v>120</v>
      </c>
      <c r="M92" s="216"/>
      <c r="N92" s="190">
        <v>45153</v>
      </c>
      <c r="O92" s="190">
        <v>45169</v>
      </c>
      <c r="P92" s="4">
        <f t="shared" si="5"/>
        <v>16</v>
      </c>
      <c r="Q92" s="190">
        <v>0</v>
      </c>
      <c r="R92" s="190">
        <f ca="1">TODAY()</f>
        <v>45640</v>
      </c>
      <c r="S92" s="4">
        <f ca="1">DATA_MASTER[[#This Row],[Date Finish]]-DATA_MASTER[[#This Row],[Finish Fabrikasi]]</f>
        <v>-471</v>
      </c>
      <c r="T92" s="187" t="str">
        <f ca="1">IF(DATA_MASTER[[#This Row],[Date Aktual Delivery to Site]]&lt;0,"Terlambat",IF(DATA_MASTER[[#This Row],[Date Aktual Delivery to Site]]&gt;30,"Sesuai Schedule",IF(DATA_MASTER[[#This Row],[Date Aktual Delivery to Site]]=0,"On schedule")))</f>
        <v>Terlambat</v>
      </c>
      <c r="U92" s="187" t="str">
        <f>IF(DATA_MASTER[[#This Row],[Status]]="completed","COMPLETED",IF(DATA_MASTER[[#This Row],[Status]]="RFD","WAKTU",IF(DATA_MASTER[[#This Row],[Status]]="ON GOING","PRIORITAS")))</f>
        <v>COMPLETED</v>
      </c>
      <c r="V92" s="4">
        <f>2023</f>
        <v>2023</v>
      </c>
    </row>
    <row r="93" spans="1:22" ht="31.95" customHeight="1" x14ac:dyDescent="0.3">
      <c r="A93" s="53" t="s">
        <v>948</v>
      </c>
      <c r="B93" s="54" t="s">
        <v>249</v>
      </c>
      <c r="C93" s="151">
        <v>1</v>
      </c>
      <c r="D93" s="54" t="s">
        <v>949</v>
      </c>
      <c r="E93" s="55" t="s">
        <v>950</v>
      </c>
      <c r="F93" s="54" t="s">
        <v>951</v>
      </c>
      <c r="G93" s="17" t="s">
        <v>952</v>
      </c>
      <c r="H93" s="126">
        <f>IFERROR(SUMIF(FABRIKASI[No.PON],DATA_MASTER[[#This Row],[NO. PON]],FABRIKASI[Berat Fabrikasi])+SUMIF(AKSESORIS[No.PON],DATA_MASTER[[#This Row],[NO. PON]],AKSESORIS[Total Berat
Aksesories
(Kg)])+SUMIF(BNW[No.PON],DATA_MASTER[[#This Row],[NO. PON]],BNW[Total Berat Baut
(Kg)])," ")*DATA_MASTER[[#This Row],[Qty
(Unit)]]</f>
        <v>52321.654284000055</v>
      </c>
      <c r="I93" s="53" t="s">
        <v>95</v>
      </c>
      <c r="J93" s="54" t="s">
        <v>16</v>
      </c>
      <c r="K93" s="188">
        <v>1</v>
      </c>
      <c r="L93" s="162" t="s">
        <v>120</v>
      </c>
      <c r="M93" s="216">
        <v>56067.613729866724</v>
      </c>
      <c r="N93" s="190">
        <v>45156</v>
      </c>
      <c r="O93" s="190">
        <v>45203</v>
      </c>
      <c r="P93" s="4">
        <f t="shared" si="5"/>
        <v>47</v>
      </c>
      <c r="Q93" s="190">
        <v>0</v>
      </c>
      <c r="R93" s="190">
        <f ca="1">TODAY()</f>
        <v>45640</v>
      </c>
      <c r="S93" s="4">
        <f ca="1">DATA_MASTER[[#This Row],[Date Finish]]-DATA_MASTER[[#This Row],[Finish Fabrikasi]]</f>
        <v>-437</v>
      </c>
      <c r="T93" s="5" t="str">
        <f ca="1">IF(DATA_MASTER[[#This Row],[Date Aktual Delivery to Site]]&lt;0,"Terlambat",IF(DATA_MASTER[[#This Row],[Date Aktual Delivery to Site]]&gt;30,"Sesuai Schedule",IF(DATA_MASTER[[#This Row],[Date Aktual Delivery to Site]]=0,"On schedule")))</f>
        <v>Terlambat</v>
      </c>
      <c r="U93" s="5" t="str">
        <f>IF(DATA_MASTER[[#This Row],[Status]]="completed","COMPLETED",IF(DATA_MASTER[[#This Row],[Status]]="RFD","WAKTU",IF(DATA_MASTER[[#This Row],[Status]]="ON GOING","PRIORITAS")))</f>
        <v>COMPLETED</v>
      </c>
      <c r="V93" s="4">
        <f>2023</f>
        <v>2023</v>
      </c>
    </row>
    <row r="94" spans="1:22" ht="31.95" customHeight="1" x14ac:dyDescent="0.3">
      <c r="A94" s="53" t="s">
        <v>1081</v>
      </c>
      <c r="B94" s="54" t="s">
        <v>68</v>
      </c>
      <c r="C94" s="151">
        <v>1</v>
      </c>
      <c r="D94" s="54" t="s">
        <v>1284</v>
      </c>
      <c r="E94" s="55" t="s">
        <v>1082</v>
      </c>
      <c r="F94" s="54" t="s">
        <v>1083</v>
      </c>
      <c r="G94" s="17" t="s">
        <v>970</v>
      </c>
      <c r="H94" s="126">
        <f>IFERROR(SUMIF(FABRIKASI[No.PON],DATA_MASTER[[#This Row],[NO. PON]],FABRIKASI[Berat Fabrikasi])+SUMIF(AKSESORIS[No.PON],DATA_MASTER[[#This Row],[NO. PON]],AKSESORIS[Total Berat
Aksesories
(Kg)])+SUMIF(BNW[No.PON],DATA_MASTER[[#This Row],[NO. PON]],BNW[Total Berat Baut
(Kg)])," ")*DATA_MASTER[[#This Row],[Qty
(Unit)]]</f>
        <v>37054.884583999999</v>
      </c>
      <c r="I94" s="53" t="s">
        <v>95</v>
      </c>
      <c r="J94" s="54" t="s">
        <v>16</v>
      </c>
      <c r="K94" s="188">
        <v>1</v>
      </c>
      <c r="L94" s="162" t="s">
        <v>120</v>
      </c>
      <c r="M94" s="216"/>
      <c r="N94" s="190">
        <v>45194</v>
      </c>
      <c r="O94" s="190">
        <v>45226</v>
      </c>
      <c r="P94" s="4">
        <f t="shared" si="5"/>
        <v>32</v>
      </c>
      <c r="Q94" s="190"/>
      <c r="R94" s="190"/>
      <c r="S94" s="4">
        <f>DATA_MASTER[[#This Row],[Date Finish]]-DATA_MASTER[[#This Row],[Finish Fabrikasi]]</f>
        <v>45226</v>
      </c>
      <c r="T94" s="5" t="str">
        <f>IF(DATA_MASTER[[#This Row],[Date Aktual Delivery to Site]]&lt;0,"Terlambat",IF(DATA_MASTER[[#This Row],[Date Aktual Delivery to Site]]&gt;30,"Sesuai Schedule",IF(DATA_MASTER[[#This Row],[Date Aktual Delivery to Site]]=0,"On schedule")))</f>
        <v>Sesuai Schedule</v>
      </c>
      <c r="U94" s="5" t="str">
        <f>IF(DATA_MASTER[[#This Row],[Status]]="completed","COMPLETED",IF(DATA_MASTER[[#This Row],[Status]]="RFD","WAKTU",IF(DATA_MASTER[[#This Row],[Status]]="ON GOING","PRIORITAS")))</f>
        <v>COMPLETED</v>
      </c>
      <c r="V94" s="4">
        <f>2023</f>
        <v>2023</v>
      </c>
    </row>
    <row r="95" spans="1:22" ht="31.95" customHeight="1" x14ac:dyDescent="0.3">
      <c r="A95" s="53" t="s">
        <v>1179</v>
      </c>
      <c r="B95" s="54" t="s">
        <v>1178</v>
      </c>
      <c r="C95" s="151">
        <v>2</v>
      </c>
      <c r="D95" s="54" t="s">
        <v>1182</v>
      </c>
      <c r="E95" s="55" t="s">
        <v>1187</v>
      </c>
      <c r="F95" s="54" t="s">
        <v>1188</v>
      </c>
      <c r="G95" s="17" t="s">
        <v>1189</v>
      </c>
      <c r="H95" s="126">
        <f>IFERROR(SUMIF(FABRIKASI[No.PON],DATA_MASTER[[#This Row],[NO. PON]],FABRIKASI[Berat Fabrikasi])+SUMIF(AKSESORIS[No.PON],DATA_MASTER[[#This Row],[NO. PON]],AKSESORIS[Total Berat
Aksesories
(Kg)])+SUMIF(BNW[No.PON],DATA_MASTER[[#This Row],[NO. PON]],BNW[Total Berat Baut
(Kg)])," ")*DATA_MASTER[[#This Row],[Qty
(Unit)]]</f>
        <v>5502.303194000001</v>
      </c>
      <c r="I95" s="53" t="s">
        <v>95</v>
      </c>
      <c r="J95" s="54" t="s">
        <v>16</v>
      </c>
      <c r="K95" s="188">
        <v>1</v>
      </c>
      <c r="L95" s="162" t="s">
        <v>120</v>
      </c>
      <c r="M95" s="216"/>
      <c r="N95" s="190">
        <v>45219</v>
      </c>
      <c r="O95" s="190">
        <v>45260</v>
      </c>
      <c r="P95" s="4">
        <f t="shared" si="5"/>
        <v>41</v>
      </c>
      <c r="Q95" s="190"/>
      <c r="R95" s="190"/>
      <c r="S95" s="4">
        <f>DATA_MASTER[[#This Row],[Date Finish]]-DATA_MASTER[[#This Row],[Finish Fabrikasi]]</f>
        <v>45260</v>
      </c>
      <c r="T95" s="5" t="str">
        <f>IF(DATA_MASTER[[#This Row],[Date Aktual Delivery to Site]]&lt;0,"Terlambat",IF(DATA_MASTER[[#This Row],[Date Aktual Delivery to Site]]&gt;30,"Sesuai Schedule",IF(DATA_MASTER[[#This Row],[Date Aktual Delivery to Site]]=0,"On schedule")))</f>
        <v>Sesuai Schedule</v>
      </c>
      <c r="U95" s="5" t="str">
        <f>IF(DATA_MASTER[[#This Row],[Status]]="completed","COMPLETED",IF(DATA_MASTER[[#This Row],[Status]]="RFD","WAKTU",IF(DATA_MASTER[[#This Row],[Status]]="ON GOING","PRIORITAS")))</f>
        <v>COMPLETED</v>
      </c>
      <c r="V95" s="4">
        <f>2023</f>
        <v>2023</v>
      </c>
    </row>
    <row r="96" spans="1:22" ht="31.95" customHeight="1" x14ac:dyDescent="0.3">
      <c r="A96" s="53" t="s">
        <v>1180</v>
      </c>
      <c r="B96" s="54" t="s">
        <v>1178</v>
      </c>
      <c r="C96" s="151">
        <v>1</v>
      </c>
      <c r="D96" s="54" t="s">
        <v>1183</v>
      </c>
      <c r="E96" s="55" t="s">
        <v>1187</v>
      </c>
      <c r="F96" s="54" t="s">
        <v>1188</v>
      </c>
      <c r="G96" s="17" t="s">
        <v>1189</v>
      </c>
      <c r="H96" s="126">
        <f>IFERROR(SUMIF(FABRIKASI[No.PON],DATA_MASTER[[#This Row],[NO. PON]],FABRIKASI[Berat Fabrikasi])+SUMIF(AKSESORIS[No.PON],DATA_MASTER[[#This Row],[NO. PON]],AKSESORIS[Total Berat
Aksesories
(Kg)])+SUMIF(BNW[No.PON],DATA_MASTER[[#This Row],[NO. PON]],BNW[Total Berat Baut
(Kg)])," ")*DATA_MASTER[[#This Row],[Qty
(Unit)]]</f>
        <v>5255.8645969999989</v>
      </c>
      <c r="I96" s="53" t="s">
        <v>95</v>
      </c>
      <c r="J96" s="54" t="s">
        <v>16</v>
      </c>
      <c r="K96" s="188">
        <v>1</v>
      </c>
      <c r="L96" s="162" t="s">
        <v>120</v>
      </c>
      <c r="M96" s="216"/>
      <c r="N96" s="190">
        <v>45219</v>
      </c>
      <c r="O96" s="190">
        <v>45260</v>
      </c>
      <c r="P96" s="4">
        <f t="shared" si="5"/>
        <v>41</v>
      </c>
      <c r="Q96" s="190"/>
      <c r="R96" s="190"/>
      <c r="S96" s="4">
        <f>DATA_MASTER[[#This Row],[Date Finish]]-DATA_MASTER[[#This Row],[Finish Fabrikasi]]</f>
        <v>45260</v>
      </c>
      <c r="T96" s="5" t="str">
        <f>IF(DATA_MASTER[[#This Row],[Date Aktual Delivery to Site]]&lt;0,"Terlambat",IF(DATA_MASTER[[#This Row],[Date Aktual Delivery to Site]]&gt;30,"Sesuai Schedule",IF(DATA_MASTER[[#This Row],[Date Aktual Delivery to Site]]=0,"On schedule")))</f>
        <v>Sesuai Schedule</v>
      </c>
      <c r="U96" s="5" t="str">
        <f>IF(DATA_MASTER[[#This Row],[Status]]="completed","COMPLETED",IF(DATA_MASTER[[#This Row],[Status]]="RFD","WAKTU",IF(DATA_MASTER[[#This Row],[Status]]="ON GOING","PRIORITAS")))</f>
        <v>COMPLETED</v>
      </c>
      <c r="V96" s="4">
        <f>2023</f>
        <v>2023</v>
      </c>
    </row>
    <row r="97" spans="1:22" ht="31.95" customHeight="1" x14ac:dyDescent="0.3">
      <c r="A97" s="53" t="s">
        <v>1181</v>
      </c>
      <c r="B97" s="54" t="s">
        <v>1178</v>
      </c>
      <c r="C97" s="151">
        <v>1</v>
      </c>
      <c r="D97" s="54" t="s">
        <v>1184</v>
      </c>
      <c r="E97" s="55" t="s">
        <v>1187</v>
      </c>
      <c r="F97" s="54" t="s">
        <v>1188</v>
      </c>
      <c r="G97" s="17" t="s">
        <v>1189</v>
      </c>
      <c r="H97" s="126">
        <f>IFERROR(SUMIF(FABRIKASI[No.PON],DATA_MASTER[[#This Row],[NO. PON]],FABRIKASI[Berat Fabrikasi])+SUMIF(AKSESORIS[No.PON],DATA_MASTER[[#This Row],[NO. PON]],AKSESORIS[Total Berat
Aksesories
(Kg)])+SUMIF(BNW[No.PON],DATA_MASTER[[#This Row],[NO. PON]],BNW[Total Berat Baut
(Kg)])," ")*DATA_MASTER[[#This Row],[Qty
(Unit)]]</f>
        <v>15732.921999999999</v>
      </c>
      <c r="I97" s="53" t="s">
        <v>95</v>
      </c>
      <c r="J97" s="54" t="s">
        <v>16</v>
      </c>
      <c r="K97" s="188">
        <v>1</v>
      </c>
      <c r="L97" s="162" t="s">
        <v>120</v>
      </c>
      <c r="M97" s="216"/>
      <c r="N97" s="190">
        <v>45219</v>
      </c>
      <c r="O97" s="190">
        <v>45260</v>
      </c>
      <c r="P97" s="4">
        <f t="shared" si="5"/>
        <v>41</v>
      </c>
      <c r="Q97" s="190"/>
      <c r="R97" s="190"/>
      <c r="S97" s="4">
        <f>DATA_MASTER[[#This Row],[Date Finish]]-DATA_MASTER[[#This Row],[Finish Fabrikasi]]</f>
        <v>45260</v>
      </c>
      <c r="T97" s="5" t="str">
        <f>IF(DATA_MASTER[[#This Row],[Date Aktual Delivery to Site]]&lt;0,"Terlambat",IF(DATA_MASTER[[#This Row],[Date Aktual Delivery to Site]]&gt;30,"Sesuai Schedule",IF(DATA_MASTER[[#This Row],[Date Aktual Delivery to Site]]=0,"On schedule")))</f>
        <v>Sesuai Schedule</v>
      </c>
      <c r="U97" s="5" t="str">
        <f>IF(DATA_MASTER[[#This Row],[Status]]="completed","COMPLETED",IF(DATA_MASTER[[#This Row],[Status]]="RFD","WAKTU",IF(DATA_MASTER[[#This Row],[Status]]="ON GOING","PRIORITAS")))</f>
        <v>COMPLETED</v>
      </c>
      <c r="V97" s="4">
        <f>2023</f>
        <v>2023</v>
      </c>
    </row>
    <row r="98" spans="1:22" ht="31.95" customHeight="1" x14ac:dyDescent="0.3">
      <c r="A98" s="53" t="s">
        <v>979</v>
      </c>
      <c r="B98" s="54" t="s">
        <v>978</v>
      </c>
      <c r="C98" s="151">
        <v>1</v>
      </c>
      <c r="D98" s="54" t="s">
        <v>971</v>
      </c>
      <c r="E98" s="55" t="s">
        <v>972</v>
      </c>
      <c r="F98" s="54" t="s">
        <v>973</v>
      </c>
      <c r="G98" s="17" t="s">
        <v>974</v>
      </c>
      <c r="H98" s="126">
        <f>IFERROR(SUMIF(FABRIKASI[No.PON],DATA_MASTER[[#This Row],[NO. PON]],FABRIKASI[Berat Fabrikasi])+SUMIF(AKSESORIS[No.PON],DATA_MASTER[[#This Row],[NO. PON]],AKSESORIS[Total Berat
Aksesories
(Kg)])+SUMIF(BNW[No.PON],DATA_MASTER[[#This Row],[NO. PON]],BNW[Total Berat Baut
(Kg)])," ")*DATA_MASTER[[#This Row],[Qty
(Unit)]]</f>
        <v>12082.891776400002</v>
      </c>
      <c r="I98" s="53" t="s">
        <v>95</v>
      </c>
      <c r="J98" s="54" t="s">
        <v>16</v>
      </c>
      <c r="K98" s="188">
        <v>1</v>
      </c>
      <c r="L98" s="162" t="s">
        <v>120</v>
      </c>
      <c r="M98" s="216">
        <v>12906.872547298733</v>
      </c>
      <c r="N98" s="190">
        <v>45161</v>
      </c>
      <c r="O98" s="190">
        <v>45167</v>
      </c>
      <c r="P98" s="4">
        <f t="shared" si="5"/>
        <v>6</v>
      </c>
      <c r="Q98" s="190">
        <v>0</v>
      </c>
      <c r="R98" s="190">
        <f ca="1">TODAY()</f>
        <v>45640</v>
      </c>
      <c r="S98" s="4">
        <f ca="1">DATA_MASTER[[#This Row],[Date Finish]]-DATA_MASTER[[#This Row],[Finish Fabrikasi]]</f>
        <v>-473</v>
      </c>
      <c r="T98" s="5" t="str">
        <f ca="1">IF(DATA_MASTER[[#This Row],[Date Aktual Delivery to Site]]&lt;0,"Terlambat",IF(DATA_MASTER[[#This Row],[Date Aktual Delivery to Site]]&gt;30,"Sesuai Schedule",IF(DATA_MASTER[[#This Row],[Date Aktual Delivery to Site]]=0,"On schedule")))</f>
        <v>Terlambat</v>
      </c>
      <c r="U98" s="5" t="str">
        <f>IF(DATA_MASTER[[#This Row],[Status]]="completed","COMPLETED",IF(DATA_MASTER[[#This Row],[Status]]="RFD","WAKTU",IF(DATA_MASTER[[#This Row],[Status]]="ON GOING","PRIORITAS")))</f>
        <v>COMPLETED</v>
      </c>
      <c r="V98" s="4">
        <f>2023</f>
        <v>2023</v>
      </c>
    </row>
    <row r="99" spans="1:22" ht="31.95" customHeight="1" x14ac:dyDescent="0.3">
      <c r="A99" s="53" t="s">
        <v>967</v>
      </c>
      <c r="B99" s="54" t="s">
        <v>565</v>
      </c>
      <c r="C99" s="151">
        <v>1</v>
      </c>
      <c r="D99" s="54" t="s">
        <v>364</v>
      </c>
      <c r="E99" s="55" t="s">
        <v>968</v>
      </c>
      <c r="F99" s="54" t="s">
        <v>969</v>
      </c>
      <c r="G99" s="17" t="s">
        <v>970</v>
      </c>
      <c r="H99" s="126">
        <f>IFERROR(SUMIF(FABRIKASI[No.PON],DATA_MASTER[[#This Row],[NO. PON]],FABRIKASI[Berat Fabrikasi])+SUMIF(AKSESORIS[No.PON],DATA_MASTER[[#This Row],[NO. PON]],AKSESORIS[Total Berat
Aksesories
(Kg)])+SUMIF(BNW[No.PON],DATA_MASTER[[#This Row],[NO. PON]],BNW[Total Berat Baut
(Kg)])," ")*DATA_MASTER[[#This Row],[Qty
(Unit)]]</f>
        <v>36276.538</v>
      </c>
      <c r="I99" s="53" t="s">
        <v>95</v>
      </c>
      <c r="J99" s="54" t="s">
        <v>16</v>
      </c>
      <c r="K99" s="188">
        <v>1</v>
      </c>
      <c r="L99" s="162" t="s">
        <v>120</v>
      </c>
      <c r="M99" s="216">
        <v>39918.69616</v>
      </c>
      <c r="N99" s="190">
        <v>45166</v>
      </c>
      <c r="O99" s="190">
        <v>45193</v>
      </c>
      <c r="P99" s="4">
        <f t="shared" si="5"/>
        <v>27</v>
      </c>
      <c r="Q99" s="190">
        <v>45173</v>
      </c>
      <c r="R99" s="190">
        <f ca="1">TODAY()</f>
        <v>45640</v>
      </c>
      <c r="S99" s="4">
        <f ca="1">DATA_MASTER[[#This Row],[Date Finish]]-DATA_MASTER[[#This Row],[Finish Fabrikasi]]</f>
        <v>-447</v>
      </c>
      <c r="T99" s="5" t="str">
        <f ca="1">IF(DATA_MASTER[[#This Row],[Date Aktual Delivery to Site]]&lt;0,"Terlambat",IF(DATA_MASTER[[#This Row],[Date Aktual Delivery to Site]]&gt;30,"Sesuai Schedule",IF(DATA_MASTER[[#This Row],[Date Aktual Delivery to Site]]=0,"On schedule")))</f>
        <v>Terlambat</v>
      </c>
      <c r="U99" s="5" t="str">
        <f>IF(DATA_MASTER[[#This Row],[Status]]="completed","COMPLETED",IF(DATA_MASTER[[#This Row],[Status]]="RFD","WAKTU",IF(DATA_MASTER[[#This Row],[Status]]="ON GOING","PRIORITAS")))</f>
        <v>COMPLETED</v>
      </c>
      <c r="V99" s="4">
        <f>2023</f>
        <v>2023</v>
      </c>
    </row>
    <row r="100" spans="1:22" ht="31.95" customHeight="1" x14ac:dyDescent="0.3">
      <c r="A100" s="53" t="s">
        <v>991</v>
      </c>
      <c r="B100" s="54" t="s">
        <v>4</v>
      </c>
      <c r="C100" s="151">
        <v>1</v>
      </c>
      <c r="D100" s="54" t="s">
        <v>686</v>
      </c>
      <c r="E100" s="55" t="s">
        <v>992</v>
      </c>
      <c r="F100" s="54" t="s">
        <v>993</v>
      </c>
      <c r="G100" s="17" t="s">
        <v>994</v>
      </c>
      <c r="H100" s="126">
        <f>IFERROR(SUMIF(FABRIKASI[No.PON],DATA_MASTER[[#This Row],[NO. PON]],FABRIKASI[Berat Fabrikasi])+SUMIF(AKSESORIS[No.PON],DATA_MASTER[[#This Row],[NO. PON]],AKSESORIS[Total Berat
Aksesories
(Kg)])+SUMIF(BNW[No.PON],DATA_MASTER[[#This Row],[NO. PON]],BNW[Total Berat Baut
(Kg)])," ")*DATA_MASTER[[#This Row],[Qty
(Unit)]]</f>
        <v>8728.8063759999968</v>
      </c>
      <c r="I100" s="53" t="s">
        <v>95</v>
      </c>
      <c r="J100" s="54" t="s">
        <v>18</v>
      </c>
      <c r="K100" s="188">
        <v>1</v>
      </c>
      <c r="L100" s="162" t="s">
        <v>120</v>
      </c>
      <c r="M100" s="216">
        <v>10190.948736219954</v>
      </c>
      <c r="N100" s="190">
        <v>45182</v>
      </c>
      <c r="O100" s="190">
        <v>45221</v>
      </c>
      <c r="P100" s="4">
        <f t="shared" si="5"/>
        <v>39</v>
      </c>
      <c r="Q100" s="190">
        <v>45182</v>
      </c>
      <c r="R100" s="190">
        <v>45219</v>
      </c>
      <c r="S100" s="4">
        <f>DATA_MASTER[[#This Row],[Date Finish]]-DATA_MASTER[[#This Row],[Finish Fabrikasi]]</f>
        <v>2</v>
      </c>
      <c r="T100" s="5" t="b">
        <f>IF(DATA_MASTER[[#This Row],[Date Aktual Delivery to Site]]&lt;0,"Terlambat",IF(DATA_MASTER[[#This Row],[Date Aktual Delivery to Site]]&gt;30,"Sesuai Schedule",IF(DATA_MASTER[[#This Row],[Date Aktual Delivery to Site]]=0,"On schedule")))</f>
        <v>0</v>
      </c>
      <c r="U100" s="5" t="str">
        <f>IF(DATA_MASTER[[#This Row],[Status]]="completed","COMPLETED",IF(DATA_MASTER[[#This Row],[Status]]="RFD","WAKTU",IF(DATA_MASTER[[#This Row],[Status]]="ON GOING","PRIORITAS")))</f>
        <v>COMPLETED</v>
      </c>
      <c r="V100" s="4">
        <f>2023</f>
        <v>2023</v>
      </c>
    </row>
    <row r="101" spans="1:22" ht="31.95" customHeight="1" x14ac:dyDescent="0.3">
      <c r="A101" s="53" t="s">
        <v>1005</v>
      </c>
      <c r="B101" s="54" t="s">
        <v>249</v>
      </c>
      <c r="C101" s="151">
        <v>1</v>
      </c>
      <c r="D101" s="54" t="s">
        <v>567</v>
      </c>
      <c r="E101" s="55" t="s">
        <v>1006</v>
      </c>
      <c r="F101" s="54" t="s">
        <v>1007</v>
      </c>
      <c r="G101" s="17" t="s">
        <v>1008</v>
      </c>
      <c r="H101" s="126">
        <f>IFERROR(SUMIF(FABRIKASI[No.PON],DATA_MASTER[[#This Row],[NO. PON]],FABRIKASI[Berat Fabrikasi])+SUMIF(AKSESORIS[No.PON],DATA_MASTER[[#This Row],[NO. PON]],AKSESORIS[Total Berat
Aksesories
(Kg)])+SUMIF(BNW[No.PON],DATA_MASTER[[#This Row],[NO. PON]],BNW[Total Berat Baut
(Kg)])," ")*DATA_MASTER[[#This Row],[Qty
(Unit)]]</f>
        <v>104003.11822400006</v>
      </c>
      <c r="I101" s="53" t="s">
        <v>95</v>
      </c>
      <c r="J101" s="54" t="s">
        <v>16</v>
      </c>
      <c r="K101" s="188">
        <v>1</v>
      </c>
      <c r="L101" s="162" t="s">
        <v>120</v>
      </c>
      <c r="M101" s="216"/>
      <c r="N101" s="190">
        <v>45194</v>
      </c>
      <c r="O101" s="190">
        <v>45237</v>
      </c>
      <c r="P101" s="4">
        <f t="shared" si="5"/>
        <v>43</v>
      </c>
      <c r="Q101" s="190"/>
      <c r="R101" s="190"/>
      <c r="S101" s="4">
        <f>DATA_MASTER[[#This Row],[Date Finish]]-DATA_MASTER[[#This Row],[Finish Fabrikasi]]</f>
        <v>45237</v>
      </c>
      <c r="T101" s="5" t="str">
        <f>IF(DATA_MASTER[[#This Row],[Date Aktual Delivery to Site]]&lt;0,"Terlambat",IF(DATA_MASTER[[#This Row],[Date Aktual Delivery to Site]]&gt;30,"Sesuai Schedule",IF(DATA_MASTER[[#This Row],[Date Aktual Delivery to Site]]=0,"On schedule")))</f>
        <v>Sesuai Schedule</v>
      </c>
      <c r="U101" s="5" t="str">
        <f>IF(DATA_MASTER[[#This Row],[Status]]="completed","COMPLETED",IF(DATA_MASTER[[#This Row],[Status]]="RFD","WAKTU",IF(DATA_MASTER[[#This Row],[Status]]="ON GOING","PRIORITAS")))</f>
        <v>COMPLETED</v>
      </c>
      <c r="V101" s="4">
        <f>2023</f>
        <v>2023</v>
      </c>
    </row>
    <row r="102" spans="1:22" ht="31.95" customHeight="1" x14ac:dyDescent="0.3">
      <c r="A102" s="53" t="s">
        <v>1009</v>
      </c>
      <c r="B102" s="54" t="s">
        <v>565</v>
      </c>
      <c r="C102" s="151">
        <v>1</v>
      </c>
      <c r="D102" s="54" t="s">
        <v>415</v>
      </c>
      <c r="E102" s="55" t="s">
        <v>1010</v>
      </c>
      <c r="F102" s="54" t="s">
        <v>1011</v>
      </c>
      <c r="G102" s="17" t="s">
        <v>1012</v>
      </c>
      <c r="H102" s="126">
        <f>IFERROR(SUMIF(FABRIKASI[No.PON],DATA_MASTER[[#This Row],[NO. PON]],FABRIKASI[Berat Fabrikasi])+SUMIF(AKSESORIS[No.PON],DATA_MASTER[[#This Row],[NO. PON]],AKSESORIS[Total Berat
Aksesories
(Kg)])+SUMIF(BNW[No.PON],DATA_MASTER[[#This Row],[NO. PON]],BNW[Total Berat Baut
(Kg)])," ")*DATA_MASTER[[#This Row],[Qty
(Unit)]]</f>
        <v>53793.210000000006</v>
      </c>
      <c r="I102" s="53" t="s">
        <v>95</v>
      </c>
      <c r="J102" s="54" t="s">
        <v>16</v>
      </c>
      <c r="K102" s="188">
        <v>1</v>
      </c>
      <c r="L102" s="162" t="s">
        <v>120</v>
      </c>
      <c r="M102" s="216"/>
      <c r="N102" s="190">
        <v>45182</v>
      </c>
      <c r="O102" s="190">
        <v>45199</v>
      </c>
      <c r="P102" s="4">
        <f t="shared" si="5"/>
        <v>17</v>
      </c>
      <c r="Q102" s="190"/>
      <c r="R102" s="190"/>
      <c r="S102" s="4">
        <f>DATA_MASTER[[#This Row],[Date Finish]]-DATA_MASTER[[#This Row],[Finish Fabrikasi]]</f>
        <v>45199</v>
      </c>
      <c r="T102" s="5" t="str">
        <f>IF(DATA_MASTER[[#This Row],[Date Aktual Delivery to Site]]&lt;0,"Terlambat",IF(DATA_MASTER[[#This Row],[Date Aktual Delivery to Site]]&gt;30,"Sesuai Schedule",IF(DATA_MASTER[[#This Row],[Date Aktual Delivery to Site]]=0,"On schedule")))</f>
        <v>Sesuai Schedule</v>
      </c>
      <c r="U102" s="5" t="str">
        <f>IF(DATA_MASTER[[#This Row],[Status]]="completed","COMPLETED",IF(DATA_MASTER[[#This Row],[Status]]="RFD","WAKTU",IF(DATA_MASTER[[#This Row],[Status]]="ON GOING","PRIORITAS")))</f>
        <v>COMPLETED</v>
      </c>
      <c r="V102" s="4">
        <f>2023</f>
        <v>2023</v>
      </c>
    </row>
    <row r="103" spans="1:22" ht="31.95" customHeight="1" x14ac:dyDescent="0.3">
      <c r="A103" s="53" t="s">
        <v>1117</v>
      </c>
      <c r="B103" s="54" t="s">
        <v>1118</v>
      </c>
      <c r="C103" s="151">
        <v>2</v>
      </c>
      <c r="D103" s="54" t="s">
        <v>646</v>
      </c>
      <c r="E103" s="55" t="s">
        <v>1010</v>
      </c>
      <c r="F103" s="54" t="s">
        <v>1011</v>
      </c>
      <c r="G103" s="17" t="s">
        <v>1012</v>
      </c>
      <c r="H103" s="126">
        <f>IFERROR(SUMIF(FABRIKASI[No.PON],DATA_MASTER[[#This Row],[NO. PON]],FABRIKASI[Berat Fabrikasi])+SUMIF(AKSESORIS[No.PON],DATA_MASTER[[#This Row],[NO. PON]],AKSESORIS[Total Berat
Aksesories
(Kg)])+SUMIF(BNW[No.PON],DATA_MASTER[[#This Row],[NO. PON]],BNW[Total Berat Baut
(Kg)])," ")*DATA_MASTER[[#This Row],[Qty
(Unit)]]</f>
        <v>3795.9199999999996</v>
      </c>
      <c r="I103" s="53" t="s">
        <v>95</v>
      </c>
      <c r="J103" s="54" t="s">
        <v>16</v>
      </c>
      <c r="K103" s="188">
        <v>1</v>
      </c>
      <c r="L103" s="162" t="s">
        <v>120</v>
      </c>
      <c r="M103" s="216"/>
      <c r="N103" s="190">
        <v>45182</v>
      </c>
      <c r="O103" s="190">
        <v>45199</v>
      </c>
      <c r="P103" s="4">
        <f t="shared" si="5"/>
        <v>17</v>
      </c>
      <c r="Q103" s="190"/>
      <c r="R103" s="190"/>
      <c r="S103" s="4">
        <f>DATA_MASTER[[#This Row],[Date Finish]]-DATA_MASTER[[#This Row],[Finish Fabrikasi]]</f>
        <v>45199</v>
      </c>
      <c r="T103" s="5" t="str">
        <f>IF(DATA_MASTER[[#This Row],[Date Aktual Delivery to Site]]&lt;0,"Terlambat",IF(DATA_MASTER[[#This Row],[Date Aktual Delivery to Site]]&gt;30,"Sesuai Schedule",IF(DATA_MASTER[[#This Row],[Date Aktual Delivery to Site]]=0,"On schedule")))</f>
        <v>Sesuai Schedule</v>
      </c>
      <c r="U103" s="5" t="str">
        <f>IF(DATA_MASTER[[#This Row],[Status]]="completed","COMPLETED",IF(DATA_MASTER[[#This Row],[Status]]="RFD","WAKTU",IF(DATA_MASTER[[#This Row],[Status]]="ON GOING","PRIORITAS")))</f>
        <v>COMPLETED</v>
      </c>
      <c r="V103" s="4">
        <f>2023</f>
        <v>2023</v>
      </c>
    </row>
    <row r="104" spans="1:22" ht="31.95" customHeight="1" x14ac:dyDescent="0.3">
      <c r="A104" s="53" t="s">
        <v>1144</v>
      </c>
      <c r="B104" s="54" t="s">
        <v>4</v>
      </c>
      <c r="C104" s="151">
        <v>1</v>
      </c>
      <c r="D104" s="54" t="s">
        <v>1145</v>
      </c>
      <c r="E104" s="55" t="s">
        <v>1146</v>
      </c>
      <c r="F104" s="54" t="s">
        <v>1147</v>
      </c>
      <c r="G104" s="17" t="s">
        <v>1148</v>
      </c>
      <c r="H104" s="126">
        <f>IFERROR(SUMIF(FABRIKASI[No.PON],DATA_MASTER[[#This Row],[NO. PON]],FABRIKASI[Berat Fabrikasi])+SUMIF(AKSESORIS[No.PON],DATA_MASTER[[#This Row],[NO. PON]],AKSESORIS[Total Berat
Aksesories
(Kg)])+SUMIF(BNW[No.PON],DATA_MASTER[[#This Row],[NO. PON]],BNW[Total Berat Baut
(Kg)])," ")*DATA_MASTER[[#This Row],[Qty
(Unit)]]</f>
        <v>42795.441311999981</v>
      </c>
      <c r="I104" s="53" t="s">
        <v>95</v>
      </c>
      <c r="J104" s="54" t="s">
        <v>18</v>
      </c>
      <c r="K104" s="188">
        <v>1</v>
      </c>
      <c r="L104" s="162" t="s">
        <v>120</v>
      </c>
      <c r="M104" s="216"/>
      <c r="N104" s="190">
        <v>45188</v>
      </c>
      <c r="O104" s="190">
        <v>45227</v>
      </c>
      <c r="P104" s="4">
        <f t="shared" si="5"/>
        <v>39</v>
      </c>
      <c r="Q104" s="190"/>
      <c r="R104" s="190"/>
      <c r="S104" s="4">
        <f>DATA_MASTER[[#This Row],[Date Finish]]-DATA_MASTER[[#This Row],[Finish Fabrikasi]]</f>
        <v>45227</v>
      </c>
      <c r="T104" s="5" t="str">
        <f>IF(DATA_MASTER[[#This Row],[Date Aktual Delivery to Site]]&lt;0,"Terlambat",IF(DATA_MASTER[[#This Row],[Date Aktual Delivery to Site]]&gt;30,"Sesuai Schedule",IF(DATA_MASTER[[#This Row],[Date Aktual Delivery to Site]]=0,"On schedule")))</f>
        <v>Sesuai Schedule</v>
      </c>
      <c r="U104" s="5" t="str">
        <f>IF(DATA_MASTER[[#This Row],[Status]]="completed","COMPLETED",IF(DATA_MASTER[[#This Row],[Status]]="RFD","WAKTU",IF(DATA_MASTER[[#This Row],[Status]]="ON GOING","PRIORITAS")))</f>
        <v>COMPLETED</v>
      </c>
      <c r="V104" s="4">
        <f>2023</f>
        <v>2023</v>
      </c>
    </row>
    <row r="105" spans="1:22" ht="31.95" customHeight="1" x14ac:dyDescent="0.3">
      <c r="A105" s="53" t="s">
        <v>1157</v>
      </c>
      <c r="B105" s="54" t="s">
        <v>1013</v>
      </c>
      <c r="C105" s="151">
        <v>1</v>
      </c>
      <c r="D105" s="54" t="s">
        <v>1014</v>
      </c>
      <c r="E105" s="55" t="s">
        <v>1015</v>
      </c>
      <c r="F105" s="54" t="s">
        <v>306</v>
      </c>
      <c r="G105" s="17" t="s">
        <v>1016</v>
      </c>
      <c r="H105" s="126">
        <f>IFERROR(SUMIF(FABRIKASI[No.PON],DATA_MASTER[[#This Row],[NO. PON]],FABRIKASI[Berat Fabrikasi])+SUMIF(AKSESORIS[No.PON],DATA_MASTER[[#This Row],[NO. PON]],AKSESORIS[Total Berat
Aksesories
(Kg)])+SUMIF(BNW[No.PON],DATA_MASTER[[#This Row],[NO. PON]],BNW[Total Berat Baut
(Kg)])," ")*DATA_MASTER[[#This Row],[Qty
(Unit)]]</f>
        <v>15052.733</v>
      </c>
      <c r="I105" s="53" t="s">
        <v>95</v>
      </c>
      <c r="J105" s="54" t="s">
        <v>16</v>
      </c>
      <c r="K105" s="188">
        <v>1</v>
      </c>
      <c r="L105" s="162" t="s">
        <v>120</v>
      </c>
      <c r="M105" s="216"/>
      <c r="N105" s="190">
        <v>45188</v>
      </c>
      <c r="O105" s="190">
        <v>45241</v>
      </c>
      <c r="P105" s="4">
        <f t="shared" si="5"/>
        <v>53</v>
      </c>
      <c r="Q105" s="190"/>
      <c r="R105" s="190"/>
      <c r="S105" s="4">
        <f>DATA_MASTER[[#This Row],[Date Finish]]-DATA_MASTER[[#This Row],[Finish Fabrikasi]]</f>
        <v>45241</v>
      </c>
      <c r="T105" s="5" t="str">
        <f>IF(DATA_MASTER[[#This Row],[Date Aktual Delivery to Site]]&lt;0,"Terlambat",IF(DATA_MASTER[[#This Row],[Date Aktual Delivery to Site]]&gt;30,"Sesuai Schedule",IF(DATA_MASTER[[#This Row],[Date Aktual Delivery to Site]]=0,"On schedule")))</f>
        <v>Sesuai Schedule</v>
      </c>
      <c r="U105" s="5" t="str">
        <f>IF(DATA_MASTER[[#This Row],[Status]]="completed","COMPLETED",IF(DATA_MASTER[[#This Row],[Status]]="RFD","WAKTU",IF(DATA_MASTER[[#This Row],[Status]]="ON GOING","PRIORITAS")))</f>
        <v>COMPLETED</v>
      </c>
      <c r="V105" s="4">
        <f>2023</f>
        <v>2023</v>
      </c>
    </row>
    <row r="106" spans="1:22" ht="31.95" customHeight="1" x14ac:dyDescent="0.3">
      <c r="A106" s="53" t="s">
        <v>1158</v>
      </c>
      <c r="B106" s="54" t="s">
        <v>565</v>
      </c>
      <c r="C106" s="151">
        <v>1</v>
      </c>
      <c r="D106" s="54" t="s">
        <v>1017</v>
      </c>
      <c r="E106" s="55" t="s">
        <v>1018</v>
      </c>
      <c r="F106" s="54" t="s">
        <v>1019</v>
      </c>
      <c r="G106" s="17" t="s">
        <v>970</v>
      </c>
      <c r="H106" s="126">
        <f>IFERROR(SUMIF(FABRIKASI[No.PON],DATA_MASTER[[#This Row],[NO. PON]],FABRIKASI[Berat Fabrikasi])+SUMIF(AKSESORIS[No.PON],DATA_MASTER[[#This Row],[NO. PON]],AKSESORIS[Total Berat
Aksesories
(Kg)])+SUMIF(BNW[No.PON],DATA_MASTER[[#This Row],[NO. PON]],BNW[Total Berat Baut
(Kg)])," ")*DATA_MASTER[[#This Row],[Qty
(Unit)]]</f>
        <v>14531.93</v>
      </c>
      <c r="I106" s="53" t="s">
        <v>95</v>
      </c>
      <c r="J106" s="54" t="s">
        <v>16</v>
      </c>
      <c r="K106" s="188">
        <v>1</v>
      </c>
      <c r="L106" s="162" t="s">
        <v>120</v>
      </c>
      <c r="M106" s="216"/>
      <c r="N106" s="190">
        <v>45196</v>
      </c>
      <c r="O106" s="190">
        <v>45216</v>
      </c>
      <c r="P106" s="4">
        <f t="shared" si="5"/>
        <v>20</v>
      </c>
      <c r="Q106" s="190"/>
      <c r="R106" s="190"/>
      <c r="S106" s="4">
        <f>DATA_MASTER[[#This Row],[Date Finish]]-DATA_MASTER[[#This Row],[Finish Fabrikasi]]</f>
        <v>45216</v>
      </c>
      <c r="T106" s="5" t="str">
        <f>IF(DATA_MASTER[[#This Row],[Date Aktual Delivery to Site]]&lt;0,"Terlambat",IF(DATA_MASTER[[#This Row],[Date Aktual Delivery to Site]]&gt;30,"Sesuai Schedule",IF(DATA_MASTER[[#This Row],[Date Aktual Delivery to Site]]=0,"On schedule")))</f>
        <v>Sesuai Schedule</v>
      </c>
      <c r="U106" s="5" t="str">
        <f>IF(DATA_MASTER[[#This Row],[Status]]="completed","COMPLETED",IF(DATA_MASTER[[#This Row],[Status]]="RFD","WAKTU",IF(DATA_MASTER[[#This Row],[Status]]="ON GOING","PRIORITAS")))</f>
        <v>COMPLETED</v>
      </c>
      <c r="V106" s="4">
        <f>2023</f>
        <v>2023</v>
      </c>
    </row>
    <row r="107" spans="1:22" ht="31.95" customHeight="1" x14ac:dyDescent="0.3">
      <c r="A107" s="53" t="s">
        <v>1159</v>
      </c>
      <c r="B107" s="54" t="s">
        <v>565</v>
      </c>
      <c r="C107" s="151">
        <v>1</v>
      </c>
      <c r="D107" s="54" t="s">
        <v>1020</v>
      </c>
      <c r="E107" s="55" t="s">
        <v>1018</v>
      </c>
      <c r="F107" s="54" t="s">
        <v>1019</v>
      </c>
      <c r="G107" s="17" t="s">
        <v>970</v>
      </c>
      <c r="H107" s="126">
        <f>IFERROR(SUMIF(FABRIKASI[No.PON],DATA_MASTER[[#This Row],[NO. PON]],FABRIKASI[Berat Fabrikasi])+SUMIF(AKSESORIS[No.PON],DATA_MASTER[[#This Row],[NO. PON]],AKSESORIS[Total Berat
Aksesories
(Kg)])+SUMIF(BNW[No.PON],DATA_MASTER[[#This Row],[NO. PON]],BNW[Total Berat Baut
(Kg)])," ")*DATA_MASTER[[#This Row],[Qty
(Unit)]]</f>
        <v>18952.189999999999</v>
      </c>
      <c r="I107" s="53" t="s">
        <v>95</v>
      </c>
      <c r="J107" s="54" t="s">
        <v>16</v>
      </c>
      <c r="K107" s="188">
        <v>1</v>
      </c>
      <c r="L107" s="162" t="s">
        <v>120</v>
      </c>
      <c r="M107" s="216"/>
      <c r="N107" s="190">
        <v>45196</v>
      </c>
      <c r="O107" s="190">
        <v>45216</v>
      </c>
      <c r="P107" s="4">
        <f t="shared" si="5"/>
        <v>20</v>
      </c>
      <c r="Q107" s="190"/>
      <c r="R107" s="190"/>
      <c r="S107" s="4">
        <f>DATA_MASTER[[#This Row],[Date Finish]]-DATA_MASTER[[#This Row],[Finish Fabrikasi]]</f>
        <v>45216</v>
      </c>
      <c r="T107" s="5" t="str">
        <f>IF(DATA_MASTER[[#This Row],[Date Aktual Delivery to Site]]&lt;0,"Terlambat",IF(DATA_MASTER[[#This Row],[Date Aktual Delivery to Site]]&gt;30,"Sesuai Schedule",IF(DATA_MASTER[[#This Row],[Date Aktual Delivery to Site]]=0,"On schedule")))</f>
        <v>Sesuai Schedule</v>
      </c>
      <c r="U107" s="5" t="str">
        <f>IF(DATA_MASTER[[#This Row],[Status]]="completed","COMPLETED",IF(DATA_MASTER[[#This Row],[Status]]="RFD","WAKTU",IF(DATA_MASTER[[#This Row],[Status]]="ON GOING","PRIORITAS")))</f>
        <v>COMPLETED</v>
      </c>
      <c r="V107" s="4">
        <f>2023</f>
        <v>2023</v>
      </c>
    </row>
    <row r="108" spans="1:22" ht="31.95" customHeight="1" x14ac:dyDescent="0.3">
      <c r="A108" s="53" t="s">
        <v>1126</v>
      </c>
      <c r="B108" s="54" t="s">
        <v>249</v>
      </c>
      <c r="C108" s="151">
        <v>1</v>
      </c>
      <c r="D108" s="54" t="s">
        <v>250</v>
      </c>
      <c r="E108" s="55" t="s">
        <v>1119</v>
      </c>
      <c r="F108" s="54" t="s">
        <v>1120</v>
      </c>
      <c r="G108" s="17" t="s">
        <v>1121</v>
      </c>
      <c r="H108" s="126">
        <f>IFERROR(SUMIF(FABRIKASI[No.PON],DATA_MASTER[[#This Row],[NO. PON]],FABRIKASI[Berat Fabrikasi])+SUMIF(AKSESORIS[No.PON],DATA_MASTER[[#This Row],[NO. PON]],AKSESORIS[Total Berat
Aksesories
(Kg)])+SUMIF(BNW[No.PON],DATA_MASTER[[#This Row],[NO. PON]],BNW[Total Berat Baut
(Kg)])," ")*DATA_MASTER[[#This Row],[Qty
(Unit)]]</f>
        <v>67567.792384</v>
      </c>
      <c r="I108" s="53" t="s">
        <v>95</v>
      </c>
      <c r="J108" s="54" t="s">
        <v>16</v>
      </c>
      <c r="K108" s="188">
        <v>1</v>
      </c>
      <c r="L108" s="162" t="s">
        <v>120</v>
      </c>
      <c r="M108" s="216">
        <v>73411.09</v>
      </c>
      <c r="N108" s="190">
        <v>45201</v>
      </c>
      <c r="O108" s="190">
        <v>45239</v>
      </c>
      <c r="P108" s="4">
        <f t="shared" si="5"/>
        <v>38</v>
      </c>
      <c r="Q108" s="190"/>
      <c r="R108" s="190"/>
      <c r="S108" s="4">
        <f>DATA_MASTER[[#This Row],[Date Finish]]-DATA_MASTER[[#This Row],[Finish Fabrikasi]]</f>
        <v>45239</v>
      </c>
      <c r="T108" s="5" t="str">
        <f>IF(DATA_MASTER[[#This Row],[Date Aktual Delivery to Site]]&lt;0,"Terlambat",IF(DATA_MASTER[[#This Row],[Date Aktual Delivery to Site]]&gt;30,"Sesuai Schedule",IF(DATA_MASTER[[#This Row],[Date Aktual Delivery to Site]]=0,"On schedule")))</f>
        <v>Sesuai Schedule</v>
      </c>
      <c r="U108" s="5" t="str">
        <f>IF(DATA_MASTER[[#This Row],[Status]]="completed","COMPLETED",IF(DATA_MASTER[[#This Row],[Status]]="RFD","WAKTU",IF(DATA_MASTER[[#This Row],[Status]]="ON GOING","PRIORITAS")))</f>
        <v>COMPLETED</v>
      </c>
      <c r="V108" s="4">
        <f>2023</f>
        <v>2023</v>
      </c>
    </row>
    <row r="109" spans="1:22" ht="31.95" customHeight="1" x14ac:dyDescent="0.3">
      <c r="A109" s="53" t="s">
        <v>1130</v>
      </c>
      <c r="B109" s="54" t="s">
        <v>249</v>
      </c>
      <c r="C109" s="151">
        <v>1</v>
      </c>
      <c r="D109" s="54" t="s">
        <v>949</v>
      </c>
      <c r="E109" s="55" t="s">
        <v>1131</v>
      </c>
      <c r="F109" s="54" t="s">
        <v>1132</v>
      </c>
      <c r="G109" s="17" t="s">
        <v>1121</v>
      </c>
      <c r="H109" s="126">
        <f>IFERROR(SUMIF(FABRIKASI[No.PON],DATA_MASTER[[#This Row],[NO. PON]],FABRIKASI[Berat Fabrikasi])+SUMIF(AKSESORIS[No.PON],DATA_MASTER[[#This Row],[NO. PON]],AKSESORIS[Total Berat
Aksesories
(Kg)])+SUMIF(BNW[No.PON],DATA_MASTER[[#This Row],[NO. PON]],BNW[Total Berat Baut
(Kg)])," ")*DATA_MASTER[[#This Row],[Qty
(Unit)]]</f>
        <v>52321.654284000055</v>
      </c>
      <c r="I109" s="53" t="s">
        <v>95</v>
      </c>
      <c r="J109" s="54" t="s">
        <v>16</v>
      </c>
      <c r="K109" s="188">
        <v>1</v>
      </c>
      <c r="L109" s="162" t="s">
        <v>120</v>
      </c>
      <c r="M109" s="216"/>
      <c r="N109" s="190">
        <v>45201</v>
      </c>
      <c r="O109" s="190">
        <v>45239</v>
      </c>
      <c r="P109" s="4">
        <f t="shared" si="5"/>
        <v>38</v>
      </c>
      <c r="Q109" s="190"/>
      <c r="R109" s="190"/>
      <c r="S109" s="4">
        <f>DATA_MASTER[[#This Row],[Date Finish]]-DATA_MASTER[[#This Row],[Finish Fabrikasi]]</f>
        <v>45239</v>
      </c>
      <c r="T109" s="5" t="str">
        <f>IF(DATA_MASTER[[#This Row],[Date Aktual Delivery to Site]]&lt;0,"Terlambat",IF(DATA_MASTER[[#This Row],[Date Aktual Delivery to Site]]&gt;30,"Sesuai Schedule",IF(DATA_MASTER[[#This Row],[Date Aktual Delivery to Site]]=0,"On schedule")))</f>
        <v>Sesuai Schedule</v>
      </c>
      <c r="U109" s="5" t="str">
        <f>IF(DATA_MASTER[[#This Row],[Status]]="completed","COMPLETED",IF(DATA_MASTER[[#This Row],[Status]]="RFD","WAKTU",IF(DATA_MASTER[[#This Row],[Status]]="ON GOING","PRIORITAS")))</f>
        <v>COMPLETED</v>
      </c>
      <c r="V109" s="4">
        <f>2023</f>
        <v>2023</v>
      </c>
    </row>
    <row r="110" spans="1:22" ht="31.95" customHeight="1" x14ac:dyDescent="0.3">
      <c r="A110" s="53" t="s">
        <v>1203</v>
      </c>
      <c r="B110" s="54" t="s">
        <v>565</v>
      </c>
      <c r="C110" s="151">
        <v>1</v>
      </c>
      <c r="D110" s="54" t="s">
        <v>225</v>
      </c>
      <c r="E110" s="55" t="s">
        <v>1204</v>
      </c>
      <c r="F110" s="54" t="s">
        <v>1205</v>
      </c>
      <c r="G110" s="17" t="s">
        <v>1206</v>
      </c>
      <c r="H110" s="126">
        <f>IFERROR(SUMIF(FABRIKASI[No.PON],DATA_MASTER[[#This Row],[NO. PON]],FABRIKASI[Berat Fabrikasi])+SUMIF(AKSESORIS[No.PON],DATA_MASTER[[#This Row],[NO. PON]],AKSESORIS[Total Berat
Aksesories
(Kg)])+SUMIF(BNW[No.PON],DATA_MASTER[[#This Row],[NO. PON]],BNW[Total Berat Baut
(Kg)])," ")*DATA_MASTER[[#This Row],[Qty
(Unit)]]</f>
        <v>44339.21</v>
      </c>
      <c r="I110" s="53" t="s">
        <v>95</v>
      </c>
      <c r="J110" s="54" t="s">
        <v>16</v>
      </c>
      <c r="K110" s="188">
        <v>1</v>
      </c>
      <c r="L110" s="162" t="s">
        <v>120</v>
      </c>
      <c r="M110" s="216"/>
      <c r="N110" s="190"/>
      <c r="O110" s="190"/>
      <c r="P110" s="4"/>
      <c r="Q110" s="190"/>
      <c r="R110" s="190"/>
      <c r="S110" s="4">
        <f>DATA_MASTER[[#This Row],[Date Finish]]-DATA_MASTER[[#This Row],[Finish Fabrikasi]]</f>
        <v>0</v>
      </c>
      <c r="T110" s="5" t="str">
        <f>IF(DATA_MASTER[[#This Row],[Date Aktual Delivery to Site]]&lt;0,"Terlambat",IF(DATA_MASTER[[#This Row],[Date Aktual Delivery to Site]]&gt;30,"Sesuai Schedule",IF(DATA_MASTER[[#This Row],[Date Aktual Delivery to Site]]=0,"On schedule")))</f>
        <v>On schedule</v>
      </c>
      <c r="U110" s="5" t="str">
        <f>IF(DATA_MASTER[[#This Row],[Status]]="completed","COMPLETED",IF(DATA_MASTER[[#This Row],[Status]]="RFD","WAKTU",IF(DATA_MASTER[[#This Row],[Status]]="ON GOING","PRIORITAS")))</f>
        <v>COMPLETED</v>
      </c>
      <c r="V110" s="4">
        <f>2023</f>
        <v>2023</v>
      </c>
    </row>
    <row r="111" spans="1:22" ht="31.95" customHeight="1" x14ac:dyDescent="0.3">
      <c r="A111" s="53" t="s">
        <v>1170</v>
      </c>
      <c r="B111" s="54" t="s">
        <v>565</v>
      </c>
      <c r="C111" s="151">
        <v>1</v>
      </c>
      <c r="D111" s="54" t="s">
        <v>214</v>
      </c>
      <c r="E111" s="55" t="s">
        <v>1172</v>
      </c>
      <c r="F111" s="54" t="s">
        <v>1171</v>
      </c>
      <c r="G111" s="17" t="s">
        <v>970</v>
      </c>
      <c r="H111" s="126">
        <f>IFERROR(SUMIF(FABRIKASI[No.PON],DATA_MASTER[[#This Row],[NO. PON]],FABRIKASI[Berat Fabrikasi])+SUMIF(AKSESORIS[No.PON],DATA_MASTER[[#This Row],[NO. PON]],AKSESORIS[Total Berat
Aksesories
(Kg)])+SUMIF(BNW[No.PON],DATA_MASTER[[#This Row],[NO. PON]],BNW[Total Berat Baut
(Kg)])," ")*DATA_MASTER[[#This Row],[Qty
(Unit)]]</f>
        <v>22682.47</v>
      </c>
      <c r="I111" s="53" t="s">
        <v>95</v>
      </c>
      <c r="J111" s="54" t="s">
        <v>18</v>
      </c>
      <c r="K111" s="188">
        <v>1</v>
      </c>
      <c r="L111" s="162" t="s">
        <v>120</v>
      </c>
      <c r="M111" s="216"/>
      <c r="N111" s="190">
        <v>45217</v>
      </c>
      <c r="O111" s="190">
        <v>45224</v>
      </c>
      <c r="P111" s="4">
        <f>O111-N111</f>
        <v>7</v>
      </c>
      <c r="Q111" s="190"/>
      <c r="R111" s="190"/>
      <c r="S111" s="4">
        <f>DATA_MASTER[[#This Row],[Date Finish]]-DATA_MASTER[[#This Row],[Finish Fabrikasi]]</f>
        <v>45224</v>
      </c>
      <c r="T111" s="5" t="str">
        <f>IF(DATA_MASTER[[#This Row],[Date Aktual Delivery to Site]]&lt;0,"Terlambat",IF(DATA_MASTER[[#This Row],[Date Aktual Delivery to Site]]&gt;30,"Sesuai Schedule",IF(DATA_MASTER[[#This Row],[Date Aktual Delivery to Site]]=0,"On schedule")))</f>
        <v>Sesuai Schedule</v>
      </c>
      <c r="U111" s="5" t="str">
        <f>IF(DATA_MASTER[[#This Row],[Status]]="completed","COMPLETED",IF(DATA_MASTER[[#This Row],[Status]]="RFD","WAKTU",IF(DATA_MASTER[[#This Row],[Status]]="ON GOING","PRIORITAS")))</f>
        <v>COMPLETED</v>
      </c>
      <c r="V111" s="4">
        <f>2023</f>
        <v>2023</v>
      </c>
    </row>
    <row r="112" spans="1:22" ht="31.95" customHeight="1" x14ac:dyDescent="0.3">
      <c r="A112" s="53" t="s">
        <v>1208</v>
      </c>
      <c r="B112" s="54" t="s">
        <v>249</v>
      </c>
      <c r="C112" s="151">
        <v>1</v>
      </c>
      <c r="D112" s="54" t="s">
        <v>250</v>
      </c>
      <c r="E112" s="55" t="s">
        <v>304</v>
      </c>
      <c r="F112" s="54" t="s">
        <v>251</v>
      </c>
      <c r="G112" s="2" t="e" vm="15">
        <v>#VALUE!</v>
      </c>
      <c r="H112" s="17">
        <f>IFERROR(SUMIF(FABRIKASI[No.PON],DATA_MASTER[[#This Row],[NO. PON]],FABRIKASI[Berat Fabrikasi])+SUMIF(AKSESORIS[No.PON],DATA_MASTER[[#This Row],[NO. PON]],AKSESORIS[Total Berat
Aksesories
(Kg)])+SUMIF(BNW[No.PON],DATA_MASTER[[#This Row],[NO. PON]],BNW[Total Berat Baut
(Kg)])," ")*DATA_MASTER[[#This Row],[Qty
(Unit)]]</f>
        <v>72876.409159999996</v>
      </c>
      <c r="I112" s="53" t="s">
        <v>95</v>
      </c>
      <c r="J112" s="54" t="s">
        <v>18</v>
      </c>
      <c r="K112" s="188">
        <v>1</v>
      </c>
      <c r="L112" s="162" t="s">
        <v>120</v>
      </c>
      <c r="M112" s="215"/>
      <c r="N112" s="190">
        <v>45005</v>
      </c>
      <c r="O112" s="190">
        <v>45020</v>
      </c>
      <c r="P112" s="4">
        <f>O112-N112</f>
        <v>15</v>
      </c>
      <c r="Q112" s="190">
        <v>45223</v>
      </c>
      <c r="R112" s="190">
        <v>45263</v>
      </c>
      <c r="S112" s="4">
        <f>DATA_MASTER[[#This Row],[Date Finish]]-DATA_MASTER[[#This Row],[Finish Fabrikasi]]</f>
        <v>-243</v>
      </c>
      <c r="T112" s="5" t="str">
        <f>IF(DATA_MASTER[[#This Row],[Date Aktual Delivery to Site]]&lt;0,"Terlambat",IF(DATA_MASTER[[#This Row],[Date Aktual Delivery to Site]]&gt;30,"Sesuai Schedule",IF(DATA_MASTER[[#This Row],[Date Aktual Delivery to Site]]=0,"On schedule")))</f>
        <v>Terlambat</v>
      </c>
      <c r="U112" s="5" t="str">
        <f>IF(DATA_MASTER[[#This Row],[Status]]="completed","COMPLETED",IF(DATA_MASTER[[#This Row],[Status]]="RFD","WAKTU",IF(DATA_MASTER[[#This Row],[Status]]="ON GOING","PRIORITAS")))</f>
        <v>COMPLETED</v>
      </c>
      <c r="V112" s="4">
        <f>2023</f>
        <v>2023</v>
      </c>
    </row>
    <row r="113" spans="1:22" ht="31.95" customHeight="1" x14ac:dyDescent="0.3">
      <c r="A113" s="53" t="s">
        <v>1224</v>
      </c>
      <c r="B113" s="54" t="s">
        <v>249</v>
      </c>
      <c r="C113" s="151">
        <v>1</v>
      </c>
      <c r="D113" s="54" t="s">
        <v>1225</v>
      </c>
      <c r="E113" s="55" t="s">
        <v>1227</v>
      </c>
      <c r="F113" s="54" t="s">
        <v>1226</v>
      </c>
      <c r="G113" s="2" t="s">
        <v>1228</v>
      </c>
      <c r="H113" s="17">
        <f>IFERROR(SUMIF(FABRIKASI[No.PON],DATA_MASTER[[#This Row],[NO. PON]],FABRIKASI[Berat Fabrikasi])+SUMIF(AKSESORIS[No.PON],DATA_MASTER[[#This Row],[NO. PON]],AKSESORIS[Total Berat
Aksesories
(Kg)])+SUMIF(BNW[No.PON],DATA_MASTER[[#This Row],[NO. PON]],BNW[Total Berat Baut
(Kg)])," ")*DATA_MASTER[[#This Row],[Qty
(Unit)]]</f>
        <v>45602.913741999997</v>
      </c>
      <c r="I113" s="53" t="s">
        <v>95</v>
      </c>
      <c r="J113" s="54" t="s">
        <v>16</v>
      </c>
      <c r="K113" s="188">
        <v>1</v>
      </c>
      <c r="L113" s="162" t="s">
        <v>120</v>
      </c>
      <c r="M113" s="215"/>
      <c r="N113" s="190">
        <v>45237</v>
      </c>
      <c r="O113" s="190">
        <v>45268</v>
      </c>
      <c r="P113" s="4"/>
      <c r="Q113" s="190"/>
      <c r="R113" s="190"/>
      <c r="S113" s="4">
        <f>DATA_MASTER[[#This Row],[Date Finish]]-DATA_MASTER[[#This Row],[Finish Fabrikasi]]</f>
        <v>45268</v>
      </c>
      <c r="T113" s="5" t="str">
        <f>IF(DATA_MASTER[[#This Row],[Date Aktual Delivery to Site]]&lt;0,"Terlambat",IF(DATA_MASTER[[#This Row],[Date Aktual Delivery to Site]]&gt;30,"Sesuai Schedule",IF(DATA_MASTER[[#This Row],[Date Aktual Delivery to Site]]=0,"On schedule")))</f>
        <v>Sesuai Schedule</v>
      </c>
      <c r="U113" s="5" t="str">
        <f>IF(DATA_MASTER[[#This Row],[Status]]="completed","COMPLETED",IF(DATA_MASTER[[#This Row],[Status]]="RFD","WAKTU",IF(DATA_MASTER[[#This Row],[Status]]="ON GOING","PRIORITAS")))</f>
        <v>COMPLETED</v>
      </c>
      <c r="V113" s="4">
        <f>2023</f>
        <v>2023</v>
      </c>
    </row>
    <row r="114" spans="1:22" ht="31.95" customHeight="1" x14ac:dyDescent="0.3">
      <c r="A114" s="53" t="s">
        <v>1258</v>
      </c>
      <c r="B114" s="54" t="s">
        <v>4</v>
      </c>
      <c r="C114" s="151">
        <v>1</v>
      </c>
      <c r="D114" s="54" t="s">
        <v>1259</v>
      </c>
      <c r="E114" s="55" t="s">
        <v>1260</v>
      </c>
      <c r="F114" s="54" t="s">
        <v>1261</v>
      </c>
      <c r="G114" s="2" t="s">
        <v>1228</v>
      </c>
      <c r="H114" s="17">
        <f>IFERROR(SUMIF(FABRIKASI[No.PON],DATA_MASTER[[#This Row],[NO. PON]],FABRIKASI[Berat Fabrikasi])+SUMIF(AKSESORIS[No.PON],DATA_MASTER[[#This Row],[NO. PON]],AKSESORIS[Total Berat
Aksesories
(Kg)])+SUMIF(BNW[No.PON],DATA_MASTER[[#This Row],[NO. PON]],BNW[Total Berat Baut
(Kg)])," ")*DATA_MASTER[[#This Row],[Qty
(Unit)]]</f>
        <v>13623.51402227421</v>
      </c>
      <c r="I114" s="53" t="s">
        <v>95</v>
      </c>
      <c r="J114" s="54" t="s">
        <v>16</v>
      </c>
      <c r="K114" s="188">
        <v>1</v>
      </c>
      <c r="L114" s="162" t="s">
        <v>120</v>
      </c>
      <c r="M114" s="215"/>
      <c r="N114" s="190">
        <v>45231</v>
      </c>
      <c r="O114" s="190">
        <v>45271</v>
      </c>
      <c r="P114" s="4"/>
      <c r="Q114" s="190"/>
      <c r="R114" s="190"/>
      <c r="S114" s="4">
        <f>DATA_MASTER[[#This Row],[Date Finish]]-DATA_MASTER[[#This Row],[Finish Fabrikasi]]</f>
        <v>45271</v>
      </c>
      <c r="T114" s="5" t="str">
        <f>IF(DATA_MASTER[[#This Row],[Date Aktual Delivery to Site]]&lt;0,"Terlambat",IF(DATA_MASTER[[#This Row],[Date Aktual Delivery to Site]]&gt;30,"Sesuai Schedule",IF(DATA_MASTER[[#This Row],[Date Aktual Delivery to Site]]=0,"On schedule")))</f>
        <v>Sesuai Schedule</v>
      </c>
      <c r="U114" s="5" t="str">
        <f>IF(DATA_MASTER[[#This Row],[Status]]="completed","COMPLETED",IF(DATA_MASTER[[#This Row],[Status]]="RFD","WAKTU",IF(DATA_MASTER[[#This Row],[Status]]="ON GOING","PRIORITAS")))</f>
        <v>COMPLETED</v>
      </c>
      <c r="V114" s="4">
        <f>2023</f>
        <v>2023</v>
      </c>
    </row>
    <row r="115" spans="1:22" ht="31.95" customHeight="1" x14ac:dyDescent="0.3">
      <c r="A115" s="53" t="s">
        <v>1220</v>
      </c>
      <c r="B115" s="54" t="s">
        <v>565</v>
      </c>
      <c r="C115" s="151">
        <v>1</v>
      </c>
      <c r="D115" s="54" t="s">
        <v>1217</v>
      </c>
      <c r="E115" s="55" t="s">
        <v>1219</v>
      </c>
      <c r="F115" s="54" t="s">
        <v>1218</v>
      </c>
      <c r="G115" s="2" t="s">
        <v>742</v>
      </c>
      <c r="H115" s="17">
        <f>IFERROR(SUMIF(FABRIKASI[No.PON],DATA_MASTER[[#This Row],[NO. PON]],FABRIKASI[Berat Fabrikasi])+SUMIF(AKSESORIS[No.PON],DATA_MASTER[[#This Row],[NO. PON]],AKSESORIS[Total Berat
Aksesories
(Kg)])+SUMIF(BNW[No.PON],DATA_MASTER[[#This Row],[NO. PON]],BNW[Total Berat Baut
(Kg)])," ")*DATA_MASTER[[#This Row],[Qty
(Unit)]]</f>
        <v>19372.446000000004</v>
      </c>
      <c r="I115" s="53" t="s">
        <v>95</v>
      </c>
      <c r="J115" s="54" t="s">
        <v>16</v>
      </c>
      <c r="K115" s="188">
        <v>1</v>
      </c>
      <c r="L115" s="162" t="s">
        <v>120</v>
      </c>
      <c r="M115" s="215"/>
      <c r="N115" s="190">
        <v>45231</v>
      </c>
      <c r="O115" s="190">
        <v>45240</v>
      </c>
      <c r="P115" s="4"/>
      <c r="Q115" s="190"/>
      <c r="R115" s="190"/>
      <c r="S115" s="4">
        <f>DATA_MASTER[[#This Row],[Date Finish]]-DATA_MASTER[[#This Row],[Finish Fabrikasi]]</f>
        <v>45240</v>
      </c>
      <c r="T115" s="5" t="str">
        <f>IF(DATA_MASTER[[#This Row],[Date Aktual Delivery to Site]]&lt;0,"Terlambat",IF(DATA_MASTER[[#This Row],[Date Aktual Delivery to Site]]&gt;30,"Sesuai Schedule",IF(DATA_MASTER[[#This Row],[Date Aktual Delivery to Site]]=0,"On schedule")))</f>
        <v>Sesuai Schedule</v>
      </c>
      <c r="U115" s="5" t="str">
        <f>IF(DATA_MASTER[[#This Row],[Status]]="completed","COMPLETED",IF(DATA_MASTER[[#This Row],[Status]]="RFD","WAKTU",IF(DATA_MASTER[[#This Row],[Status]]="ON GOING","PRIORITAS")))</f>
        <v>COMPLETED</v>
      </c>
      <c r="V115" s="4">
        <f>2023</f>
        <v>2023</v>
      </c>
    </row>
    <row r="116" spans="1:22" ht="31.95" customHeight="1" x14ac:dyDescent="0.3">
      <c r="A116" s="53" t="s">
        <v>1221</v>
      </c>
      <c r="B116" s="54" t="s">
        <v>565</v>
      </c>
      <c r="C116" s="151">
        <v>1</v>
      </c>
      <c r="D116" s="54" t="s">
        <v>210</v>
      </c>
      <c r="E116" s="55" t="s">
        <v>1219</v>
      </c>
      <c r="F116" s="54" t="s">
        <v>1218</v>
      </c>
      <c r="G116" s="2" t="s">
        <v>742</v>
      </c>
      <c r="H116" s="17">
        <f>IFERROR(SUMIF(FABRIKASI[No.PON],DATA_MASTER[[#This Row],[NO. PON]],FABRIKASI[Berat Fabrikasi])+SUMIF(AKSESORIS[No.PON],DATA_MASTER[[#This Row],[NO. PON]],AKSESORIS[Total Berat
Aksesories
(Kg)])+SUMIF(BNW[No.PON],DATA_MASTER[[#This Row],[NO. PON]],BNW[Total Berat Baut
(Kg)])," ")*DATA_MASTER[[#This Row],[Qty
(Unit)]]</f>
        <v>11637.868000000004</v>
      </c>
      <c r="I116" s="53" t="s">
        <v>95</v>
      </c>
      <c r="J116" s="54" t="s">
        <v>16</v>
      </c>
      <c r="K116" s="188">
        <v>1</v>
      </c>
      <c r="L116" s="162" t="s">
        <v>120</v>
      </c>
      <c r="M116" s="215"/>
      <c r="N116" s="190">
        <v>45231</v>
      </c>
      <c r="O116" s="190">
        <v>45240</v>
      </c>
      <c r="P116" s="4"/>
      <c r="Q116" s="190"/>
      <c r="R116" s="190"/>
      <c r="S116" s="4">
        <f>DATA_MASTER[[#This Row],[Date Finish]]-DATA_MASTER[[#This Row],[Finish Fabrikasi]]</f>
        <v>45240</v>
      </c>
      <c r="T116" s="5" t="str">
        <f>IF(DATA_MASTER[[#This Row],[Date Aktual Delivery to Site]]&lt;0,"Terlambat",IF(DATA_MASTER[[#This Row],[Date Aktual Delivery to Site]]&gt;30,"Sesuai Schedule",IF(DATA_MASTER[[#This Row],[Date Aktual Delivery to Site]]=0,"On schedule")))</f>
        <v>Sesuai Schedule</v>
      </c>
      <c r="U116" s="5" t="str">
        <f>IF(DATA_MASTER[[#This Row],[Status]]="completed","COMPLETED",IF(DATA_MASTER[[#This Row],[Status]]="RFD","WAKTU",IF(DATA_MASTER[[#This Row],[Status]]="ON GOING","PRIORITAS")))</f>
        <v>COMPLETED</v>
      </c>
      <c r="V116" s="4">
        <f>2023</f>
        <v>2023</v>
      </c>
    </row>
    <row r="117" spans="1:22" ht="31.95" customHeight="1" x14ac:dyDescent="0.3">
      <c r="A117" s="53" t="s">
        <v>1278</v>
      </c>
      <c r="B117" s="54" t="s">
        <v>4</v>
      </c>
      <c r="C117" s="151">
        <v>1</v>
      </c>
      <c r="D117" s="54" t="s">
        <v>20</v>
      </c>
      <c r="E117" s="55" t="s">
        <v>1279</v>
      </c>
      <c r="F117" s="54" t="s">
        <v>1280</v>
      </c>
      <c r="G117" s="2" t="s">
        <v>1281</v>
      </c>
      <c r="H117" s="17">
        <f>IFERROR(SUMIF(FABRIKASI[No.PON],DATA_MASTER[[#This Row],[NO. PON]],FABRIKASI[Berat Fabrikasi])+SUMIF(AKSESORIS[No.PON],DATA_MASTER[[#This Row],[NO. PON]],AKSESORIS[Total Berat
Aksesories
(Kg)])+SUMIF(BNW[No.PON],DATA_MASTER[[#This Row],[NO. PON]],BNW[Total Berat Baut
(Kg)])," ")*DATA_MASTER[[#This Row],[Qty
(Unit)]]</f>
        <v>24177.080888000004</v>
      </c>
      <c r="I117" s="53" t="s">
        <v>95</v>
      </c>
      <c r="J117" s="54" t="s">
        <v>18</v>
      </c>
      <c r="K117" s="188">
        <v>1</v>
      </c>
      <c r="L117" s="162" t="s">
        <v>120</v>
      </c>
      <c r="M117" s="215"/>
      <c r="N117" s="190">
        <v>45238</v>
      </c>
      <c r="O117" s="190">
        <v>45266</v>
      </c>
      <c r="P117" s="4"/>
      <c r="Q117" s="190"/>
      <c r="R117" s="190"/>
      <c r="S117" s="4">
        <f>DATA_MASTER[[#This Row],[Date Finish]]-DATA_MASTER[[#This Row],[Finish Fabrikasi]]</f>
        <v>45266</v>
      </c>
      <c r="T117" s="5" t="str">
        <f>IF(DATA_MASTER[[#This Row],[Date Aktual Delivery to Site]]&lt;0,"Terlambat",IF(DATA_MASTER[[#This Row],[Date Aktual Delivery to Site]]&gt;30,"Sesuai Schedule",IF(DATA_MASTER[[#This Row],[Date Aktual Delivery to Site]]=0,"On schedule")))</f>
        <v>Sesuai Schedule</v>
      </c>
      <c r="U117" s="5" t="str">
        <f>IF(DATA_MASTER[[#This Row],[Status]]="completed","COMPLETED",IF(DATA_MASTER[[#This Row],[Status]]="RFD","WAKTU",IF(DATA_MASTER[[#This Row],[Status]]="ON GOING","PRIORITAS")))</f>
        <v>COMPLETED</v>
      </c>
      <c r="V117" s="4">
        <f>2023</f>
        <v>2023</v>
      </c>
    </row>
    <row r="118" spans="1:22" ht="31.95" customHeight="1" x14ac:dyDescent="0.3">
      <c r="A118" s="53" t="s">
        <v>1287</v>
      </c>
      <c r="B118" s="54" t="s">
        <v>1288</v>
      </c>
      <c r="C118" s="151">
        <v>1</v>
      </c>
      <c r="D118" s="54" t="s">
        <v>1289</v>
      </c>
      <c r="E118" s="55" t="s">
        <v>1290</v>
      </c>
      <c r="F118" s="54" t="s">
        <v>652</v>
      </c>
      <c r="G118" s="2" t="e" vm="2">
        <v>#VALUE!</v>
      </c>
      <c r="H118" s="17">
        <f>IFERROR(SUMIF(FABRIKASI[No.PON],DATA_MASTER[[#This Row],[NO. PON]],FABRIKASI[Berat Fabrikasi])+SUMIF(AKSESORIS[No.PON],DATA_MASTER[[#This Row],[NO. PON]],AKSESORIS[Total Berat
Aksesories
(Kg)])+SUMIF(BNW[No.PON],DATA_MASTER[[#This Row],[NO. PON]],BNW[Total Berat Baut
(Kg)])," ")*DATA_MASTER[[#This Row],[Qty
(Unit)]]</f>
        <v>451165.01500000007</v>
      </c>
      <c r="I118" s="53" t="s">
        <v>33</v>
      </c>
      <c r="J118" s="54" t="s">
        <v>653</v>
      </c>
      <c r="K118" s="188">
        <v>0.1</v>
      </c>
      <c r="L118" s="162" t="s">
        <v>1309</v>
      </c>
      <c r="M118" s="215"/>
      <c r="N118" s="190"/>
      <c r="O118" s="190"/>
      <c r="P118" s="4"/>
      <c r="Q118" s="190"/>
      <c r="R118" s="190"/>
      <c r="S118" s="4">
        <f>DATA_MASTER[[#This Row],[Date Finish]]-DATA_MASTER[[#This Row],[Finish Fabrikasi]]</f>
        <v>0</v>
      </c>
      <c r="T118" s="5" t="str">
        <f>IF(DATA_MASTER[[#This Row],[Date Aktual Delivery to Site]]&lt;0,"Terlambat",IF(DATA_MASTER[[#This Row],[Date Aktual Delivery to Site]]&gt;30,"Sesuai Schedule",IF(DATA_MASTER[[#This Row],[Date Aktual Delivery to Site]]=0,"On schedule")))</f>
        <v>On schedule</v>
      </c>
      <c r="U118" s="5" t="str">
        <f>IF(DATA_MASTER[[#This Row],[Status]]="completed","COMPLETED",IF(DATA_MASTER[[#This Row],[Status]]="RFD","WAKTU",IF(DATA_MASTER[[#This Row],[Status]]="ON GOING","PRIORITAS")))</f>
        <v>PRIORITAS</v>
      </c>
      <c r="V118" s="4">
        <f>2023</f>
        <v>2023</v>
      </c>
    </row>
    <row r="119" spans="1:22" ht="31.95" customHeight="1" x14ac:dyDescent="0.3">
      <c r="A119" s="53" t="s">
        <v>1291</v>
      </c>
      <c r="B119" s="251" t="s">
        <v>565</v>
      </c>
      <c r="C119" s="151">
        <v>2</v>
      </c>
      <c r="D119" s="252" t="s">
        <v>225</v>
      </c>
      <c r="E119" s="253" t="s">
        <v>359</v>
      </c>
      <c r="F119" s="251" t="s">
        <v>1292</v>
      </c>
      <c r="G119" s="2" t="e" vm="12">
        <v>#VALUE!</v>
      </c>
      <c r="H119" s="17">
        <f>IFERROR(SUMIF(FABRIKASI[No.PON],DATA_MASTER[[#This Row],[NO. PON]],FABRIKASI[Berat Fabrikasi])+SUMIF(AKSESORIS[No.PON],DATA_MASTER[[#This Row],[NO. PON]],AKSESORIS[Total Berat
Aksesories
(Kg)])+SUMIF(BNW[No.PON],DATA_MASTER[[#This Row],[NO. PON]],BNW[Total Berat Baut
(Kg)])," ")*DATA_MASTER[[#This Row],[Qty
(Unit)]]</f>
        <v>90725.14</v>
      </c>
      <c r="I119" s="53" t="s">
        <v>95</v>
      </c>
      <c r="J119" s="251" t="s">
        <v>94</v>
      </c>
      <c r="K119" s="188">
        <v>1</v>
      </c>
      <c r="L119" s="162" t="s">
        <v>120</v>
      </c>
      <c r="M119" s="162"/>
      <c r="N119" s="5">
        <v>45244</v>
      </c>
      <c r="O119" s="190">
        <v>45260</v>
      </c>
      <c r="P119" s="190"/>
      <c r="Q119" s="190"/>
      <c r="R119" s="5"/>
      <c r="S119" s="4">
        <f>DATA_MASTER[[#This Row],[Date Finish]]-DATA_MASTER[[#This Row],[Finish Fabrikasi]]</f>
        <v>45260</v>
      </c>
      <c r="T119" s="5" t="str">
        <f>IF(DATA_MASTER[[#This Row],[Date Aktual Delivery to Site]]&lt;0,"Terlambat",IF(DATA_MASTER[[#This Row],[Date Aktual Delivery to Site]]&gt;30,"Sesuai Schedule",IF(DATA_MASTER[[#This Row],[Date Aktual Delivery to Site]]=0,"On schedule")))</f>
        <v>Sesuai Schedule</v>
      </c>
      <c r="U119" s="5" t="str">
        <f>IF(DATA_MASTER[[#This Row],[Status]]="completed","COMPLETED",IF(DATA_MASTER[[#This Row],[Status]]="RFD","WAKTU",IF(DATA_MASTER[[#This Row],[Status]]="ON GOING","PRIORITAS")))</f>
        <v>COMPLETED</v>
      </c>
      <c r="V119" s="4">
        <f>2023</f>
        <v>2023</v>
      </c>
    </row>
    <row r="120" spans="1:22" ht="31.95" customHeight="1" x14ac:dyDescent="0.3">
      <c r="A120" s="53" t="s">
        <v>1294</v>
      </c>
      <c r="B120" s="251" t="s">
        <v>565</v>
      </c>
      <c r="C120" s="151">
        <v>2</v>
      </c>
      <c r="D120" s="252" t="s">
        <v>415</v>
      </c>
      <c r="E120" s="253" t="s">
        <v>359</v>
      </c>
      <c r="F120" s="251" t="s">
        <v>1292</v>
      </c>
      <c r="G120" s="2" t="e" vm="12">
        <v>#VALUE!</v>
      </c>
      <c r="H120" s="17">
        <f>IFERROR(SUMIF(FABRIKASI[No.PON],DATA_MASTER[[#This Row],[NO. PON]],FABRIKASI[Berat Fabrikasi])+SUMIF(AKSESORIS[No.PON],DATA_MASTER[[#This Row],[NO. PON]],AKSESORIS[Total Berat
Aksesories
(Kg)])+SUMIF(BNW[No.PON],DATA_MASTER[[#This Row],[NO. PON]],BNW[Total Berat Baut
(Kg)])," ")*DATA_MASTER[[#This Row],[Qty
(Unit)]]</f>
        <v>107586.42000000001</v>
      </c>
      <c r="I120" s="53" t="s">
        <v>95</v>
      </c>
      <c r="J120" s="251" t="s">
        <v>94</v>
      </c>
      <c r="K120" s="188">
        <v>1</v>
      </c>
      <c r="L120" s="162" t="s">
        <v>120</v>
      </c>
      <c r="M120" s="162"/>
      <c r="N120" s="5"/>
      <c r="O120" s="190"/>
      <c r="P120" s="190"/>
      <c r="Q120" s="190"/>
      <c r="R120" s="5"/>
      <c r="S120" s="4">
        <f>DATA_MASTER[[#This Row],[Date Finish]]-DATA_MASTER[[#This Row],[Finish Fabrikasi]]</f>
        <v>0</v>
      </c>
      <c r="T120" s="5" t="str">
        <f>IF(DATA_MASTER[[#This Row],[Date Aktual Delivery to Site]]&lt;0,"Terlambat",IF(DATA_MASTER[[#This Row],[Date Aktual Delivery to Site]]&gt;30,"Sesuai Schedule",IF(DATA_MASTER[[#This Row],[Date Aktual Delivery to Site]]=0,"On schedule")))</f>
        <v>On schedule</v>
      </c>
      <c r="U120" s="5" t="str">
        <f>IF(DATA_MASTER[[#This Row],[Status]]="completed","COMPLETED",IF(DATA_MASTER[[#This Row],[Status]]="RFD","WAKTU",IF(DATA_MASTER[[#This Row],[Status]]="ON GOING","PRIORITAS")))</f>
        <v>COMPLETED</v>
      </c>
      <c r="V120" s="4">
        <f>2023</f>
        <v>2023</v>
      </c>
    </row>
    <row r="121" spans="1:22" ht="31.95" customHeight="1" x14ac:dyDescent="0.3">
      <c r="A121" s="53" t="s">
        <v>1293</v>
      </c>
      <c r="B121" s="54" t="s">
        <v>565</v>
      </c>
      <c r="C121" s="151">
        <v>2</v>
      </c>
      <c r="D121" s="54" t="s">
        <v>864</v>
      </c>
      <c r="E121" s="55" t="s">
        <v>359</v>
      </c>
      <c r="F121" s="54" t="s">
        <v>1292</v>
      </c>
      <c r="G121" s="2" t="e" vm="12">
        <v>#VALUE!</v>
      </c>
      <c r="H121" s="17">
        <f>IFERROR(SUMIF(FABRIKASI[No.PON],DATA_MASTER[[#This Row],[NO. PON]],FABRIKASI[Berat Fabrikasi])+SUMIF(AKSESORIS[No.PON],DATA_MASTER[[#This Row],[NO. PON]],AKSESORIS[Total Berat
Aksesories
(Kg)])+SUMIF(BNW[No.PON],DATA_MASTER[[#This Row],[NO. PON]],BNW[Total Berat Baut
(Kg)])," ")*DATA_MASTER[[#This Row],[Qty
(Unit)]]</f>
        <v>122935.25456371957</v>
      </c>
      <c r="I121" s="53" t="s">
        <v>95</v>
      </c>
      <c r="J121" s="54" t="s">
        <v>94</v>
      </c>
      <c r="K121" s="188">
        <v>1</v>
      </c>
      <c r="L121" s="236" t="s">
        <v>1308</v>
      </c>
      <c r="M121" s="215"/>
      <c r="N121" s="190">
        <v>45244</v>
      </c>
      <c r="O121" s="190">
        <v>45260</v>
      </c>
      <c r="P121" s="4"/>
      <c r="Q121" s="190"/>
      <c r="R121" s="190"/>
      <c r="S121" s="4">
        <f>DATA_MASTER[[#This Row],[Date Finish]]-DATA_MASTER[[#This Row],[Finish Fabrikasi]]</f>
        <v>45260</v>
      </c>
      <c r="T121" s="5" t="str">
        <f>IF(DATA_MASTER[[#This Row],[Date Aktual Delivery to Site]]&lt;0,"Terlambat",IF(DATA_MASTER[[#This Row],[Date Aktual Delivery to Site]]&gt;30,"Sesuai Schedule",IF(DATA_MASTER[[#This Row],[Date Aktual Delivery to Site]]=0,"On schedule")))</f>
        <v>Sesuai Schedule</v>
      </c>
      <c r="U121" s="5" t="str">
        <f>IF(DATA_MASTER[[#This Row],[Status]]="completed","COMPLETED",IF(DATA_MASTER[[#This Row],[Status]]="RFD","WAKTU",IF(DATA_MASTER[[#This Row],[Status]]="ON GOING","PRIORITAS")))</f>
        <v>COMPLETED</v>
      </c>
      <c r="V121" s="4">
        <f>2023</f>
        <v>2023</v>
      </c>
    </row>
    <row r="122" spans="1:22" ht="31.95" customHeight="1" x14ac:dyDescent="0.3">
      <c r="A122" s="53" t="s">
        <v>1295</v>
      </c>
      <c r="B122" s="251" t="s">
        <v>1296</v>
      </c>
      <c r="C122" s="151">
        <v>1</v>
      </c>
      <c r="D122" s="252" t="s">
        <v>510</v>
      </c>
      <c r="E122" s="253" t="s">
        <v>120</v>
      </c>
      <c r="F122" s="251" t="s">
        <v>1297</v>
      </c>
      <c r="G122" s="2" t="s">
        <v>1148</v>
      </c>
      <c r="H122" s="17">
        <f>IFERROR(SUMIF(FABRIKASI[No.PON],DATA_MASTER[[#This Row],[NO. PON]],FABRIKASI[Berat Fabrikasi])+SUMIF(AKSESORIS[No.PON],DATA_MASTER[[#This Row],[NO. PON]],AKSESORIS[Total Berat
Aksesories
(Kg)])+SUMIF(BNW[No.PON],DATA_MASTER[[#This Row],[NO. PON]],BNW[Total Berat Baut
(Kg)])," ")*DATA_MASTER[[#This Row],[Qty
(Unit)]]</f>
        <v>26360.780000000002</v>
      </c>
      <c r="I122" s="53" t="s">
        <v>95</v>
      </c>
      <c r="J122" s="251" t="s">
        <v>18</v>
      </c>
      <c r="K122" s="188">
        <v>1</v>
      </c>
      <c r="L122" s="157"/>
      <c r="M122" s="162"/>
      <c r="N122" s="5"/>
      <c r="O122" s="190"/>
      <c r="P122" s="190"/>
      <c r="Q122" s="190"/>
      <c r="R122" s="5"/>
      <c r="S122" s="4">
        <f>DATA_MASTER[[#This Row],[Date Finish]]-DATA_MASTER[[#This Row],[Finish Fabrikasi]]</f>
        <v>0</v>
      </c>
      <c r="T122" s="5" t="str">
        <f>IF(DATA_MASTER[[#This Row],[Date Aktual Delivery to Site]]&lt;0,"Terlambat",IF(DATA_MASTER[[#This Row],[Date Aktual Delivery to Site]]&gt;30,"Sesuai Schedule",IF(DATA_MASTER[[#This Row],[Date Aktual Delivery to Site]]=0,"On schedule")))</f>
        <v>On schedule</v>
      </c>
      <c r="U122" s="5" t="str">
        <f>IF(DATA_MASTER[[#This Row],[Status]]="completed","COMPLETED",IF(DATA_MASTER[[#This Row],[Status]]="RFD","WAKTU",IF(DATA_MASTER[[#This Row],[Status]]="ON GOING","PRIORITAS")))</f>
        <v>COMPLETED</v>
      </c>
      <c r="V122" s="4">
        <f>2023</f>
        <v>2023</v>
      </c>
    </row>
    <row r="123" spans="1:22" ht="31.95" customHeight="1" x14ac:dyDescent="0.3">
      <c r="A123" s="53" t="s">
        <v>1300</v>
      </c>
      <c r="B123" s="251" t="s">
        <v>1296</v>
      </c>
      <c r="C123" s="151">
        <v>1</v>
      </c>
      <c r="D123" s="252" t="s">
        <v>510</v>
      </c>
      <c r="E123" s="253" t="s">
        <v>120</v>
      </c>
      <c r="F123" s="251" t="s">
        <v>1301</v>
      </c>
      <c r="G123" s="2" t="s">
        <v>970</v>
      </c>
      <c r="H123" s="17">
        <f>IFERROR(SUMIF(FABRIKASI[No.PON],DATA_MASTER[[#This Row],[NO. PON]],FABRIKASI[Berat Fabrikasi])+SUMIF(AKSESORIS[No.PON],DATA_MASTER[[#This Row],[NO. PON]],AKSESORIS[Total Berat
Aksesories
(Kg)])+SUMIF(BNW[No.PON],DATA_MASTER[[#This Row],[NO. PON]],BNW[Total Berat Baut
(Kg)])," ")*DATA_MASTER[[#This Row],[Qty
(Unit)]]</f>
        <v>2216.0074199999999</v>
      </c>
      <c r="I123" s="53" t="s">
        <v>95</v>
      </c>
      <c r="J123" s="251" t="s">
        <v>18</v>
      </c>
      <c r="K123" s="188">
        <v>1</v>
      </c>
      <c r="L123" s="157"/>
      <c r="M123" s="162"/>
      <c r="N123" s="5"/>
      <c r="O123" s="190"/>
      <c r="P123" s="190"/>
      <c r="Q123" s="190"/>
      <c r="R123" s="5"/>
      <c r="S123" s="4">
        <f>DATA_MASTER[[#This Row],[Date Finish]]-DATA_MASTER[[#This Row],[Finish Fabrikasi]]</f>
        <v>0</v>
      </c>
      <c r="T123" s="5" t="str">
        <f>IF(DATA_MASTER[[#This Row],[Date Aktual Delivery to Site]]&lt;0,"Terlambat",IF(DATA_MASTER[[#This Row],[Date Aktual Delivery to Site]]&gt;30,"Sesuai Schedule",IF(DATA_MASTER[[#This Row],[Date Aktual Delivery to Site]]=0,"On schedule")))</f>
        <v>On schedule</v>
      </c>
      <c r="U123" s="5" t="str">
        <f>IF(DATA_MASTER[[#This Row],[Status]]="completed","COMPLETED",IF(DATA_MASTER[[#This Row],[Status]]="RFD","WAKTU",IF(DATA_MASTER[[#This Row],[Status]]="ON GOING","PRIORITAS")))</f>
        <v>COMPLETED</v>
      </c>
      <c r="V123" s="4">
        <f>2023</f>
        <v>2023</v>
      </c>
    </row>
    <row r="124" spans="1:22" ht="31.95" customHeight="1" x14ac:dyDescent="0.3">
      <c r="A124" s="53" t="s">
        <v>1304</v>
      </c>
      <c r="B124" s="251" t="s">
        <v>68</v>
      </c>
      <c r="C124" s="151">
        <v>1</v>
      </c>
      <c r="D124" s="252" t="s">
        <v>1305</v>
      </c>
      <c r="E124" s="253" t="s">
        <v>1306</v>
      </c>
      <c r="F124" s="251" t="s">
        <v>1307</v>
      </c>
      <c r="G124" s="2" t="s">
        <v>1148</v>
      </c>
      <c r="H124" s="17">
        <f>IFERROR(SUMIF(FABRIKASI[No.PON],DATA_MASTER[[#This Row],[NO. PON]],FABRIKASI[Berat Fabrikasi])+SUMIF(AKSESORIS[No.PON],DATA_MASTER[[#This Row],[NO. PON]],AKSESORIS[Total Berat
Aksesories
(Kg)])+SUMIF(BNW[No.PON],DATA_MASTER[[#This Row],[NO. PON]],BNW[Total Berat Baut
(Kg)])," ")*DATA_MASTER[[#This Row],[Qty
(Unit)]]</f>
        <v>57493.999999999993</v>
      </c>
      <c r="I124" s="53" t="s">
        <v>95</v>
      </c>
      <c r="J124" s="251" t="s">
        <v>18</v>
      </c>
      <c r="K124" s="188">
        <v>1</v>
      </c>
      <c r="L124" s="157"/>
      <c r="M124" s="162"/>
      <c r="N124" s="5"/>
      <c r="O124" s="190"/>
      <c r="P124" s="190"/>
      <c r="Q124" s="190"/>
      <c r="R124" s="5"/>
      <c r="S124" s="4">
        <f>DATA_MASTER[[#This Row],[Date Finish]]-DATA_MASTER[[#This Row],[Finish Fabrikasi]]</f>
        <v>0</v>
      </c>
      <c r="T124" s="5" t="str">
        <f>IF(DATA_MASTER[[#This Row],[Date Aktual Delivery to Site]]&lt;0,"Terlambat",IF(DATA_MASTER[[#This Row],[Date Aktual Delivery to Site]]&gt;30,"Sesuai Schedule",IF(DATA_MASTER[[#This Row],[Date Aktual Delivery to Site]]=0,"On schedule")))</f>
        <v>On schedule</v>
      </c>
      <c r="U124" s="5" t="str">
        <f>IF(DATA_MASTER[[#This Row],[Status]]="completed","COMPLETED",IF(DATA_MASTER[[#This Row],[Status]]="RFD","WAKTU",IF(DATA_MASTER[[#This Row],[Status]]="ON GOING","PRIORITAS")))</f>
        <v>COMPLETED</v>
      </c>
      <c r="V124" s="4">
        <f>2023</f>
        <v>2023</v>
      </c>
    </row>
    <row r="125" spans="1:22" ht="31.95" customHeight="1" x14ac:dyDescent="0.3">
      <c r="A125" s="53"/>
      <c r="B125" s="54"/>
      <c r="C125" s="151"/>
      <c r="D125" s="54"/>
      <c r="E125" s="55"/>
      <c r="F125" s="54"/>
      <c r="G125" s="2"/>
      <c r="H125" s="254">
        <f>SUBTOTAL(109,DATA_MASTER[Total Berat
(Kg)])</f>
        <v>7503159.4498012792</v>
      </c>
      <c r="I125" s="53"/>
      <c r="J125" s="54"/>
      <c r="K125" s="189"/>
      <c r="L125" s="255"/>
      <c r="M125" s="218"/>
      <c r="N125" s="190"/>
      <c r="O125" s="190"/>
      <c r="P125" s="4"/>
      <c r="Q125" s="190"/>
      <c r="R125" s="190"/>
      <c r="S125" s="4"/>
      <c r="T125" s="5"/>
      <c r="U125" s="5"/>
      <c r="V125" s="4"/>
    </row>
    <row r="128" spans="1:22" x14ac:dyDescent="0.3">
      <c r="H128" s="10">
        <f>DATA_MASTER[[#Totals],[Total Berat
(Kg)]]*1.02</f>
        <v>7653222.6387973046</v>
      </c>
    </row>
    <row r="129" spans="4:17" x14ac:dyDescent="0.3">
      <c r="D129" s="56"/>
      <c r="H129" s="221">
        <f>H128/950000</f>
        <v>8.0560238303129523</v>
      </c>
    </row>
    <row r="131" spans="4:17" x14ac:dyDescent="0.3">
      <c r="P131" s="219">
        <v>-29</v>
      </c>
      <c r="Q131">
        <f>++P131</f>
        <v>-29</v>
      </c>
    </row>
    <row r="132" spans="4:17" x14ac:dyDescent="0.3">
      <c r="P132" s="219">
        <v>-22</v>
      </c>
      <c r="Q132"/>
    </row>
    <row r="133" spans="4:17" x14ac:dyDescent="0.3">
      <c r="P133" s="219">
        <v>-386</v>
      </c>
      <c r="Q133"/>
    </row>
    <row r="134" spans="4:17" x14ac:dyDescent="0.3">
      <c r="P134" s="219">
        <v>-14</v>
      </c>
      <c r="Q134"/>
    </row>
    <row r="135" spans="4:17" x14ac:dyDescent="0.3">
      <c r="P135" s="219">
        <v>-10</v>
      </c>
      <c r="Q135"/>
    </row>
    <row r="136" spans="4:17" x14ac:dyDescent="0.3">
      <c r="P136" s="219">
        <v>-14</v>
      </c>
      <c r="Q136"/>
    </row>
    <row r="137" spans="4:17" x14ac:dyDescent="0.3">
      <c r="P137" s="219">
        <v>-21</v>
      </c>
      <c r="Q137"/>
    </row>
    <row r="138" spans="4:17" x14ac:dyDescent="0.3">
      <c r="P138" s="219">
        <v>-48</v>
      </c>
      <c r="Q138"/>
    </row>
    <row r="139" spans="4:17" x14ac:dyDescent="0.3">
      <c r="I139" s="1">
        <v>2529.31</v>
      </c>
      <c r="P139" s="219">
        <v>-49</v>
      </c>
      <c r="Q139"/>
    </row>
    <row r="140" spans="4:17" x14ac:dyDescent="0.3">
      <c r="D140" t="s">
        <v>244</v>
      </c>
      <c r="P140" s="219">
        <v>-49</v>
      </c>
      <c r="Q140"/>
    </row>
    <row r="141" spans="4:17" x14ac:dyDescent="0.3">
      <c r="D141" t="s">
        <v>246</v>
      </c>
      <c r="P141" s="219">
        <v>-30</v>
      </c>
      <c r="Q141"/>
    </row>
    <row r="142" spans="4:17" x14ac:dyDescent="0.3">
      <c r="D142" t="s">
        <v>300</v>
      </c>
      <c r="P142" s="219">
        <v>-41</v>
      </c>
      <c r="Q142"/>
    </row>
    <row r="143" spans="4:17" x14ac:dyDescent="0.3">
      <c r="D143" t="s">
        <v>240</v>
      </c>
      <c r="P143" s="219">
        <v>-30</v>
      </c>
      <c r="Q143"/>
    </row>
    <row r="144" spans="4:17" x14ac:dyDescent="0.3">
      <c r="D144" t="s">
        <v>166</v>
      </c>
      <c r="P144" s="219">
        <v>-45</v>
      </c>
      <c r="Q144"/>
    </row>
    <row r="145" spans="4:17" x14ac:dyDescent="0.3">
      <c r="D145" t="s">
        <v>222</v>
      </c>
      <c r="P145" s="219">
        <v>-45</v>
      </c>
      <c r="Q145"/>
    </row>
    <row r="146" spans="4:17" x14ac:dyDescent="0.3">
      <c r="D146" t="s">
        <v>298</v>
      </c>
      <c r="P146" s="219">
        <v>-45</v>
      </c>
      <c r="Q146"/>
    </row>
    <row r="147" spans="4:17" x14ac:dyDescent="0.3">
      <c r="D147" t="s">
        <v>67</v>
      </c>
      <c r="P147" s="219" t="e">
        <v>#VALUE!</v>
      </c>
      <c r="Q147"/>
    </row>
    <row r="148" spans="4:17" x14ac:dyDescent="0.3">
      <c r="D148" t="s">
        <v>10</v>
      </c>
      <c r="P148" s="219">
        <v>-49</v>
      </c>
      <c r="Q148"/>
    </row>
    <row r="149" spans="4:17" x14ac:dyDescent="0.3">
      <c r="D149" t="s">
        <v>17</v>
      </c>
      <c r="P149" s="219">
        <v>-49</v>
      </c>
      <c r="Q149"/>
    </row>
    <row r="150" spans="4:17" x14ac:dyDescent="0.3">
      <c r="D150" t="s">
        <v>19</v>
      </c>
      <c r="P150" s="219">
        <v>-49</v>
      </c>
      <c r="Q150"/>
    </row>
    <row r="151" spans="4:17" x14ac:dyDescent="0.3">
      <c r="D151" t="s">
        <v>122</v>
      </c>
      <c r="P151" s="219">
        <v>-49</v>
      </c>
      <c r="Q151"/>
    </row>
    <row r="152" spans="4:17" x14ac:dyDescent="0.3">
      <c r="D152" t="s">
        <v>129</v>
      </c>
      <c r="P152" s="219">
        <v>-49</v>
      </c>
      <c r="Q152"/>
    </row>
    <row r="153" spans="4:17" x14ac:dyDescent="0.3">
      <c r="D153" t="s">
        <v>215</v>
      </c>
      <c r="P153" s="219">
        <v>-43</v>
      </c>
      <c r="Q153"/>
    </row>
    <row r="154" spans="4:17" x14ac:dyDescent="0.3">
      <c r="D154" t="s">
        <v>216</v>
      </c>
      <c r="P154" s="219">
        <v>-15</v>
      </c>
      <c r="Q154"/>
    </row>
    <row r="155" spans="4:17" x14ac:dyDescent="0.3">
      <c r="D155" t="s">
        <v>217</v>
      </c>
      <c r="P155" s="219">
        <v>-47</v>
      </c>
      <c r="Q155"/>
    </row>
    <row r="156" spans="4:17" x14ac:dyDescent="0.3">
      <c r="D156" t="s">
        <v>128</v>
      </c>
      <c r="P156" s="219">
        <v>-40</v>
      </c>
      <c r="Q156"/>
    </row>
    <row r="157" spans="4:17" x14ac:dyDescent="0.3">
      <c r="D157" t="s">
        <v>305</v>
      </c>
      <c r="P157" s="219">
        <v>-40</v>
      </c>
      <c r="Q157"/>
    </row>
    <row r="158" spans="4:17" x14ac:dyDescent="0.3">
      <c r="D158" t="s">
        <v>308</v>
      </c>
      <c r="P158" s="219">
        <v>-40</v>
      </c>
      <c r="Q158"/>
    </row>
    <row r="159" spans="4:17" x14ac:dyDescent="0.3">
      <c r="D159" t="s">
        <v>309</v>
      </c>
      <c r="P159" s="219">
        <v>-30</v>
      </c>
      <c r="Q159"/>
    </row>
    <row r="160" spans="4:17" x14ac:dyDescent="0.3">
      <c r="D160" t="s">
        <v>310</v>
      </c>
      <c r="P160" s="219">
        <v>-30</v>
      </c>
      <c r="Q160"/>
    </row>
    <row r="161" spans="4:17" x14ac:dyDescent="0.3">
      <c r="D161" t="s">
        <v>367</v>
      </c>
      <c r="P161" s="219">
        <v>-24</v>
      </c>
      <c r="Q161"/>
    </row>
    <row r="162" spans="4:17" x14ac:dyDescent="0.3">
      <c r="D162" t="s">
        <v>224</v>
      </c>
      <c r="P162" s="219">
        <v>-30</v>
      </c>
      <c r="Q162"/>
    </row>
    <row r="163" spans="4:17" x14ac:dyDescent="0.3">
      <c r="D163" t="s">
        <v>248</v>
      </c>
      <c r="P163" s="219">
        <v>-30</v>
      </c>
      <c r="Q163"/>
    </row>
    <row r="164" spans="4:17" x14ac:dyDescent="0.3">
      <c r="D164" t="s">
        <v>430</v>
      </c>
      <c r="P164" s="219">
        <v>-30</v>
      </c>
      <c r="Q164"/>
    </row>
    <row r="165" spans="4:17" x14ac:dyDescent="0.3">
      <c r="D165" t="s">
        <v>286</v>
      </c>
      <c r="P165" s="219">
        <v>-30</v>
      </c>
      <c r="Q165"/>
    </row>
    <row r="166" spans="4:17" x14ac:dyDescent="0.3">
      <c r="D166" t="s">
        <v>290</v>
      </c>
      <c r="P166" s="219">
        <v>-41</v>
      </c>
      <c r="Q166"/>
    </row>
    <row r="167" spans="4:17" x14ac:dyDescent="0.3">
      <c r="D167" t="s">
        <v>313</v>
      </c>
      <c r="P167" s="219">
        <v>-47</v>
      </c>
      <c r="Q167"/>
    </row>
    <row r="168" spans="4:17" x14ac:dyDescent="0.3">
      <c r="D168" t="s">
        <v>358</v>
      </c>
      <c r="P168" s="219">
        <v>-47</v>
      </c>
      <c r="Q168"/>
    </row>
    <row r="169" spans="4:17" x14ac:dyDescent="0.3">
      <c r="D169" t="s">
        <v>348</v>
      </c>
      <c r="P169" s="219">
        <v>-47</v>
      </c>
      <c r="Q169"/>
    </row>
    <row r="170" spans="4:17" x14ac:dyDescent="0.3">
      <c r="D170" t="s">
        <v>427</v>
      </c>
      <c r="P170" s="219">
        <v>-1</v>
      </c>
      <c r="Q170"/>
    </row>
    <row r="171" spans="4:17" x14ac:dyDescent="0.3">
      <c r="D171" t="s">
        <v>418</v>
      </c>
      <c r="P171" s="219">
        <v>-77</v>
      </c>
      <c r="Q171"/>
    </row>
    <row r="172" spans="4:17" x14ac:dyDescent="0.3">
      <c r="D172" t="s">
        <v>422</v>
      </c>
      <c r="P172" s="219">
        <v>-77</v>
      </c>
      <c r="Q172"/>
    </row>
    <row r="173" spans="4:17" x14ac:dyDescent="0.3">
      <c r="D173" t="s">
        <v>424</v>
      </c>
      <c r="P173" s="219">
        <v>-77</v>
      </c>
      <c r="Q173"/>
    </row>
    <row r="174" spans="4:17" x14ac:dyDescent="0.3">
      <c r="D174" t="s">
        <v>645</v>
      </c>
      <c r="P174" s="219">
        <v>-77</v>
      </c>
      <c r="Q174"/>
    </row>
    <row r="175" spans="4:17" x14ac:dyDescent="0.3">
      <c r="D175" t="s">
        <v>442</v>
      </c>
      <c r="P175" s="219">
        <v>-47</v>
      </c>
      <c r="Q175"/>
    </row>
    <row r="176" spans="4:17" x14ac:dyDescent="0.3">
      <c r="D176" t="s">
        <v>443</v>
      </c>
      <c r="P176" s="219">
        <v>-32</v>
      </c>
      <c r="Q176"/>
    </row>
    <row r="177" spans="4:17" x14ac:dyDescent="0.3">
      <c r="D177" t="s">
        <v>445</v>
      </c>
      <c r="P177" s="219">
        <v>-47</v>
      </c>
      <c r="Q177"/>
    </row>
    <row r="178" spans="4:17" x14ac:dyDescent="0.3">
      <c r="D178" t="s">
        <v>447</v>
      </c>
      <c r="P178" s="219">
        <v>-15</v>
      </c>
      <c r="Q178"/>
    </row>
    <row r="179" spans="4:17" x14ac:dyDescent="0.3">
      <c r="D179" t="s">
        <v>863</v>
      </c>
      <c r="P179" s="219">
        <v>-50</v>
      </c>
      <c r="Q179"/>
    </row>
    <row r="180" spans="4:17" x14ac:dyDescent="0.3">
      <c r="D180" t="s">
        <v>469</v>
      </c>
      <c r="P180" s="219">
        <v>-47</v>
      </c>
      <c r="Q180"/>
    </row>
    <row r="181" spans="4:17" x14ac:dyDescent="0.3">
      <c r="D181" t="s">
        <v>479</v>
      </c>
      <c r="P181" s="219">
        <v>-50</v>
      </c>
      <c r="Q181"/>
    </row>
    <row r="182" spans="4:17" x14ac:dyDescent="0.3">
      <c r="D182" t="s">
        <v>482</v>
      </c>
      <c r="P182" s="219">
        <v>-57</v>
      </c>
      <c r="Q182"/>
    </row>
    <row r="183" spans="4:17" x14ac:dyDescent="0.3">
      <c r="D183" t="s">
        <v>487</v>
      </c>
      <c r="P183" s="219">
        <v>-70</v>
      </c>
      <c r="Q183"/>
    </row>
    <row r="184" spans="4:17" x14ac:dyDescent="0.3">
      <c r="D184" t="s">
        <v>489</v>
      </c>
      <c r="P184" s="219">
        <v>-46</v>
      </c>
      <c r="Q184"/>
    </row>
    <row r="185" spans="4:17" x14ac:dyDescent="0.3">
      <c r="D185" t="s">
        <v>498</v>
      </c>
      <c r="P185" s="219">
        <v>-130</v>
      </c>
      <c r="Q185"/>
    </row>
    <row r="186" spans="4:17" x14ac:dyDescent="0.3">
      <c r="D186" t="s">
        <v>504</v>
      </c>
      <c r="P186" s="219">
        <v>-44</v>
      </c>
      <c r="Q186"/>
    </row>
    <row r="187" spans="4:17" x14ac:dyDescent="0.3">
      <c r="D187" t="s">
        <v>508</v>
      </c>
      <c r="P187" s="219">
        <v>-61</v>
      </c>
      <c r="Q187"/>
    </row>
    <row r="188" spans="4:17" x14ac:dyDescent="0.3">
      <c r="D188" t="s">
        <v>514</v>
      </c>
      <c r="P188" s="219">
        <v>47</v>
      </c>
      <c r="Q188"/>
    </row>
    <row r="189" spans="4:17" x14ac:dyDescent="0.3">
      <c r="D189" t="s">
        <v>518</v>
      </c>
      <c r="P189" s="219">
        <v>47</v>
      </c>
      <c r="Q189"/>
    </row>
    <row r="190" spans="4:17" x14ac:dyDescent="0.3">
      <c r="D190" t="s">
        <v>548</v>
      </c>
      <c r="P190" s="219">
        <v>-227</v>
      </c>
      <c r="Q190"/>
    </row>
    <row r="191" spans="4:17" x14ac:dyDescent="0.3">
      <c r="D191" t="s">
        <v>552</v>
      </c>
      <c r="P191" s="219">
        <v>-44</v>
      </c>
      <c r="Q191"/>
    </row>
    <row r="192" spans="4:17" x14ac:dyDescent="0.3">
      <c r="D192" t="s">
        <v>566</v>
      </c>
      <c r="P192" s="219">
        <v>-34</v>
      </c>
      <c r="Q192"/>
    </row>
    <row r="193" spans="4:17" x14ac:dyDescent="0.3">
      <c r="D193" t="s">
        <v>839</v>
      </c>
      <c r="P193" s="219">
        <v>-50</v>
      </c>
      <c r="Q193"/>
    </row>
    <row r="194" spans="4:17" x14ac:dyDescent="0.3">
      <c r="D194" t="s">
        <v>585</v>
      </c>
      <c r="P194" s="219">
        <v>-16</v>
      </c>
      <c r="Q194"/>
    </row>
    <row r="195" spans="4:17" x14ac:dyDescent="0.3">
      <c r="D195" t="s">
        <v>589</v>
      </c>
      <c r="P195" s="219">
        <v>-35</v>
      </c>
      <c r="Q195"/>
    </row>
    <row r="196" spans="4:17" x14ac:dyDescent="0.3">
      <c r="D196" t="s">
        <v>669</v>
      </c>
      <c r="P196" s="219">
        <v>-44</v>
      </c>
      <c r="Q196"/>
    </row>
    <row r="197" spans="4:17" x14ac:dyDescent="0.3">
      <c r="D197" t="s">
        <v>730</v>
      </c>
      <c r="P197" s="219">
        <v>-22</v>
      </c>
      <c r="Q197"/>
    </row>
    <row r="198" spans="4:17" x14ac:dyDescent="0.3">
      <c r="D198" t="s">
        <v>718</v>
      </c>
      <c r="P198" s="219">
        <v>-22</v>
      </c>
      <c r="Q198"/>
    </row>
    <row r="199" spans="4:17" x14ac:dyDescent="0.3">
      <c r="D199" t="s">
        <v>753</v>
      </c>
      <c r="P199" s="219">
        <v>-22</v>
      </c>
      <c r="Q199"/>
    </row>
    <row r="200" spans="4:17" x14ac:dyDescent="0.3">
      <c r="D200" t="s">
        <v>672</v>
      </c>
      <c r="P200" s="219">
        <v>-44</v>
      </c>
      <c r="Q200"/>
    </row>
    <row r="201" spans="4:17" x14ac:dyDescent="0.3">
      <c r="D201" t="s">
        <v>627</v>
      </c>
      <c r="P201" s="219">
        <v>-14</v>
      </c>
      <c r="Q201"/>
    </row>
    <row r="202" spans="4:17" x14ac:dyDescent="0.3">
      <c r="D202" t="s">
        <v>697</v>
      </c>
      <c r="P202" s="219">
        <v>-62</v>
      </c>
      <c r="Q202"/>
    </row>
    <row r="203" spans="4:17" x14ac:dyDescent="0.3">
      <c r="D203" t="s">
        <v>649</v>
      </c>
      <c r="P203" s="219">
        <v>-1</v>
      </c>
      <c r="Q203"/>
    </row>
    <row r="204" spans="4:17" x14ac:dyDescent="0.3">
      <c r="D204" t="s">
        <v>658</v>
      </c>
      <c r="P204" s="219">
        <v>-14</v>
      </c>
      <c r="Q204"/>
    </row>
    <row r="205" spans="4:17" x14ac:dyDescent="0.3">
      <c r="D205" t="s">
        <v>685</v>
      </c>
      <c r="P205" s="219">
        <v>-220</v>
      </c>
      <c r="Q205"/>
    </row>
    <row r="206" spans="4:17" x14ac:dyDescent="0.3">
      <c r="D206" t="s">
        <v>735</v>
      </c>
      <c r="P206" s="219">
        <v>-1</v>
      </c>
      <c r="Q206"/>
    </row>
    <row r="207" spans="4:17" x14ac:dyDescent="0.3">
      <c r="D207" t="s">
        <v>736</v>
      </c>
      <c r="P207" s="219">
        <v>-46</v>
      </c>
      <c r="Q207"/>
    </row>
    <row r="208" spans="4:17" x14ac:dyDescent="0.3">
      <c r="D208" t="s">
        <v>744</v>
      </c>
      <c r="P208" s="219">
        <v>-169</v>
      </c>
      <c r="Q208"/>
    </row>
    <row r="209" spans="4:17" x14ac:dyDescent="0.3">
      <c r="D209" t="s">
        <v>935</v>
      </c>
      <c r="P209" s="219">
        <v>-12</v>
      </c>
      <c r="Q209"/>
    </row>
    <row r="210" spans="4:17" x14ac:dyDescent="0.3">
      <c r="D210" t="s">
        <v>944</v>
      </c>
      <c r="P210" s="219">
        <v>-24</v>
      </c>
      <c r="Q210"/>
    </row>
    <row r="211" spans="4:17" x14ac:dyDescent="0.3">
      <c r="D211" t="s">
        <v>758</v>
      </c>
      <c r="P211" s="219">
        <v>-39</v>
      </c>
      <c r="Q211"/>
    </row>
    <row r="212" spans="4:17" x14ac:dyDescent="0.3">
      <c r="D212" t="s">
        <v>894</v>
      </c>
      <c r="P212" s="219">
        <v>-30</v>
      </c>
      <c r="Q212"/>
    </row>
    <row r="213" spans="4:17" x14ac:dyDescent="0.3">
      <c r="D213" t="s">
        <v>953</v>
      </c>
      <c r="P213" s="219">
        <v>-16</v>
      </c>
      <c r="Q213"/>
    </row>
    <row r="214" spans="4:17" x14ac:dyDescent="0.3">
      <c r="D214" t="s">
        <v>739</v>
      </c>
      <c r="P214" s="219" t="e">
        <v>#VALUE!</v>
      </c>
      <c r="Q214"/>
    </row>
    <row r="215" spans="4:17" x14ac:dyDescent="0.3">
      <c r="D215" t="s">
        <v>750</v>
      </c>
      <c r="P215" s="219">
        <v>-32</v>
      </c>
      <c r="Q215"/>
    </row>
    <row r="216" spans="4:17" x14ac:dyDescent="0.3">
      <c r="D216" t="s">
        <v>787</v>
      </c>
      <c r="P216" s="219">
        <v>-6</v>
      </c>
      <c r="Q216"/>
    </row>
    <row r="217" spans="4:17" x14ac:dyDescent="0.3">
      <c r="D217" t="s">
        <v>792</v>
      </c>
      <c r="P217" s="219">
        <v>-27</v>
      </c>
      <c r="Q217"/>
    </row>
    <row r="218" spans="4:17" x14ac:dyDescent="0.3">
      <c r="D218" t="s">
        <v>852</v>
      </c>
      <c r="P218" s="219">
        <v>-39</v>
      </c>
      <c r="Q218"/>
    </row>
    <row r="219" spans="4:17" x14ac:dyDescent="0.3">
      <c r="D219" t="s">
        <v>798</v>
      </c>
      <c r="P219" s="219">
        <v>-43</v>
      </c>
      <c r="Q219"/>
    </row>
    <row r="220" spans="4:17" x14ac:dyDescent="0.3">
      <c r="D220" t="s">
        <v>1000</v>
      </c>
      <c r="P220" s="219">
        <v>-17</v>
      </c>
      <c r="Q220"/>
    </row>
    <row r="221" spans="4:17" x14ac:dyDescent="0.3">
      <c r="D221" t="s">
        <v>960</v>
      </c>
      <c r="P221" s="219">
        <v>-17</v>
      </c>
      <c r="Q221"/>
    </row>
    <row r="222" spans="4:17" x14ac:dyDescent="0.3">
      <c r="D222" t="s">
        <v>905</v>
      </c>
      <c r="P222" s="219">
        <v>-39</v>
      </c>
      <c r="Q222"/>
    </row>
    <row r="223" spans="4:17" x14ac:dyDescent="0.3">
      <c r="D223" t="s">
        <v>948</v>
      </c>
      <c r="P223" s="219">
        <v>-53</v>
      </c>
      <c r="Q223"/>
    </row>
    <row r="224" spans="4:17" x14ac:dyDescent="0.3">
      <c r="D224" t="s">
        <v>1081</v>
      </c>
      <c r="P224" s="219">
        <v>-20</v>
      </c>
      <c r="Q224"/>
    </row>
    <row r="225" spans="4:17" x14ac:dyDescent="0.3">
      <c r="D225" t="s">
        <v>979</v>
      </c>
      <c r="P225" s="219">
        <v>-20</v>
      </c>
      <c r="Q225"/>
    </row>
    <row r="226" spans="4:17" x14ac:dyDescent="0.3">
      <c r="D226" t="s">
        <v>967</v>
      </c>
      <c r="P226" s="219">
        <v>-38</v>
      </c>
      <c r="Q226"/>
    </row>
    <row r="227" spans="4:17" x14ac:dyDescent="0.3">
      <c r="D227" t="s">
        <v>991</v>
      </c>
      <c r="P227" s="219">
        <v>-38</v>
      </c>
      <c r="Q227"/>
    </row>
    <row r="228" spans="4:17" x14ac:dyDescent="0.3">
      <c r="D228" t="s">
        <v>1005</v>
      </c>
    </row>
    <row r="229" spans="4:17" x14ac:dyDescent="0.3">
      <c r="D229" t="s">
        <v>1009</v>
      </c>
    </row>
    <row r="230" spans="4:17" x14ac:dyDescent="0.3">
      <c r="D230" t="s">
        <v>1117</v>
      </c>
    </row>
    <row r="231" spans="4:17" x14ac:dyDescent="0.3">
      <c r="D231" t="s">
        <v>1144</v>
      </c>
    </row>
    <row r="232" spans="4:17" x14ac:dyDescent="0.3">
      <c r="D232" t="s">
        <v>1157</v>
      </c>
    </row>
    <row r="233" spans="4:17" x14ac:dyDescent="0.3">
      <c r="D233" t="s">
        <v>1158</v>
      </c>
    </row>
    <row r="234" spans="4:17" x14ac:dyDescent="0.3">
      <c r="D234" t="s">
        <v>1159</v>
      </c>
    </row>
    <row r="235" spans="4:17" x14ac:dyDescent="0.3">
      <c r="D235" t="s">
        <v>1126</v>
      </c>
    </row>
    <row r="236" spans="4:17" x14ac:dyDescent="0.3">
      <c r="D236" t="s">
        <v>1130</v>
      </c>
    </row>
  </sheetData>
  <phoneticPr fontId="2" type="noConversion"/>
  <conditionalFormatting sqref="H113">
    <cfRule type="containsText" dxfId="24" priority="17" operator="containsText" text="COMPLETED">
      <formula>NOT(ISERROR(SEARCH("COMPLETED",H113)))</formula>
    </cfRule>
    <cfRule type="containsText" dxfId="23" priority="18" operator="containsText" text="ON GOING">
      <formula>NOT(ISERROR(SEARCH("ON GOING",H113)))</formula>
    </cfRule>
  </conditionalFormatting>
  <conditionalFormatting sqref="H85:I112">
    <cfRule type="containsText" dxfId="22" priority="25" operator="containsText" text="COMPLETED">
      <formula>NOT(ISERROR(SEARCH("COMPLETED",H85)))</formula>
    </cfRule>
    <cfRule type="containsText" dxfId="21" priority="26" operator="containsText" text="ON GOING">
      <formula>NOT(ISERROR(SEARCH("ON GOING",H85)))</formula>
    </cfRule>
  </conditionalFormatting>
  <conditionalFormatting sqref="H114:I121">
    <cfRule type="containsText" dxfId="20" priority="1" operator="containsText" text="COMPLETED">
      <formula>NOT(ISERROR(SEARCH("COMPLETED",H114)))</formula>
    </cfRule>
    <cfRule type="containsText" dxfId="19" priority="2" operator="containsText" text="ON GOING">
      <formula>NOT(ISERROR(SEARCH("ON GOING",H114)))</formula>
    </cfRule>
  </conditionalFormatting>
  <conditionalFormatting sqref="H125:I125">
    <cfRule type="containsText" dxfId="18" priority="3" operator="containsText" text="COMPLETED">
      <formula>NOT(ISERROR(SEARCH("COMPLETED",H125)))</formula>
    </cfRule>
    <cfRule type="containsText" dxfId="17" priority="4" operator="containsText" text="ON GOING">
      <formula>NOT(ISERROR(SEARCH("ON GOING",H125)))</formula>
    </cfRule>
  </conditionalFormatting>
  <conditionalFormatting sqref="I1:I60 H54:H60 I126:I1048576">
    <cfRule type="containsText" dxfId="16" priority="116" operator="containsText" text="ON GOING">
      <formula>NOT(ISERROR(SEARCH("ON GOING",H1)))</formula>
    </cfRule>
  </conditionalFormatting>
  <conditionalFormatting sqref="I1:I60 I126:I1048576 H54:H60">
    <cfRule type="containsText" dxfId="15" priority="115" operator="containsText" text="COMPLETED">
      <formula>NOT(ISERROR(SEARCH("COMPLETED",H1)))</formula>
    </cfRule>
  </conditionalFormatting>
  <conditionalFormatting sqref="I1:I1048576">
    <cfRule type="containsText" dxfId="14" priority="108" operator="containsText" text="RFD">
      <formula>NOT(ISERROR(SEARCH("RFD",I1)))</formula>
    </cfRule>
  </conditionalFormatting>
  <conditionalFormatting sqref="I48:I84">
    <cfRule type="containsText" dxfId="13" priority="23" operator="containsText" text="COMPLETED">
      <formula>NOT(ISERROR(SEARCH("COMPLETED",I48)))</formula>
    </cfRule>
    <cfRule type="containsText" dxfId="12" priority="24" operator="containsText" text="ON GOING">
      <formula>NOT(ISERROR(SEARCH("ON GOING",I48)))</formula>
    </cfRule>
  </conditionalFormatting>
  <conditionalFormatting sqref="I48:I125 H61:I84">
    <cfRule type="containsText" dxfId="11" priority="110" operator="containsText" text="ON GOING">
      <formula>NOT(ISERROR(SEARCH("ON GOING",H48)))</formula>
    </cfRule>
  </conditionalFormatting>
  <conditionalFormatting sqref="I64">
    <cfRule type="containsText" dxfId="10" priority="60" operator="containsText" text="HOLD">
      <formula>NOT(ISERROR(SEARCH("HOLD",I64)))</formula>
    </cfRule>
    <cfRule type="containsText" dxfId="9" priority="61" operator="containsText" text="ON GOING">
      <formula>NOT(ISERROR(SEARCH("ON GOING",I64)))</formula>
    </cfRule>
    <cfRule type="containsText" dxfId="8" priority="62" operator="containsText" text="COMPLETED">
      <formula>NOT(ISERROR(SEARCH("COMPLETED",I64)))</formula>
    </cfRule>
    <cfRule type="containsText" dxfId="7" priority="63" operator="containsText" text="ON GOING">
      <formula>NOT(ISERROR(SEARCH("ON GOING",I64)))</formula>
    </cfRule>
    <cfRule type="containsText" dxfId="6" priority="64" operator="containsText" text="COMPLETED">
      <formula>NOT(ISERROR(SEARCH("COMPLETED",I64)))</formula>
    </cfRule>
    <cfRule type="containsText" dxfId="5" priority="65" operator="containsText" text="ON GOING">
      <formula>NOT(ISERROR(SEARCH("ON GOING",I64)))</formula>
    </cfRule>
  </conditionalFormatting>
  <conditionalFormatting sqref="I70">
    <cfRule type="containsText" dxfId="4" priority="66" operator="containsText" text="WAITING DRAWING &amp; LIST">
      <formula>NOT(ISERROR(SEARCH("WAITING DRAWING &amp; LIST",I70)))</formula>
    </cfRule>
    <cfRule type="containsText" dxfId="3" priority="67" operator="containsText" text="ON GOING">
      <formula>NOT(ISERROR(SEARCH("ON GOING",I70)))</formula>
    </cfRule>
    <cfRule type="containsText" dxfId="2" priority="70" operator="containsText" text="COMPLETED">
      <formula>NOT(ISERROR(SEARCH("COMPLETED",I70)))</formula>
    </cfRule>
  </conditionalFormatting>
  <conditionalFormatting sqref="I113">
    <cfRule type="containsText" dxfId="1" priority="21" operator="containsText" text="COMPLETED">
      <formula>NOT(ISERROR(SEARCH("COMPLETED",I113)))</formula>
    </cfRule>
    <cfRule type="containsText" dxfId="0" priority="22" operator="containsText" text="ON GOING">
      <formula>NOT(ISERROR(SEARCH("ON GOING",I113)))</formula>
    </cfRule>
  </conditionalFormatting>
  <pageMargins left="0.7" right="0.7" top="0.75" bottom="0.75" header="0.3" footer="0.3"/>
  <pageSetup orientation="portrait" r:id="rId1"/>
  <tableParts count="1">
    <tablePart r:id="rId2"/>
  </tableParts>
  <extLst>
    <ext xmlns:x14="http://schemas.microsoft.com/office/spreadsheetml/2009/9/main" uri="{CCE6A557-97BC-4b89-ADB6-D9C93CAAB3DF}">
      <x14:dataValidations xmlns:xm="http://schemas.microsoft.com/office/excel/2006/main" count="1">
        <x14:dataValidation type="list" allowBlank="1" showInputMessage="1" showErrorMessage="1" xr:uid="{10427DDF-DB8E-4ECF-BB97-71D7BAA0E6A3}">
          <x14:formula1>
            <xm:f>STATUS!$A$2:$A$6</xm:f>
          </x14:formula1>
          <xm:sqref>I71:I73 I65:I69 I2:I63</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863D7C-0E38-4F87-AC53-12A7A9894AAA}">
  <sheetPr codeName="Sheet6"/>
  <dimension ref="A1:O137"/>
  <sheetViews>
    <sheetView showGridLines="0" workbookViewId="0">
      <selection activeCell="J131" sqref="A1:J131"/>
    </sheetView>
  </sheetViews>
  <sheetFormatPr defaultRowHeight="14.4" x14ac:dyDescent="0.3"/>
  <cols>
    <col min="1" max="1" width="9.6640625" customWidth="1"/>
    <col min="2" max="2" width="9.109375" customWidth="1"/>
    <col min="3" max="3" width="39.88671875" bestFit="1" customWidth="1"/>
    <col min="4" max="4" width="23.44140625" bestFit="1" customWidth="1"/>
    <col min="5" max="5" width="15.109375" customWidth="1"/>
    <col min="6" max="6" width="15.109375" style="23" hidden="1" customWidth="1"/>
    <col min="7" max="8" width="10.5546875" hidden="1" customWidth="1"/>
    <col min="9" max="9" width="10.5546875" style="1" customWidth="1"/>
    <col min="10" max="10" width="13" style="1" bestFit="1" customWidth="1"/>
    <col min="11" max="11" width="18.33203125" bestFit="1" customWidth="1"/>
    <col min="12" max="12" width="18.33203125" customWidth="1"/>
    <col min="15" max="15" width="31.5546875" bestFit="1" customWidth="1"/>
  </cols>
  <sheetData>
    <row r="1" spans="1:15" s="1" customFormat="1" ht="28.8" x14ac:dyDescent="0.3">
      <c r="A1" s="1" t="s">
        <v>27</v>
      </c>
      <c r="B1" s="1" t="s">
        <v>29</v>
      </c>
      <c r="C1" s="1" t="s">
        <v>11</v>
      </c>
      <c r="D1" s="11" t="s">
        <v>12</v>
      </c>
      <c r="E1" s="1" t="s">
        <v>28</v>
      </c>
      <c r="F1" s="22" t="s">
        <v>35</v>
      </c>
      <c r="G1" s="11" t="s">
        <v>38</v>
      </c>
      <c r="H1" s="11" t="s">
        <v>39</v>
      </c>
      <c r="I1" s="11" t="s">
        <v>363</v>
      </c>
      <c r="J1" s="11" t="s">
        <v>931</v>
      </c>
      <c r="K1" s="11" t="s">
        <v>37</v>
      </c>
      <c r="L1" s="11" t="s">
        <v>218</v>
      </c>
      <c r="M1" s="1" t="s">
        <v>36</v>
      </c>
      <c r="N1" s="1" t="s">
        <v>32</v>
      </c>
      <c r="O1" s="1" t="s">
        <v>98</v>
      </c>
    </row>
    <row r="2" spans="1:15" x14ac:dyDescent="0.3">
      <c r="A2" t="s">
        <v>117</v>
      </c>
      <c r="B2" t="s">
        <v>30</v>
      </c>
      <c r="C2" t="str">
        <f>IFERROR(VLOOKUP(A2,'DATA MASTER'!A:O,2,0)," ")</f>
        <v>Panel Bailey STOCK</v>
      </c>
      <c r="D2" t="str">
        <f>IFERROR(VLOOKUP(A2,'DATA MASTER'!A:V,4,0)," ")</f>
        <v>KOMPONEN BAILEY</v>
      </c>
      <c r="E2" s="10">
        <v>189231.52999999994</v>
      </c>
      <c r="F2" s="21">
        <v>44963</v>
      </c>
      <c r="G2" s="9">
        <v>44963</v>
      </c>
      <c r="H2" s="9">
        <v>45014</v>
      </c>
      <c r="I2" s="1">
        <f>SUMIF(DATA_MASTER[NO. PON],FABRIKASI[[#This Row],[No.PON]],DATA_MASTER[Qty
(Unit)])</f>
        <v>1</v>
      </c>
      <c r="J2" s="165">
        <f>FABRIKASI[[#This Row],[Qty]]*FABRIKASI[[#This Row],[Berat Fabrikasi]]</f>
        <v>189231.52999999994</v>
      </c>
    </row>
    <row r="3" spans="1:15" x14ac:dyDescent="0.3">
      <c r="A3" t="s">
        <v>229</v>
      </c>
      <c r="B3" t="s">
        <v>30</v>
      </c>
      <c r="C3" t="str">
        <f>IFERROR(VLOOKUP(A3,'DATA MASTER'!A:O,2,0)," ")</f>
        <v>Panel Bailey STOCK</v>
      </c>
      <c r="D3" t="str">
        <f>IFERROR(VLOOKUP(A3,'DATA MASTER'!A:V,4,0)," ")</f>
        <v>KOMPONEN BAILEY</v>
      </c>
      <c r="E3" s="10">
        <v>155984.84</v>
      </c>
      <c r="F3" s="23" t="s">
        <v>229</v>
      </c>
      <c r="I3" s="1">
        <f>SUMIF(DATA_MASTER[NO. PON],FABRIKASI[[#This Row],[No.PON]],DATA_MASTER[Qty
(Unit)])</f>
        <v>1</v>
      </c>
      <c r="J3" s="165">
        <f>FABRIKASI[[#This Row],[Qty]]*FABRIKASI[[#This Row],[Berat Fabrikasi]]</f>
        <v>155984.84</v>
      </c>
    </row>
    <row r="4" spans="1:15" x14ac:dyDescent="0.3">
      <c r="A4" t="s">
        <v>289</v>
      </c>
      <c r="B4" t="s">
        <v>30</v>
      </c>
      <c r="C4" t="str">
        <f>IFERROR(VLOOKUP(A4,'DATA MASTER'!A:O,2,0)," ")</f>
        <v>Panel Bailey STOCK</v>
      </c>
      <c r="D4" t="str">
        <f>IFERROR(VLOOKUP(A4,'DATA MASTER'!A:V,4,0)," ")</f>
        <v>KOMPONEN BAILEY</v>
      </c>
      <c r="E4" s="10">
        <v>285981.33999999991</v>
      </c>
      <c r="F4" s="23" t="s">
        <v>289</v>
      </c>
      <c r="I4" s="1">
        <f>SUMIF(DATA_MASTER[NO. PON],FABRIKASI[[#This Row],[No.PON]],DATA_MASTER[Qty
(Unit)])</f>
        <v>1</v>
      </c>
      <c r="J4" s="165">
        <f>FABRIKASI[[#This Row],[Qty]]*FABRIKASI[[#This Row],[Berat Fabrikasi]]</f>
        <v>285981.33999999991</v>
      </c>
    </row>
    <row r="5" spans="1:15" x14ac:dyDescent="0.3">
      <c r="A5" t="s">
        <v>362</v>
      </c>
      <c r="B5" t="s">
        <v>30</v>
      </c>
      <c r="C5" t="str">
        <f>IFERROR(VLOOKUP(A5,'DATA MASTER'!A:O,2,0)," ")</f>
        <v>Panel Bailey STOCK</v>
      </c>
      <c r="D5" t="str">
        <f>IFERROR(VLOOKUP(A5,'DATA MASTER'!A:V,4,0)," ")</f>
        <v>KOMPONEN BAILEY</v>
      </c>
      <c r="E5" s="10">
        <v>174798.16000000003</v>
      </c>
      <c r="F5" s="23" t="s">
        <v>362</v>
      </c>
      <c r="G5" s="5">
        <v>45034</v>
      </c>
      <c r="H5" s="5"/>
      <c r="I5" s="4">
        <f>SUMIF(DATA_MASTER[NO. PON],FABRIKASI[[#This Row],[No.PON]],DATA_MASTER[Qty
(Unit)])</f>
        <v>1</v>
      </c>
      <c r="J5" s="180">
        <f>FABRIKASI[[#This Row],[Qty]]*FABRIKASI[[#This Row],[Berat Fabrikasi]]</f>
        <v>174798.16000000003</v>
      </c>
    </row>
    <row r="6" spans="1:15" x14ac:dyDescent="0.3">
      <c r="A6" t="s">
        <v>423</v>
      </c>
      <c r="B6" t="s">
        <v>30</v>
      </c>
      <c r="C6" t="str">
        <f>IFERROR(VLOOKUP(A6,'DATA MASTER'!A:O,2,0)," ")</f>
        <v>Panel Bailey STOCK</v>
      </c>
      <c r="D6" t="str">
        <f>IFERROR(VLOOKUP(A6,'DATA MASTER'!A:V,4,0)," ")</f>
        <v>KOMPONEN BAILEY</v>
      </c>
      <c r="E6" s="10">
        <v>313247.53999999998</v>
      </c>
      <c r="F6" s="23" t="s">
        <v>423</v>
      </c>
      <c r="G6" s="5"/>
      <c r="H6" s="5"/>
      <c r="I6" s="4">
        <f>SUMIF(DATA_MASTER[NO. PON],FABRIKASI[[#This Row],[No.PON]],DATA_MASTER[Qty
(Unit)])</f>
        <v>1</v>
      </c>
      <c r="J6" s="180">
        <f>FABRIKASI[[#This Row],[Qty]]*FABRIKASI[[#This Row],[Berat Fabrikasi]]</f>
        <v>313247.53999999998</v>
      </c>
    </row>
    <row r="7" spans="1:15" x14ac:dyDescent="0.3">
      <c r="A7" t="s">
        <v>648</v>
      </c>
      <c r="B7" t="s">
        <v>30</v>
      </c>
      <c r="C7" t="str">
        <f>IFERROR(VLOOKUP(A7,'DATA MASTER'!A:O,2,0)," ")</f>
        <v>Panel Bailey STOCK</v>
      </c>
      <c r="D7" t="str">
        <f>IFERROR(VLOOKUP(A7,'DATA MASTER'!A:V,4,0)," ")</f>
        <v>KOMPONEN BAILEY</v>
      </c>
      <c r="E7" s="10">
        <v>397430.23000000004</v>
      </c>
      <c r="F7" s="21">
        <v>45119</v>
      </c>
      <c r="G7" s="5"/>
      <c r="H7" s="5"/>
      <c r="I7" s="4">
        <f>SUMIF(DATA_MASTER[NO. PON],FABRIKASI[[#This Row],[No.PON]],DATA_MASTER[Qty
(Unit)])</f>
        <v>1</v>
      </c>
      <c r="J7" s="180">
        <f>FABRIKASI[[#This Row],[Qty]]*FABRIKASI[[#This Row],[Berat Fabrikasi]]</f>
        <v>397430.23000000004</v>
      </c>
      <c r="O7" s="154"/>
    </row>
    <row r="8" spans="1:15" x14ac:dyDescent="0.3">
      <c r="A8" t="s">
        <v>980</v>
      </c>
      <c r="B8" t="s">
        <v>30</v>
      </c>
      <c r="C8" t="str">
        <f>IFERROR(VLOOKUP(A8,'DATA MASTER'!A:O,2,0)," ")</f>
        <v>Panel Bailey STOCK</v>
      </c>
      <c r="D8" t="str">
        <f>IFERROR(VLOOKUP(A8,'DATA MASTER'!A:V,4,0)," ")</f>
        <v>KOMPONEN BAILEY</v>
      </c>
      <c r="E8" s="10">
        <v>197176.7794949495</v>
      </c>
      <c r="F8" s="21"/>
      <c r="G8" s="5"/>
      <c r="H8" s="5"/>
      <c r="I8" s="4">
        <f>SUMIF(DATA_MASTER[NO. PON],FABRIKASI[[#This Row],[No.PON]],DATA_MASTER[Qty
(Unit)])</f>
        <v>1</v>
      </c>
      <c r="J8" s="180">
        <f>FABRIKASI[[#This Row],[Qty]]*FABRIKASI[[#This Row],[Berat Fabrikasi]]</f>
        <v>197176.7794949495</v>
      </c>
      <c r="O8" s="154"/>
    </row>
    <row r="9" spans="1:15" x14ac:dyDescent="0.3">
      <c r="A9" t="s">
        <v>987</v>
      </c>
      <c r="B9" t="s">
        <v>30</v>
      </c>
      <c r="C9" t="str">
        <f>IFERROR(VLOOKUP(A9,'DATA MASTER'!A:O,2,0)," ")</f>
        <v>Panel Bailey STOCK</v>
      </c>
      <c r="D9" t="str">
        <f>IFERROR(VLOOKUP(A9,'DATA MASTER'!A:V,4,0)," ")</f>
        <v>KOMPONEN BAILEY</v>
      </c>
      <c r="E9" s="10">
        <v>268007.36625487835</v>
      </c>
      <c r="F9" s="21"/>
      <c r="G9" s="5"/>
      <c r="H9" s="5">
        <v>44577</v>
      </c>
      <c r="I9" s="4">
        <f>SUMIF(DATA_MASTER[NO. PON],FABRIKASI[[#This Row],[No.PON]],DATA_MASTER[Qty
(Unit)])</f>
        <v>1</v>
      </c>
      <c r="J9" s="180">
        <f>FABRIKASI[[#This Row],[Qty]]*FABRIKASI[[#This Row],[Berat Fabrikasi]]</f>
        <v>268007.36625487835</v>
      </c>
      <c r="O9" s="154"/>
    </row>
    <row r="10" spans="1:15" hidden="1" x14ac:dyDescent="0.3">
      <c r="A10" t="s">
        <v>244</v>
      </c>
      <c r="B10" t="s">
        <v>30</v>
      </c>
      <c r="C10" t="str">
        <f>IFERROR(VLOOKUP(A10,'DATA MASTER'!A:O,2,0)," ")</f>
        <v>PLATE LRB</v>
      </c>
      <c r="D10" t="str">
        <f>IFERROR(VLOOKUP(A10,'DATA MASTER'!A:V,4,0)," ")</f>
        <v>BASEPLATE FOR LRB</v>
      </c>
      <c r="E10" s="10">
        <v>79206.457821165008</v>
      </c>
      <c r="I10" s="1">
        <f>SUMIF(DATA_MASTER[NO. PON],FABRIKASI[[#This Row],[No.PON]],DATA_MASTER[Qty
(Unit)])</f>
        <v>1</v>
      </c>
      <c r="J10" s="165">
        <f>FABRIKASI[[#This Row],[Qty]]*FABRIKASI[[#This Row],[Berat Fabrikasi]]</f>
        <v>79206.457821165008</v>
      </c>
    </row>
    <row r="11" spans="1:15" hidden="1" x14ac:dyDescent="0.3">
      <c r="A11" t="s">
        <v>246</v>
      </c>
      <c r="B11" t="s">
        <v>30</v>
      </c>
      <c r="C11" t="str">
        <f>IFERROR(VLOOKUP(A11,'DATA MASTER'!A:O,2,0)," ")</f>
        <v>PLATE LRB</v>
      </c>
      <c r="D11" t="str">
        <f>IFERROR(VLOOKUP(A11,'DATA MASTER'!A:V,4,0)," ")</f>
        <v>BASEPLATE FOR LRB</v>
      </c>
      <c r="E11" s="10">
        <v>48589.616000000002</v>
      </c>
      <c r="I11" s="1">
        <f>SUMIF(DATA_MASTER[NO. PON],FABRIKASI[[#This Row],[No.PON]],DATA_MASTER[Qty
(Unit)])</f>
        <v>1</v>
      </c>
      <c r="J11" s="165">
        <f>FABRIKASI[[#This Row],[Qty]]*FABRIKASI[[#This Row],[Berat Fabrikasi]]</f>
        <v>48589.616000000002</v>
      </c>
    </row>
    <row r="12" spans="1:15" hidden="1" x14ac:dyDescent="0.3">
      <c r="A12" t="s">
        <v>300</v>
      </c>
      <c r="B12" t="s">
        <v>30</v>
      </c>
      <c r="C12" t="str">
        <f>IFERROR(VLOOKUP(A12,'DATA MASTER'!A:O,2,0)," ")</f>
        <v>PIPE RACK</v>
      </c>
      <c r="D12" t="str">
        <f>IFERROR(VLOOKUP(A12,'DATA MASTER'!A:V,4,0)," ")</f>
        <v>PIPE RACK</v>
      </c>
      <c r="E12" s="10">
        <v>14268.66</v>
      </c>
      <c r="F12" s="21">
        <v>44939</v>
      </c>
      <c r="G12" s="5">
        <v>44897</v>
      </c>
      <c r="H12" s="5">
        <v>45283</v>
      </c>
      <c r="I12" s="4">
        <f>SUMIF(DATA_MASTER[NO. PON],FABRIKASI[[#This Row],[No.PON]],DATA_MASTER[Qty
(Unit)])</f>
        <v>1</v>
      </c>
      <c r="J12" s="180">
        <f>FABRIKASI[[#This Row],[Qty]]*FABRIKASI[[#This Row],[Berat Fabrikasi]]</f>
        <v>14268.66</v>
      </c>
    </row>
    <row r="13" spans="1:15" hidden="1" x14ac:dyDescent="0.3">
      <c r="A13" t="s">
        <v>240</v>
      </c>
      <c r="B13" t="s">
        <v>30</v>
      </c>
      <c r="C13" t="str">
        <f>IFERROR(VLOOKUP(A13,'DATA MASTER'!A:O,2,0)," ")</f>
        <v>FENCING SHELTER &amp; STAIRCASES</v>
      </c>
      <c r="D13" t="str">
        <f>IFERROR(VLOOKUP(A13,'DATA MASTER'!A:V,4,0)," ")</f>
        <v>FENCING</v>
      </c>
      <c r="E13" s="10">
        <v>3450.4569721340395</v>
      </c>
      <c r="I13" s="1">
        <f>SUMIF(DATA_MASTER[NO. PON],FABRIKASI[[#This Row],[No.PON]],DATA_MASTER[Qty
(Unit)])</f>
        <v>1</v>
      </c>
      <c r="J13" s="165">
        <f>FABRIKASI[[#This Row],[Qty]]*FABRIKASI[[#This Row],[Berat Fabrikasi]]</f>
        <v>3450.4569721340395</v>
      </c>
    </row>
    <row r="14" spans="1:15" hidden="1" x14ac:dyDescent="0.3">
      <c r="A14" t="s">
        <v>166</v>
      </c>
      <c r="B14" t="s">
        <v>30</v>
      </c>
      <c r="C14" t="str">
        <f>IFERROR(VLOOKUP(A14,'DATA MASTER'!A:O,2,0)," ")</f>
        <v>PLATE LRB</v>
      </c>
      <c r="D14" t="str">
        <f>IFERROR(VLOOKUP(A14,'DATA MASTER'!A:V,4,0)," ")</f>
        <v>BASEPLATE FOR LRB</v>
      </c>
      <c r="E14" s="10">
        <v>875.33388454400006</v>
      </c>
      <c r="F14" s="21">
        <v>44967</v>
      </c>
      <c r="G14" s="9">
        <v>44964</v>
      </c>
      <c r="H14" s="9">
        <v>44974</v>
      </c>
      <c r="I14" s="1">
        <f>SUMIF(DATA_MASTER[NO. PON],FABRIKASI[[#This Row],[No.PON]],DATA_MASTER[Qty
(Unit)])</f>
        <v>1</v>
      </c>
      <c r="J14" s="165">
        <f>FABRIKASI[[#This Row],[Qty]]*FABRIKASI[[#This Row],[Berat Fabrikasi]]</f>
        <v>875.33388454400006</v>
      </c>
      <c r="O14" t="s">
        <v>209</v>
      </c>
    </row>
    <row r="15" spans="1:15" hidden="1" x14ac:dyDescent="0.3">
      <c r="A15" t="s">
        <v>222</v>
      </c>
      <c r="B15" t="s">
        <v>30</v>
      </c>
      <c r="C15" t="str">
        <f>IFERROR(VLOOKUP(A15,'DATA MASTER'!A:O,2,0)," ")</f>
        <v>PLATE LRB</v>
      </c>
      <c r="D15" t="str">
        <f>IFERROR(VLOOKUP(A15,'DATA MASTER'!A:V,4,0)," ")</f>
        <v>BASEPLATE FOR LRB</v>
      </c>
      <c r="E15" s="10">
        <v>3090.48</v>
      </c>
      <c r="F15" s="21">
        <v>44973</v>
      </c>
      <c r="G15" s="9">
        <v>44970</v>
      </c>
      <c r="H15" s="9">
        <v>44984</v>
      </c>
      <c r="I15" s="1">
        <f>SUMIF(DATA_MASTER[NO. PON],FABRIKASI[[#This Row],[No.PON]],DATA_MASTER[Qty
(Unit)])</f>
        <v>1</v>
      </c>
      <c r="J15" s="165">
        <f>FABRIKASI[[#This Row],[Qty]]*FABRIKASI[[#This Row],[Berat Fabrikasi]]</f>
        <v>3090.48</v>
      </c>
    </row>
    <row r="16" spans="1:15" hidden="1" x14ac:dyDescent="0.3">
      <c r="A16" t="s">
        <v>298</v>
      </c>
      <c r="B16" t="s">
        <v>30</v>
      </c>
      <c r="C16" t="str">
        <f>IFERROR(VLOOKUP(A16,'DATA MASTER'!A:O,2,0)," ")</f>
        <v>PLATE LRB</v>
      </c>
      <c r="D16" t="str">
        <f>IFERROR(VLOOKUP(A16,'DATA MASTER'!A:V,4,0)," ")</f>
        <v>BASEPLATE FOR LRB</v>
      </c>
      <c r="E16" s="10">
        <v>18126.983760912</v>
      </c>
      <c r="F16" s="21">
        <v>45005</v>
      </c>
      <c r="G16" s="5">
        <v>45001</v>
      </c>
      <c r="H16" s="5">
        <v>45022</v>
      </c>
      <c r="I16" s="4">
        <f>SUMIF(DATA_MASTER[NO. PON],FABRIKASI[[#This Row],[No.PON]],DATA_MASTER[Qty
(Unit)])</f>
        <v>1</v>
      </c>
      <c r="J16" s="180">
        <f>FABRIKASI[[#This Row],[Qty]]*FABRIKASI[[#This Row],[Berat Fabrikasi]]</f>
        <v>18126.983760912</v>
      </c>
    </row>
    <row r="17" spans="1:15" hidden="1" x14ac:dyDescent="0.3">
      <c r="A17" t="s">
        <v>67</v>
      </c>
      <c r="B17" t="s">
        <v>30</v>
      </c>
      <c r="C17" t="str">
        <f>IFERROR(VLOOKUP(A17,'DATA MASTER'!A:O,2,0)," ")</f>
        <v>Jembatan Gantung</v>
      </c>
      <c r="D17" t="str">
        <f>IFERROR(VLOOKUP(A17,'DATA MASTER'!A:V,4,0)," ")</f>
        <v>JG105 - PIPA</v>
      </c>
      <c r="E17" s="10">
        <v>11634.559999999996</v>
      </c>
      <c r="F17" s="21">
        <v>44964</v>
      </c>
      <c r="G17" s="5">
        <v>44957</v>
      </c>
      <c r="H17" s="5">
        <v>45005</v>
      </c>
      <c r="I17" s="4">
        <f>SUMIF(DATA_MASTER[NO. PON],FABRIKASI[[#This Row],[No.PON]],DATA_MASTER[Qty
(Unit)])</f>
        <v>1</v>
      </c>
      <c r="J17" s="180">
        <f>FABRIKASI[[#This Row],[Qty]]*FABRIKASI[[#This Row],[Berat Fabrikasi]]</f>
        <v>11634.559999999996</v>
      </c>
    </row>
    <row r="18" spans="1:15" hidden="1" x14ac:dyDescent="0.3">
      <c r="A18" t="s">
        <v>67</v>
      </c>
      <c r="B18" t="s">
        <v>30</v>
      </c>
      <c r="C18" t="str">
        <f>IFERROR(VLOOKUP(A18,'DATA MASTER'!A:O,2,0)," ")</f>
        <v>Jembatan Gantung</v>
      </c>
      <c r="D18" t="str">
        <f>IFERROR(VLOOKUP(A18,'DATA MASTER'!A:V,4,0)," ")</f>
        <v>JG105 - PIPA</v>
      </c>
      <c r="E18" s="10">
        <f>106.32</f>
        <v>106.32</v>
      </c>
      <c r="F18" s="21">
        <v>44970</v>
      </c>
      <c r="G18" s="5">
        <v>44957</v>
      </c>
      <c r="H18" s="5">
        <v>45005</v>
      </c>
      <c r="I18" s="4">
        <f>SUMIF(DATA_MASTER[NO. PON],FABRIKASI[[#This Row],[No.PON]],DATA_MASTER[Qty
(Unit)])</f>
        <v>1</v>
      </c>
      <c r="J18" s="180">
        <f>FABRIKASI[[#This Row],[Qty]]*FABRIKASI[[#This Row],[Berat Fabrikasi]]</f>
        <v>106.32</v>
      </c>
      <c r="O18" t="s">
        <v>220</v>
      </c>
    </row>
    <row r="19" spans="1:15" hidden="1" x14ac:dyDescent="0.3">
      <c r="A19" t="s">
        <v>10</v>
      </c>
      <c r="B19" t="s">
        <v>30</v>
      </c>
      <c r="C19" t="str">
        <f>IFERROR(VLOOKUP(A19,'DATA MASTER'!A:O,2,0)," ")</f>
        <v>Girder</v>
      </c>
      <c r="D19" t="str">
        <f>IFERROR(VLOOKUP(A19,'DATA MASTER'!A:V,4,0)," ")</f>
        <v>AG30</v>
      </c>
      <c r="E19" s="10">
        <v>45241.610000000008</v>
      </c>
      <c r="F19" s="21">
        <v>44939</v>
      </c>
      <c r="G19" s="9">
        <v>44936</v>
      </c>
      <c r="H19" s="9">
        <v>44978</v>
      </c>
      <c r="I19" s="1">
        <f>SUMIF(DATA_MASTER[NO. PON],FABRIKASI[[#This Row],[No.PON]],DATA_MASTER[Qty
(Unit)])</f>
        <v>1</v>
      </c>
      <c r="J19" s="165">
        <f>FABRIKASI[[#This Row],[Qty]]*FABRIKASI[[#This Row],[Berat Fabrikasi]]</f>
        <v>45241.610000000008</v>
      </c>
      <c r="K19" s="9">
        <v>44964</v>
      </c>
      <c r="L19" s="9"/>
      <c r="M19" s="9"/>
      <c r="N19" s="9"/>
      <c r="O19" s="9"/>
    </row>
    <row r="20" spans="1:15" hidden="1" x14ac:dyDescent="0.3">
      <c r="A20" t="s">
        <v>17</v>
      </c>
      <c r="B20" t="s">
        <v>30</v>
      </c>
      <c r="C20" t="str">
        <f>IFERROR(VLOOKUP(A20,'DATA MASTER'!A:O,2,0)," ")</f>
        <v>Panel Bailey</v>
      </c>
      <c r="D20" t="str">
        <f>IFERROR(VLOOKUP(A20,'DATA MASTER'!A:V,4,0)," ")</f>
        <v>33M DSR2 - SS400</v>
      </c>
      <c r="E20" s="10">
        <v>32746.119999999995</v>
      </c>
      <c r="F20" s="21">
        <v>44957</v>
      </c>
      <c r="G20" s="9">
        <v>44937</v>
      </c>
      <c r="H20" s="9">
        <v>44979</v>
      </c>
      <c r="I20" s="1">
        <f>SUMIF(DATA_MASTER[NO. PON],FABRIKASI[[#This Row],[No.PON]],DATA_MASTER[Qty
(Unit)])</f>
        <v>1</v>
      </c>
      <c r="J20" s="165">
        <f>FABRIKASI[[#This Row],[Qty]]*FABRIKASI[[#This Row],[Berat Fabrikasi]]</f>
        <v>32746.119999999995</v>
      </c>
    </row>
    <row r="21" spans="1:15" hidden="1" x14ac:dyDescent="0.3">
      <c r="A21" t="s">
        <v>19</v>
      </c>
      <c r="B21" t="s">
        <v>30</v>
      </c>
      <c r="C21" t="str">
        <f>IFERROR(VLOOKUP(A21,'DATA MASTER'!A:O,2,0)," ")</f>
        <v>Girder</v>
      </c>
      <c r="D21" t="str">
        <f>IFERROR(VLOOKUP(A21,'DATA MASTER'!A:V,4,0)," ")</f>
        <v>AG20</v>
      </c>
      <c r="E21" s="10">
        <v>22273.200000000004</v>
      </c>
      <c r="F21" s="21">
        <v>44942</v>
      </c>
      <c r="G21" s="9">
        <v>44939</v>
      </c>
      <c r="H21" s="9">
        <v>44964</v>
      </c>
      <c r="I21" s="1">
        <f>SUMIF(DATA_MASTER[NO. PON],FABRIKASI[[#This Row],[No.PON]],DATA_MASTER[Qty
(Unit)])</f>
        <v>1</v>
      </c>
      <c r="J21" s="165">
        <f>FABRIKASI[[#This Row],[Qty]]*FABRIKASI[[#This Row],[Berat Fabrikasi]]</f>
        <v>22273.200000000004</v>
      </c>
    </row>
    <row r="22" spans="1:15" hidden="1" x14ac:dyDescent="0.3">
      <c r="A22" t="s">
        <v>122</v>
      </c>
      <c r="B22" t="s">
        <v>30</v>
      </c>
      <c r="C22" t="str">
        <f>IFERROR(VLOOKUP(A22,'DATA MASTER'!A:O,2,0)," ")</f>
        <v>Girder</v>
      </c>
      <c r="D22" t="str">
        <f>IFERROR(VLOOKUP(A22,'DATA MASTER'!A:V,4,0)," ")</f>
        <v>AG8</v>
      </c>
      <c r="E22" s="10">
        <v>16166.62</v>
      </c>
      <c r="F22" s="21">
        <v>44960</v>
      </c>
      <c r="G22" s="9">
        <v>44960</v>
      </c>
      <c r="H22" s="9">
        <v>45001</v>
      </c>
      <c r="I22" s="1">
        <f>SUMIF(DATA_MASTER[NO. PON],FABRIKASI[[#This Row],[No.PON]],DATA_MASTER[Qty
(Unit)])</f>
        <v>1</v>
      </c>
      <c r="J22" s="165">
        <f>FABRIKASI[[#This Row],[Qty]]*FABRIKASI[[#This Row],[Berat Fabrikasi]]</f>
        <v>16166.62</v>
      </c>
    </row>
    <row r="23" spans="1:15" hidden="1" x14ac:dyDescent="0.3">
      <c r="A23" t="s">
        <v>129</v>
      </c>
      <c r="B23" t="s">
        <v>30</v>
      </c>
      <c r="C23" t="str">
        <f>IFERROR(VLOOKUP(A23,'DATA MASTER'!A:O,2,0)," ")</f>
        <v>Panel Bailey</v>
      </c>
      <c r="D23" t="str">
        <f>IFERROR(VLOOKUP(A23,'DATA MASTER'!A:V,4,0)," ")</f>
        <v>42 DSR2-EW + TRESTLE</v>
      </c>
      <c r="E23" s="10">
        <v>59752.43</v>
      </c>
      <c r="F23" s="21" t="s">
        <v>117</v>
      </c>
      <c r="G23" t="s">
        <v>117</v>
      </c>
      <c r="H23" t="s">
        <v>117</v>
      </c>
      <c r="I23" s="1">
        <f>SUMIF(DATA_MASTER[NO. PON],FABRIKASI[[#This Row],[No.PON]],DATA_MASTER[Qty
(Unit)])</f>
        <v>1</v>
      </c>
      <c r="J23" s="165">
        <f>FABRIKASI[[#This Row],[Qty]]*FABRIKASI[[#This Row],[Berat Fabrikasi]]</f>
        <v>59752.43</v>
      </c>
      <c r="O23" t="s">
        <v>163</v>
      </c>
    </row>
    <row r="24" spans="1:15" hidden="1" x14ac:dyDescent="0.3">
      <c r="A24" t="s">
        <v>129</v>
      </c>
      <c r="B24" t="s">
        <v>30</v>
      </c>
      <c r="C24" t="str">
        <f>IFERROR(VLOOKUP(A24,'DATA MASTER'!A:O,2,0)," ")</f>
        <v>Panel Bailey</v>
      </c>
      <c r="D24" t="str">
        <f>IFERROR(VLOOKUP(A24,'DATA MASTER'!A:V,4,0)," ")</f>
        <v>42 DSR2-EW + TRESTLE</v>
      </c>
      <c r="E24" s="10">
        <v>4838.6399999999994</v>
      </c>
      <c r="F24" s="21">
        <v>44966</v>
      </c>
      <c r="G24" s="5">
        <v>44959</v>
      </c>
      <c r="H24" s="5">
        <v>44989</v>
      </c>
      <c r="I24" s="4">
        <f>SUMIF(DATA_MASTER[NO. PON],FABRIKASI[[#This Row],[No.PON]],DATA_MASTER[Qty
(Unit)])</f>
        <v>1</v>
      </c>
      <c r="J24" s="180">
        <f>FABRIKASI[[#This Row],[Qty]]*FABRIKASI[[#This Row],[Berat Fabrikasi]]</f>
        <v>4838.6399999999994</v>
      </c>
      <c r="O24" t="s">
        <v>155</v>
      </c>
    </row>
    <row r="25" spans="1:15" hidden="1" x14ac:dyDescent="0.3">
      <c r="A25" t="s">
        <v>215</v>
      </c>
      <c r="B25" t="s">
        <v>30</v>
      </c>
      <c r="C25" t="str">
        <f>IFERROR(VLOOKUP(A25,'DATA MASTER'!A:O,2,0)," ")</f>
        <v>Panel Bailey</v>
      </c>
      <c r="D25" t="str">
        <f>IFERROR(VLOOKUP(A25,'DATA MASTER'!A:V,4,0)," ")</f>
        <v>12 SSR-EW</v>
      </c>
      <c r="E25" s="10">
        <v>13076.630000000001</v>
      </c>
      <c r="F25" s="21" t="s">
        <v>117</v>
      </c>
      <c r="G25" s="5">
        <v>44966</v>
      </c>
      <c r="H25" s="5">
        <v>45011</v>
      </c>
      <c r="I25" s="4">
        <f>SUMIF(DATA_MASTER[NO. PON],FABRIKASI[[#This Row],[No.PON]],DATA_MASTER[Qty
(Unit)])</f>
        <v>2</v>
      </c>
      <c r="J25" s="180">
        <f>FABRIKASI[[#This Row],[Qty]]*FABRIKASI[[#This Row],[Berat Fabrikasi]]</f>
        <v>26153.260000000002</v>
      </c>
    </row>
    <row r="26" spans="1:15" hidden="1" x14ac:dyDescent="0.3">
      <c r="A26" t="s">
        <v>216</v>
      </c>
      <c r="B26" t="s">
        <v>30</v>
      </c>
      <c r="C26" t="str">
        <f>IFERROR(VLOOKUP(A26,'DATA MASTER'!A:O,2,0)," ")</f>
        <v>Panel Bailey</v>
      </c>
      <c r="D26" t="str">
        <f>IFERROR(VLOOKUP(A26,'DATA MASTER'!A:V,4,0)," ")</f>
        <v>15 SSR-EW</v>
      </c>
      <c r="E26" s="10">
        <v>16041.140000000001</v>
      </c>
      <c r="F26" s="23" t="s">
        <v>117</v>
      </c>
      <c r="G26" s="5">
        <v>44966</v>
      </c>
      <c r="H26" s="5">
        <v>45011</v>
      </c>
      <c r="I26" s="4">
        <f>SUMIF(DATA_MASTER[NO. PON],FABRIKASI[[#This Row],[No.PON]],DATA_MASTER[Qty
(Unit)])</f>
        <v>3</v>
      </c>
      <c r="J26" s="180">
        <f>FABRIKASI[[#This Row],[Qty]]*FABRIKASI[[#This Row],[Berat Fabrikasi]]</f>
        <v>48123.420000000006</v>
      </c>
    </row>
    <row r="27" spans="1:15" hidden="1" x14ac:dyDescent="0.3">
      <c r="A27" t="s">
        <v>217</v>
      </c>
      <c r="B27" t="s">
        <v>30</v>
      </c>
      <c r="C27" t="str">
        <f>IFERROR(VLOOKUP(A27,'DATA MASTER'!A:O,2,0)," ")</f>
        <v>Panel Bailey</v>
      </c>
      <c r="D27" t="str">
        <f>IFERROR(VLOOKUP(A27,'DATA MASTER'!A:V,4,0)," ")</f>
        <v>21 SSR-EW</v>
      </c>
      <c r="E27" s="10">
        <v>21970.160000000003</v>
      </c>
      <c r="F27" s="23" t="s">
        <v>117</v>
      </c>
      <c r="G27" s="5">
        <v>44966</v>
      </c>
      <c r="H27" s="5">
        <v>45011</v>
      </c>
      <c r="I27" s="4">
        <f>SUMIF(DATA_MASTER[NO. PON],FABRIKASI[[#This Row],[No.PON]],DATA_MASTER[Qty
(Unit)])</f>
        <v>1</v>
      </c>
      <c r="J27" s="180">
        <f>FABRIKASI[[#This Row],[Qty]]*FABRIKASI[[#This Row],[Berat Fabrikasi]]</f>
        <v>21970.160000000003</v>
      </c>
    </row>
    <row r="28" spans="1:15" hidden="1" x14ac:dyDescent="0.3">
      <c r="A28" t="s">
        <v>128</v>
      </c>
      <c r="B28" t="s">
        <v>30</v>
      </c>
      <c r="C28" t="str">
        <f>IFERROR(VLOOKUP(A28,'DATA MASTER'!A:O,2,0)," ")</f>
        <v>Panel Bailey</v>
      </c>
      <c r="D28" t="str">
        <f>IFERROR(VLOOKUP(A28,'DATA MASTER'!A:V,4,0)," ")</f>
        <v>KOMPONEN BAILEY</v>
      </c>
      <c r="E28" s="10">
        <v>1406.4612000000002</v>
      </c>
      <c r="F28" s="21" t="s">
        <v>117</v>
      </c>
      <c r="G28" t="s">
        <v>117</v>
      </c>
      <c r="H28" t="s">
        <v>117</v>
      </c>
      <c r="I28" s="1">
        <f>SUMIF(DATA_MASTER[NO. PON],FABRIKASI[[#This Row],[No.PON]],DATA_MASTER[Qty
(Unit)])</f>
        <v>1</v>
      </c>
      <c r="J28" s="165">
        <f>FABRIKASI[[#This Row],[Qty]]*FABRIKASI[[#This Row],[Berat Fabrikasi]]</f>
        <v>1406.4612000000002</v>
      </c>
    </row>
    <row r="29" spans="1:15" hidden="1" x14ac:dyDescent="0.3">
      <c r="A29" t="s">
        <v>305</v>
      </c>
      <c r="B29" t="s">
        <v>30</v>
      </c>
      <c r="C29" t="str">
        <f>IFERROR(VLOOKUP(A29,'DATA MASTER'!A:O,2,0)," ")</f>
        <v>Panel Bailey</v>
      </c>
      <c r="D29" t="str">
        <f>IFERROR(VLOOKUP(A29,'DATA MASTER'!A:V,4,0)," ")</f>
        <v>24 DSR2-EW</v>
      </c>
      <c r="E29" s="10">
        <v>34967.53</v>
      </c>
      <c r="F29" s="23" t="s">
        <v>289</v>
      </c>
      <c r="G29" s="5">
        <v>45019</v>
      </c>
      <c r="H29" s="5">
        <v>45068</v>
      </c>
      <c r="I29" s="4">
        <f>SUMIF(DATA_MASTER[NO. PON],FABRIKASI[[#This Row],[No.PON]],DATA_MASTER[Qty
(Unit)])</f>
        <v>2</v>
      </c>
      <c r="J29" s="180">
        <f>FABRIKASI[[#This Row],[Qty]]*FABRIKASI[[#This Row],[Berat Fabrikasi]]</f>
        <v>69935.06</v>
      </c>
    </row>
    <row r="30" spans="1:15" hidden="1" x14ac:dyDescent="0.3">
      <c r="A30" t="s">
        <v>308</v>
      </c>
      <c r="B30" t="s">
        <v>30</v>
      </c>
      <c r="C30" t="str">
        <f>IFERROR(VLOOKUP(A30,'DATA MASTER'!A:O,2,0)," ")</f>
        <v>Panel Bailey</v>
      </c>
      <c r="D30" t="str">
        <f>IFERROR(VLOOKUP(A30,'DATA MASTER'!A:V,4,0)," ")</f>
        <v>21 DS-EW</v>
      </c>
      <c r="E30" s="10">
        <v>25837.540000000005</v>
      </c>
      <c r="F30" s="23" t="s">
        <v>289</v>
      </c>
      <c r="G30" s="5">
        <v>45019</v>
      </c>
      <c r="H30" s="5">
        <v>45068</v>
      </c>
      <c r="I30" s="4">
        <f>SUMIF(DATA_MASTER[NO. PON],FABRIKASI[[#This Row],[No.PON]],DATA_MASTER[Qty
(Unit)])</f>
        <v>2</v>
      </c>
      <c r="J30" s="180">
        <f>FABRIKASI[[#This Row],[Qty]]*FABRIKASI[[#This Row],[Berat Fabrikasi]]</f>
        <v>51675.080000000009</v>
      </c>
    </row>
    <row r="31" spans="1:15" hidden="1" x14ac:dyDescent="0.3">
      <c r="A31" t="s">
        <v>309</v>
      </c>
      <c r="B31" t="s">
        <v>30</v>
      </c>
      <c r="C31" t="str">
        <f>IFERROR(VLOOKUP(A31,'DATA MASTER'!A:O,2,0)," ")</f>
        <v>Panel Bailey</v>
      </c>
      <c r="D31" t="str">
        <f>IFERROR(VLOOKUP(A31,'DATA MASTER'!A:V,4,0)," ")</f>
        <v>18 DSR1-EW</v>
      </c>
      <c r="E31" s="10">
        <v>24530.89</v>
      </c>
      <c r="F31" s="23" t="s">
        <v>289</v>
      </c>
      <c r="G31" s="5">
        <v>45019</v>
      </c>
      <c r="H31" s="5">
        <v>45068</v>
      </c>
      <c r="I31" s="4">
        <f>SUMIF(DATA_MASTER[NO. PON],FABRIKASI[[#This Row],[No.PON]],DATA_MASTER[Qty
(Unit)])</f>
        <v>1</v>
      </c>
      <c r="J31" s="180">
        <f>FABRIKASI[[#This Row],[Qty]]*FABRIKASI[[#This Row],[Berat Fabrikasi]]</f>
        <v>24530.89</v>
      </c>
    </row>
    <row r="32" spans="1:15" hidden="1" x14ac:dyDescent="0.3">
      <c r="A32" t="s">
        <v>310</v>
      </c>
      <c r="B32" t="s">
        <v>30</v>
      </c>
      <c r="C32" t="str">
        <f>IFERROR(VLOOKUP(A32,'DATA MASTER'!A:O,2,0)," ")</f>
        <v>Panel Bailey</v>
      </c>
      <c r="D32" t="str">
        <f>IFERROR(VLOOKUP(A32,'DATA MASTER'!A:V,4,0)," ")</f>
        <v>18 DSR2-EW</v>
      </c>
      <c r="E32" s="10">
        <v>26673.07</v>
      </c>
      <c r="F32" s="23" t="s">
        <v>289</v>
      </c>
      <c r="G32" s="5">
        <v>45019</v>
      </c>
      <c r="H32" s="5">
        <v>45068</v>
      </c>
      <c r="I32" s="4">
        <f>SUMIF(DATA_MASTER[NO. PON],FABRIKASI[[#This Row],[No.PON]],DATA_MASTER[Qty
(Unit)])</f>
        <v>1</v>
      </c>
      <c r="J32" s="180">
        <f>FABRIKASI[[#This Row],[Qty]]*FABRIKASI[[#This Row],[Berat Fabrikasi]]</f>
        <v>26673.07</v>
      </c>
    </row>
    <row r="33" spans="1:15" hidden="1" x14ac:dyDescent="0.3">
      <c r="A33" t="s">
        <v>367</v>
      </c>
      <c r="B33" t="s">
        <v>30</v>
      </c>
      <c r="C33" t="str">
        <f>IFERROR(VLOOKUP(A33,'DATA MASTER'!A:O,2,0)," ")</f>
        <v>Panel Bailey</v>
      </c>
      <c r="D33" t="str">
        <f>IFERROR(VLOOKUP(A33,'DATA MASTER'!A:V,4,0)," ")</f>
        <v>33 DSR2H*-EW (U120)</v>
      </c>
      <c r="E33" s="10">
        <v>50562.139999999992</v>
      </c>
      <c r="F33" s="23" t="s">
        <v>289</v>
      </c>
      <c r="G33" s="5">
        <v>45019</v>
      </c>
      <c r="H33" s="5">
        <v>45068</v>
      </c>
      <c r="I33" s="4">
        <f>SUMIF(DATA_MASTER[NO. PON],FABRIKASI[[#This Row],[No.PON]],DATA_MASTER[Qty
(Unit)])</f>
        <v>1</v>
      </c>
      <c r="J33" s="180">
        <f>FABRIKASI[[#This Row],[Qty]]*FABRIKASI[[#This Row],[Berat Fabrikasi]]</f>
        <v>50562.139999999992</v>
      </c>
    </row>
    <row r="34" spans="1:15" hidden="1" x14ac:dyDescent="0.3">
      <c r="A34" t="s">
        <v>224</v>
      </c>
      <c r="B34" t="s">
        <v>30</v>
      </c>
      <c r="C34" t="str">
        <f>IFERROR(VLOOKUP(A34,'DATA MASTER'!A:O,2,0)," ")</f>
        <v>Panel Bailey</v>
      </c>
      <c r="D34" t="str">
        <f>IFERROR(VLOOKUP(A34,'DATA MASTER'!A:V,4,0)," ")</f>
        <v>30 DSR2-EW</v>
      </c>
      <c r="E34" s="10">
        <v>43261.99</v>
      </c>
      <c r="F34" s="23" t="s">
        <v>117</v>
      </c>
      <c r="G34" t="s">
        <v>117</v>
      </c>
      <c r="H34" t="s">
        <v>117</v>
      </c>
      <c r="I34" s="1">
        <f>SUMIF(DATA_MASTER[NO. PON],FABRIKASI[[#This Row],[No.PON]],DATA_MASTER[Qty
(Unit)])</f>
        <v>3</v>
      </c>
      <c r="J34" s="165">
        <f>FABRIKASI[[#This Row],[Qty]]*FABRIKASI[[#This Row],[Berat Fabrikasi]]</f>
        <v>129785.97</v>
      </c>
    </row>
    <row r="35" spans="1:15" hidden="1" x14ac:dyDescent="0.3">
      <c r="A35" t="s">
        <v>430</v>
      </c>
      <c r="B35" t="s">
        <v>30</v>
      </c>
      <c r="C35" t="str">
        <f>IFERROR(VLOOKUP(A35,'DATA MASTER'!A:O,2,0)," ")</f>
        <v>Girder</v>
      </c>
      <c r="D35" t="str">
        <f>IFERROR(VLOOKUP(A35,'DATA MASTER'!A:V,4,0)," ")</f>
        <v>BG22</v>
      </c>
      <c r="E35" s="10">
        <v>27132.520000000008</v>
      </c>
      <c r="F35" s="21">
        <v>45065</v>
      </c>
      <c r="G35" s="5">
        <v>45063</v>
      </c>
      <c r="H35" s="5">
        <v>45110</v>
      </c>
      <c r="I35" s="4">
        <f>SUMIF(DATA_MASTER[NO. PON],FABRIKASI[[#This Row],[No.PON]],DATA_MASTER[Qty
(Unit)])</f>
        <v>1</v>
      </c>
      <c r="J35" s="180">
        <f>FABRIKASI[[#This Row],[Qty]]*FABRIKASI[[#This Row],[Berat Fabrikasi]]</f>
        <v>27132.520000000008</v>
      </c>
    </row>
    <row r="36" spans="1:15" hidden="1" x14ac:dyDescent="0.3">
      <c r="A36" t="s">
        <v>286</v>
      </c>
      <c r="B36" t="s">
        <v>30</v>
      </c>
      <c r="C36" t="str">
        <f>IFERROR(VLOOKUP(A36,'DATA MASTER'!A:O,2,0)," ")</f>
        <v>Panel Bailey</v>
      </c>
      <c r="D36" t="str">
        <f>IFERROR(VLOOKUP(A36,'DATA MASTER'!A:V,4,0)," ")</f>
        <v>42 DSR2-EW (U120)</v>
      </c>
      <c r="E36" s="10">
        <v>61912.55</v>
      </c>
      <c r="F36" s="23" t="s">
        <v>289</v>
      </c>
      <c r="G36" s="5">
        <v>45006</v>
      </c>
      <c r="H36" s="5">
        <v>45046</v>
      </c>
      <c r="I36" s="4">
        <f>SUMIF(DATA_MASTER[NO. PON],FABRIKASI[[#This Row],[No.PON]],DATA_MASTER[Qty
(Unit)])</f>
        <v>1</v>
      </c>
      <c r="J36" s="180">
        <f>FABRIKASI[[#This Row],[Qty]]*FABRIKASI[[#This Row],[Berat Fabrikasi]]</f>
        <v>61912.55</v>
      </c>
    </row>
    <row r="37" spans="1:15" hidden="1" x14ac:dyDescent="0.3">
      <c r="A37" t="s">
        <v>290</v>
      </c>
      <c r="B37" t="s">
        <v>30</v>
      </c>
      <c r="C37" t="str">
        <f>IFERROR(VLOOKUP(A37,'DATA MASTER'!A:O,2,0)," ")</f>
        <v>Panel Bailey</v>
      </c>
      <c r="D37" t="str">
        <f>IFERROR(VLOOKUP(A37,'DATA MASTER'!A:V,4,0)," ")</f>
        <v>45 DSR2H**-EW (U120)</v>
      </c>
      <c r="E37" s="10">
        <v>68880.260000000009</v>
      </c>
      <c r="F37" s="23" t="s">
        <v>289</v>
      </c>
      <c r="G37" s="5">
        <v>45006</v>
      </c>
      <c r="H37" s="5">
        <v>45046</v>
      </c>
      <c r="I37" s="4">
        <f>SUMIF(DATA_MASTER[NO. PON],FABRIKASI[[#This Row],[No.PON]],DATA_MASTER[Qty
(Unit)])</f>
        <v>2</v>
      </c>
      <c r="J37" s="180">
        <f>FABRIKASI[[#This Row],[Qty]]*FABRIKASI[[#This Row],[Berat Fabrikasi]]</f>
        <v>137760.52000000002</v>
      </c>
    </row>
    <row r="38" spans="1:15" hidden="1" x14ac:dyDescent="0.3">
      <c r="A38" t="s">
        <v>313</v>
      </c>
      <c r="B38" t="s">
        <v>30</v>
      </c>
      <c r="C38" t="str">
        <f>IFERROR(VLOOKUP(A38,'DATA MASTER'!A:O,2,0)," ")</f>
        <v>BEAM TRESTLE</v>
      </c>
      <c r="D38" t="str">
        <f>IFERROR(VLOOKUP(A38,'DATA MASTER'!A:V,4,0)," ")</f>
        <v>TRESTLE BEAM</v>
      </c>
      <c r="E38" s="10">
        <v>3859.9199999999996</v>
      </c>
      <c r="F38" s="21">
        <v>45021</v>
      </c>
      <c r="G38" s="5">
        <v>45019</v>
      </c>
      <c r="H38" s="5">
        <v>45068</v>
      </c>
      <c r="I38" s="4">
        <f>SUMIF(DATA_MASTER[NO. PON],FABRIKASI[[#This Row],[No.PON]],DATA_MASTER[Qty
(Unit)])</f>
        <v>1</v>
      </c>
      <c r="J38" s="180">
        <f>FABRIKASI[[#This Row],[Qty]]*FABRIKASI[[#This Row],[Berat Fabrikasi]]</f>
        <v>3859.9199999999996</v>
      </c>
      <c r="O38" t="s">
        <v>155</v>
      </c>
    </row>
    <row r="39" spans="1:15" hidden="1" x14ac:dyDescent="0.3">
      <c r="A39" t="s">
        <v>358</v>
      </c>
      <c r="B39" t="s">
        <v>30</v>
      </c>
      <c r="C39" t="str">
        <f>IFERROR(VLOOKUP(A39,'DATA MASTER'!A:O,2,0)," ")</f>
        <v>Panel Bailey</v>
      </c>
      <c r="D39" t="str">
        <f>IFERROR(VLOOKUP(A39,'DATA MASTER'!A:V,4,0)," ")</f>
        <v>30 DSR2-EW</v>
      </c>
      <c r="E39" s="10">
        <v>43261.99</v>
      </c>
      <c r="F39" s="23" t="s">
        <v>289</v>
      </c>
      <c r="G39" s="5">
        <v>45030</v>
      </c>
      <c r="H39" s="5">
        <v>45060</v>
      </c>
      <c r="I39" s="4">
        <f>SUMIF(DATA_MASTER[NO. PON],FABRIKASI[[#This Row],[No.PON]],DATA_MASTER[Qty
(Unit)])</f>
        <v>1</v>
      </c>
      <c r="J39" s="180">
        <f>FABRIKASI[[#This Row],[Qty]]*FABRIKASI[[#This Row],[Berat Fabrikasi]]</f>
        <v>43261.99</v>
      </c>
    </row>
    <row r="40" spans="1:15" hidden="1" x14ac:dyDescent="0.3">
      <c r="A40" t="s">
        <v>348</v>
      </c>
      <c r="B40" t="s">
        <v>30</v>
      </c>
      <c r="C40" t="str">
        <f>IFERROR(VLOOKUP(A40,'DATA MASTER'!A:O,2,0)," ")</f>
        <v>Girder</v>
      </c>
      <c r="D40" t="str">
        <f>IFERROR(VLOOKUP(A40,'DATA MASTER'!A:V,4,0)," ")</f>
        <v>CG30</v>
      </c>
      <c r="E40" s="10">
        <v>30865.459999999995</v>
      </c>
      <c r="F40" s="21">
        <v>45027</v>
      </c>
      <c r="G40" s="5">
        <v>45026</v>
      </c>
      <c r="H40" s="5">
        <v>45056</v>
      </c>
      <c r="I40" s="4">
        <f>SUMIF(DATA_MASTER[NO. PON],FABRIKASI[[#This Row],[No.PON]],DATA_MASTER[Qty
(Unit)])</f>
        <v>1</v>
      </c>
      <c r="J40" s="180">
        <f>FABRIKASI[[#This Row],[Qty]]*FABRIKASI[[#This Row],[Berat Fabrikasi]]</f>
        <v>30865.459999999995</v>
      </c>
      <c r="O40" t="s">
        <v>352</v>
      </c>
    </row>
    <row r="41" spans="1:15" hidden="1" x14ac:dyDescent="0.3">
      <c r="A41" t="s">
        <v>427</v>
      </c>
      <c r="B41" t="s">
        <v>30</v>
      </c>
      <c r="C41" t="str">
        <f>IFERROR(VLOOKUP(A41,'DATA MASTER'!A:O,2,0)," ")</f>
        <v>Panel Bailey</v>
      </c>
      <c r="D41" t="str">
        <f>IFERROR(VLOOKUP(A41,'DATA MASTER'!A:V,4,0)," ")</f>
        <v>KOMPONEN BAILEY</v>
      </c>
      <c r="E41" s="10">
        <v>3482.36</v>
      </c>
      <c r="G41" s="5"/>
      <c r="H41" s="5"/>
      <c r="I41" s="4">
        <f>SUMIF(DATA_MASTER[NO. PON],FABRIKASI[[#This Row],[No.PON]],DATA_MASTER[Qty
(Unit)])</f>
        <v>1</v>
      </c>
      <c r="J41" s="180">
        <f>FABRIKASI[[#This Row],[Qty]]*FABRIKASI[[#This Row],[Berat Fabrikasi]]</f>
        <v>3482.36</v>
      </c>
    </row>
    <row r="42" spans="1:15" hidden="1" x14ac:dyDescent="0.3">
      <c r="A42" t="s">
        <v>418</v>
      </c>
      <c r="B42" t="s">
        <v>30</v>
      </c>
      <c r="C42" t="str">
        <f>IFERROR(VLOOKUP(A42,'DATA MASTER'!A:O,2,0)," ")</f>
        <v>Panel Bailey</v>
      </c>
      <c r="D42" t="str">
        <f>IFERROR(VLOOKUP(A42,'DATA MASTER'!A:V,4,0)," ")</f>
        <v>36 DSR2-EW</v>
      </c>
      <c r="E42" s="10">
        <v>52580.930000000008</v>
      </c>
      <c r="F42" s="23" t="s">
        <v>362</v>
      </c>
      <c r="G42" s="5"/>
      <c r="H42" s="5"/>
      <c r="I42" s="4">
        <f>SUMIF(DATA_MASTER[NO. PON],FABRIKASI[[#This Row],[No.PON]],DATA_MASTER[Qty
(Unit)])</f>
        <v>1</v>
      </c>
      <c r="J42" s="180">
        <f>FABRIKASI[[#This Row],[Qty]]*FABRIKASI[[#This Row],[Berat Fabrikasi]]</f>
        <v>52580.930000000008</v>
      </c>
    </row>
    <row r="43" spans="1:15" hidden="1" x14ac:dyDescent="0.3">
      <c r="A43" t="s">
        <v>422</v>
      </c>
      <c r="B43" t="s">
        <v>30</v>
      </c>
      <c r="C43" t="str">
        <f>IFERROR(VLOOKUP(A43,'DATA MASTER'!A:O,2,0)," ")</f>
        <v>Panel Bailey</v>
      </c>
      <c r="D43" t="str">
        <f>IFERROR(VLOOKUP(A43,'DATA MASTER'!A:V,4,0)," ")</f>
        <v>30 DSR2-EW</v>
      </c>
      <c r="E43" s="10">
        <v>43261.99</v>
      </c>
      <c r="F43" s="23" t="s">
        <v>423</v>
      </c>
      <c r="G43" s="5"/>
      <c r="H43" s="5"/>
      <c r="I43" s="4">
        <f>SUMIF(DATA_MASTER[NO. PON],FABRIKASI[[#This Row],[No.PON]],DATA_MASTER[Qty
(Unit)])</f>
        <v>2</v>
      </c>
      <c r="J43" s="180">
        <f>FABRIKASI[[#This Row],[Qty]]*FABRIKASI[[#This Row],[Berat Fabrikasi]]</f>
        <v>86523.98</v>
      </c>
    </row>
    <row r="44" spans="1:15" hidden="1" x14ac:dyDescent="0.3">
      <c r="A44" t="s">
        <v>424</v>
      </c>
      <c r="B44" t="s">
        <v>30</v>
      </c>
      <c r="C44" t="str">
        <f>IFERROR(VLOOKUP(A44,'DATA MASTER'!A:O,2,0)," ")</f>
        <v>Panel Bailey</v>
      </c>
      <c r="D44" t="str">
        <f>IFERROR(VLOOKUP(A44,'DATA MASTER'!A:V,4,0)," ")</f>
        <v>45 TSR2 - EW</v>
      </c>
      <c r="E44" s="10">
        <v>79238.12999999999</v>
      </c>
      <c r="F44" s="23" t="s">
        <v>423</v>
      </c>
      <c r="G44" s="5"/>
      <c r="H44" s="5"/>
      <c r="I44" s="4">
        <f>SUMIF(DATA_MASTER[NO. PON],FABRIKASI[[#This Row],[No.PON]],DATA_MASTER[Qty
(Unit)])</f>
        <v>1</v>
      </c>
      <c r="J44" s="180">
        <f>FABRIKASI[[#This Row],[Qty]]*FABRIKASI[[#This Row],[Berat Fabrikasi]]</f>
        <v>79238.12999999999</v>
      </c>
    </row>
    <row r="45" spans="1:15" hidden="1" x14ac:dyDescent="0.3">
      <c r="A45" t="s">
        <v>645</v>
      </c>
      <c r="B45" t="s">
        <v>30</v>
      </c>
      <c r="C45" t="str">
        <f>IFERROR(VLOOKUP(A45,'DATA MASTER'!A:O,2,0)," ")</f>
        <v>RAMP Panel Bailey</v>
      </c>
      <c r="D45" t="str">
        <f>IFERROR(VLOOKUP(A45,'DATA MASTER'!A:V,4,0)," ")</f>
        <v>RAMP PANEL BAILEY</v>
      </c>
      <c r="E45" s="10">
        <v>1897.9599999999998</v>
      </c>
      <c r="F45" s="21"/>
      <c r="G45" s="5">
        <v>45071</v>
      </c>
      <c r="H45" s="5">
        <v>45112</v>
      </c>
      <c r="I45" s="4">
        <f>SUMIF(DATA_MASTER[NO. PON],FABRIKASI[[#This Row],[No.PON]],DATA_MASTER[Qty
(Unit)])</f>
        <v>6</v>
      </c>
      <c r="J45" s="180">
        <f>FABRIKASI[[#This Row],[Qty]]*FABRIKASI[[#This Row],[Berat Fabrikasi]]</f>
        <v>11387.759999999998</v>
      </c>
      <c r="O45" s="154"/>
    </row>
    <row r="46" spans="1:15" hidden="1" x14ac:dyDescent="0.3">
      <c r="A46" t="s">
        <v>442</v>
      </c>
      <c r="B46" t="s">
        <v>30</v>
      </c>
      <c r="C46" t="str">
        <f>IFERROR(VLOOKUP(A46,'DATA MASTER'!A:O,2,0)," ")</f>
        <v>Panel Bailey</v>
      </c>
      <c r="D46" t="str">
        <f>IFERROR(VLOOKUP(A46,'DATA MASTER'!A:V,4,0)," ")</f>
        <v>30 DSR2-EW</v>
      </c>
      <c r="E46" s="10">
        <v>43261.99</v>
      </c>
      <c r="F46" s="21" t="s">
        <v>423</v>
      </c>
      <c r="G46" s="5">
        <v>45071</v>
      </c>
      <c r="H46" s="5">
        <v>45112</v>
      </c>
      <c r="I46" s="4">
        <f>SUMIF(DATA_MASTER[NO. PON],FABRIKASI[[#This Row],[No.PON]],DATA_MASTER[Qty
(Unit)])</f>
        <v>1</v>
      </c>
      <c r="J46" s="180">
        <f>FABRIKASI[[#This Row],[Qty]]*FABRIKASI[[#This Row],[Berat Fabrikasi]]</f>
        <v>43261.99</v>
      </c>
    </row>
    <row r="47" spans="1:15" hidden="1" x14ac:dyDescent="0.3">
      <c r="A47" t="s">
        <v>443</v>
      </c>
      <c r="B47" t="s">
        <v>30</v>
      </c>
      <c r="C47" t="str">
        <f>IFERROR(VLOOKUP(A47,'DATA MASTER'!A:O,2,0)," ")</f>
        <v>Panel Bailey</v>
      </c>
      <c r="D47" t="str">
        <f>IFERROR(VLOOKUP(A47,'DATA MASTER'!A:V,4,0)," ")</f>
        <v>21 SSR-EW</v>
      </c>
      <c r="E47" s="10">
        <v>21970.160000000003</v>
      </c>
      <c r="F47" s="21" t="s">
        <v>423</v>
      </c>
      <c r="G47" s="5">
        <v>45071</v>
      </c>
      <c r="H47" s="5">
        <v>45118</v>
      </c>
      <c r="I47" s="4">
        <f>SUMIF(DATA_MASTER[NO. PON],FABRIKASI[[#This Row],[No.PON]],DATA_MASTER[Qty
(Unit)])</f>
        <v>2</v>
      </c>
      <c r="J47" s="180">
        <f>FABRIKASI[[#This Row],[Qty]]*FABRIKASI[[#This Row],[Berat Fabrikasi]]</f>
        <v>43940.320000000007</v>
      </c>
    </row>
    <row r="48" spans="1:15" hidden="1" x14ac:dyDescent="0.3">
      <c r="A48" t="s">
        <v>445</v>
      </c>
      <c r="B48" t="s">
        <v>30</v>
      </c>
      <c r="C48" t="str">
        <f>IFERROR(VLOOKUP(A48,'DATA MASTER'!A:O,2,0)," ")</f>
        <v>Panel Bailey</v>
      </c>
      <c r="D48" t="str">
        <f>IFERROR(VLOOKUP(A48,'DATA MASTER'!A:V,4,0)," ")</f>
        <v>24 SSR-EW</v>
      </c>
      <c r="E48" s="10">
        <v>24934.67</v>
      </c>
      <c r="F48" s="21" t="s">
        <v>423</v>
      </c>
      <c r="G48" s="5">
        <v>45071</v>
      </c>
      <c r="H48" s="5">
        <v>45118</v>
      </c>
      <c r="I48" s="4">
        <f>SUMIF(DATA_MASTER[NO. PON],FABRIKASI[[#This Row],[No.PON]],DATA_MASTER[Qty
(Unit)])</f>
        <v>1</v>
      </c>
      <c r="J48" s="180">
        <f>FABRIKASI[[#This Row],[Qty]]*FABRIKASI[[#This Row],[Berat Fabrikasi]]</f>
        <v>24934.67</v>
      </c>
    </row>
    <row r="49" spans="1:15" hidden="1" x14ac:dyDescent="0.3">
      <c r="A49" t="s">
        <v>447</v>
      </c>
      <c r="B49" t="s">
        <v>30</v>
      </c>
      <c r="C49" t="str">
        <f>IFERROR(VLOOKUP(A49,'DATA MASTER'!A:O,2,0)," ")</f>
        <v>Panel Bailey</v>
      </c>
      <c r="D49" t="str">
        <f>IFERROR(VLOOKUP(A49,'DATA MASTER'!A:V,4,0)," ")</f>
        <v>27 DSR2-EW</v>
      </c>
      <c r="E49" s="10">
        <v>39114.76</v>
      </c>
      <c r="F49" s="21" t="s">
        <v>423</v>
      </c>
      <c r="G49" s="5">
        <v>45071</v>
      </c>
      <c r="H49" s="5">
        <v>45118</v>
      </c>
      <c r="I49" s="4">
        <f>SUMIF(DATA_MASTER[NO. PON],FABRIKASI[[#This Row],[No.PON]],DATA_MASTER[Qty
(Unit)])</f>
        <v>1</v>
      </c>
      <c r="J49" s="180">
        <f>FABRIKASI[[#This Row],[Qty]]*FABRIKASI[[#This Row],[Berat Fabrikasi]]</f>
        <v>39114.76</v>
      </c>
    </row>
    <row r="50" spans="1:15" hidden="1" x14ac:dyDescent="0.3">
      <c r="A50" t="s">
        <v>863</v>
      </c>
      <c r="B50" t="s">
        <v>30</v>
      </c>
      <c r="C50" t="str">
        <f>IFERROR(VLOOKUP(A50,'DATA MASTER'!A:O,2,0)," ")</f>
        <v>Panel Bailey</v>
      </c>
      <c r="D50" t="str">
        <f>IFERROR(VLOOKUP(A50,'DATA MASTER'!A:V,4,0)," ")</f>
        <v>39 DSR2H**-EW</v>
      </c>
      <c r="E50" s="10">
        <v>60185.50328185979</v>
      </c>
      <c r="F50" s="21"/>
      <c r="G50" s="5"/>
      <c r="H50" s="5"/>
      <c r="I50" s="4">
        <f>SUMIF(DATA_MASTER[NO. PON],FABRIKASI[[#This Row],[No.PON]],DATA_MASTER[Qty
(Unit)])</f>
        <v>1</v>
      </c>
      <c r="J50" s="180">
        <f>FABRIKASI[[#This Row],[Qty]]*FABRIKASI[[#This Row],[Berat Fabrikasi]]</f>
        <v>60185.50328185979</v>
      </c>
      <c r="O50" s="154"/>
    </row>
    <row r="51" spans="1:15" hidden="1" x14ac:dyDescent="0.3">
      <c r="A51" t="s">
        <v>469</v>
      </c>
      <c r="B51" t="s">
        <v>30</v>
      </c>
      <c r="C51" t="str">
        <f>IFERROR(VLOOKUP(A51,'DATA MASTER'!A:O,2,0)," ")</f>
        <v>Girder Spesial</v>
      </c>
      <c r="D51" t="str">
        <f>IFERROR(VLOOKUP(A51,'DATA MASTER'!A:V,4,0)," ")</f>
        <v>GD14</v>
      </c>
      <c r="E51" s="10">
        <v>8841.4600000000028</v>
      </c>
      <c r="F51" s="21">
        <v>45090</v>
      </c>
      <c r="G51" s="5">
        <v>45079</v>
      </c>
      <c r="H51" s="5">
        <v>45129</v>
      </c>
      <c r="I51" s="4">
        <f>SUMIF(DATA_MASTER[NO. PON],FABRIKASI[[#This Row],[No.PON]],DATA_MASTER[Qty
(Unit)])</f>
        <v>1</v>
      </c>
      <c r="J51" s="180">
        <f>FABRIKASI[[#This Row],[Qty]]*FABRIKASI[[#This Row],[Berat Fabrikasi]]</f>
        <v>8841.4600000000028</v>
      </c>
    </row>
    <row r="52" spans="1:15" hidden="1" x14ac:dyDescent="0.3">
      <c r="A52" t="s">
        <v>479</v>
      </c>
      <c r="B52" t="s">
        <v>30</v>
      </c>
      <c r="C52" t="str">
        <f>IFERROR(VLOOKUP(A52,'DATA MASTER'!A:O,2,0)," ")</f>
        <v>Girder Spesial</v>
      </c>
      <c r="D52" t="str">
        <f>IFERROR(VLOOKUP(A52,'DATA MASTER'!A:V,4,0)," ")</f>
        <v>GD16</v>
      </c>
      <c r="E52" s="10">
        <v>10736.490000000002</v>
      </c>
      <c r="F52" s="21">
        <v>45090</v>
      </c>
      <c r="G52" s="5">
        <v>45079</v>
      </c>
      <c r="H52" s="5">
        <v>45129</v>
      </c>
      <c r="I52" s="4">
        <f>SUMIF(DATA_MASTER[NO. PON],FABRIKASI[[#This Row],[No.PON]],DATA_MASTER[Qty
(Unit)])</f>
        <v>5</v>
      </c>
      <c r="J52" s="180">
        <f>FABRIKASI[[#This Row],[Qty]]*FABRIKASI[[#This Row],[Berat Fabrikasi]]</f>
        <v>53682.450000000012</v>
      </c>
    </row>
    <row r="53" spans="1:15" hidden="1" x14ac:dyDescent="0.3">
      <c r="A53" t="s">
        <v>482</v>
      </c>
      <c r="B53" t="s">
        <v>30</v>
      </c>
      <c r="C53" t="str">
        <f>IFERROR(VLOOKUP(A53,'DATA MASTER'!A:O,2,0)," ")</f>
        <v>Girder Spesial</v>
      </c>
      <c r="D53" t="str">
        <f>IFERROR(VLOOKUP(A53,'DATA MASTER'!A:V,4,0)," ")</f>
        <v>GD18</v>
      </c>
      <c r="E53" s="10">
        <v>12394.979999999998</v>
      </c>
      <c r="F53" s="21">
        <v>45090</v>
      </c>
      <c r="G53" s="5">
        <v>45079</v>
      </c>
      <c r="H53" s="5">
        <v>45129</v>
      </c>
      <c r="I53" s="4">
        <f>SUMIF(DATA_MASTER[NO. PON],FABRIKASI[[#This Row],[No.PON]],DATA_MASTER[Qty
(Unit)])</f>
        <v>3</v>
      </c>
      <c r="J53" s="180">
        <f>FABRIKASI[[#This Row],[Qty]]*FABRIKASI[[#This Row],[Berat Fabrikasi]]</f>
        <v>37184.939999999995</v>
      </c>
    </row>
    <row r="54" spans="1:15" hidden="1" x14ac:dyDescent="0.3">
      <c r="A54" t="s">
        <v>487</v>
      </c>
      <c r="B54" t="s">
        <v>30</v>
      </c>
      <c r="C54" t="str">
        <f>IFERROR(VLOOKUP(A54,'DATA MASTER'!A:O,2,0)," ")</f>
        <v>Girder Spesial</v>
      </c>
      <c r="D54" t="str">
        <f>IFERROR(VLOOKUP(A54,'DATA MASTER'!A:V,4,0)," ")</f>
        <v>GD20</v>
      </c>
      <c r="E54" s="10">
        <v>15105.200000000004</v>
      </c>
      <c r="F54" s="21">
        <v>45090</v>
      </c>
      <c r="G54" s="5">
        <v>45079</v>
      </c>
      <c r="H54" s="5">
        <v>45129</v>
      </c>
      <c r="I54" s="4">
        <f>SUMIF(DATA_MASTER[NO. PON],FABRIKASI[[#This Row],[No.PON]],DATA_MASTER[Qty
(Unit)])</f>
        <v>1</v>
      </c>
      <c r="J54" s="180">
        <f>FABRIKASI[[#This Row],[Qty]]*FABRIKASI[[#This Row],[Berat Fabrikasi]]</f>
        <v>15105.200000000004</v>
      </c>
    </row>
    <row r="55" spans="1:15" hidden="1" x14ac:dyDescent="0.3">
      <c r="A55" t="s">
        <v>489</v>
      </c>
      <c r="B55" t="s">
        <v>30</v>
      </c>
      <c r="C55" t="str">
        <f>IFERROR(VLOOKUP(A55,'DATA MASTER'!A:O,2,0)," ")</f>
        <v>Girder</v>
      </c>
      <c r="D55" t="str">
        <f>IFERROR(VLOOKUP(A55,'DATA MASTER'!A:V,4,0)," ")</f>
        <v>BG25</v>
      </c>
      <c r="E55" s="10">
        <v>31786.839999999997</v>
      </c>
      <c r="F55" s="21">
        <v>45113</v>
      </c>
      <c r="G55" s="5">
        <v>45083</v>
      </c>
      <c r="H55" s="5">
        <v>45130</v>
      </c>
      <c r="I55" s="4">
        <f>SUMIF(DATA_MASTER[NO. PON],FABRIKASI[[#This Row],[No.PON]],DATA_MASTER[Qty
(Unit)])</f>
        <v>1</v>
      </c>
      <c r="J55" s="180">
        <f>FABRIKASI[[#This Row],[Qty]]*FABRIKASI[[#This Row],[Berat Fabrikasi]]</f>
        <v>31786.839999999997</v>
      </c>
    </row>
    <row r="56" spans="1:15" hidden="1" x14ac:dyDescent="0.3">
      <c r="A56" t="s">
        <v>498</v>
      </c>
      <c r="B56" t="s">
        <v>30</v>
      </c>
      <c r="C56" t="str">
        <f>IFERROR(VLOOKUP(A56,'DATA MASTER'!A:O,2,0)," ")</f>
        <v>Truss Modullar</v>
      </c>
      <c r="D56" t="str">
        <f>IFERROR(VLOOKUP(A56,'DATA MASTER'!A:V,4,0)," ")</f>
        <v>KOMPONEN STRINGGER</v>
      </c>
      <c r="E56" s="10">
        <v>11675.6</v>
      </c>
      <c r="F56" s="21"/>
      <c r="G56" s="5"/>
      <c r="H56" s="5"/>
      <c r="I56" s="4">
        <f>SUMIF(DATA_MASTER[NO. PON],FABRIKASI[[#This Row],[No.PON]],DATA_MASTER[Qty
(Unit)])</f>
        <v>1</v>
      </c>
      <c r="J56" s="180">
        <f>FABRIKASI[[#This Row],[Qty]]*FABRIKASI[[#This Row],[Berat Fabrikasi]]</f>
        <v>11675.6</v>
      </c>
    </row>
    <row r="57" spans="1:15" hidden="1" x14ac:dyDescent="0.3">
      <c r="A57" t="s">
        <v>504</v>
      </c>
      <c r="B57" t="s">
        <v>30</v>
      </c>
      <c r="C57" t="str">
        <f>IFERROR(VLOOKUP(A57,'DATA MASTER'!A:O,2,0)," ")</f>
        <v>Girder</v>
      </c>
      <c r="D57" t="str">
        <f>IFERROR(VLOOKUP(A57,'DATA MASTER'!A:V,4,0)," ")</f>
        <v>BG25</v>
      </c>
      <c r="E57" s="10">
        <v>27691.329999999991</v>
      </c>
      <c r="F57" s="21">
        <v>45089</v>
      </c>
      <c r="G57" s="5">
        <v>45086</v>
      </c>
      <c r="H57" s="5">
        <v>45133</v>
      </c>
      <c r="I57" s="4">
        <f>SUMIF(DATA_MASTER[NO. PON],FABRIKASI[[#This Row],[No.PON]],DATA_MASTER[Qty
(Unit)])</f>
        <v>1</v>
      </c>
      <c r="J57" s="180">
        <f>FABRIKASI[[#This Row],[Qty]]*FABRIKASI[[#This Row],[Berat Fabrikasi]]</f>
        <v>27691.329999999991</v>
      </c>
    </row>
    <row r="58" spans="1:15" hidden="1" x14ac:dyDescent="0.3">
      <c r="A58" t="s">
        <v>508</v>
      </c>
      <c r="B58" t="s">
        <v>30</v>
      </c>
      <c r="C58" t="str">
        <f>IFERROR(VLOOKUP(A58,'DATA MASTER'!A:O,2,0)," ")</f>
        <v>WELDED BEAM</v>
      </c>
      <c r="D58" t="str">
        <f>IFERROR(VLOOKUP(A58,'DATA MASTER'!A:V,4,0)," ")</f>
        <v>WB BEAM</v>
      </c>
      <c r="E58" s="10">
        <v>3854.33</v>
      </c>
      <c r="F58" s="21"/>
      <c r="G58" s="5">
        <v>45084</v>
      </c>
      <c r="H58" s="5">
        <v>45099</v>
      </c>
      <c r="I58" s="4">
        <f>SUMIF(DATA_MASTER[NO. PON],FABRIKASI[[#This Row],[No.PON]],DATA_MASTER[Qty
(Unit)])</f>
        <v>1</v>
      </c>
      <c r="J58" s="180">
        <f>FABRIKASI[[#This Row],[Qty]]*FABRIKASI[[#This Row],[Berat Fabrikasi]]</f>
        <v>3854.33</v>
      </c>
    </row>
    <row r="59" spans="1:15" hidden="1" x14ac:dyDescent="0.3">
      <c r="A59" t="s">
        <v>514</v>
      </c>
      <c r="B59" t="s">
        <v>30</v>
      </c>
      <c r="C59" t="str">
        <f>IFERROR(VLOOKUP(A59,'DATA MASTER'!A:O,2,0)," ")</f>
        <v>Girder</v>
      </c>
      <c r="D59" t="str">
        <f>IFERROR(VLOOKUP(A59,'DATA MASTER'!A:V,4,0)," ")</f>
        <v>BG30</v>
      </c>
      <c r="E59" s="10">
        <v>61592.520000000004</v>
      </c>
      <c r="F59" s="21"/>
      <c r="G59" s="5">
        <v>45086</v>
      </c>
      <c r="H59" s="5">
        <v>45136</v>
      </c>
      <c r="I59" s="4">
        <f>SUMIF(DATA_MASTER[NO. PON],FABRIKASI[[#This Row],[No.PON]],DATA_MASTER[Qty
(Unit)])</f>
        <v>1</v>
      </c>
      <c r="J59" s="180">
        <f>FABRIKASI[[#This Row],[Qty]]*FABRIKASI[[#This Row],[Berat Fabrikasi]]</f>
        <v>61592.520000000004</v>
      </c>
    </row>
    <row r="60" spans="1:15" hidden="1" x14ac:dyDescent="0.3">
      <c r="A60" t="s">
        <v>518</v>
      </c>
      <c r="B60" t="s">
        <v>30</v>
      </c>
      <c r="C60" t="str">
        <f>IFERROR(VLOOKUP(A60,'DATA MASTER'!A:O,2,0)," ")</f>
        <v>Girder</v>
      </c>
      <c r="D60" t="str">
        <f>IFERROR(VLOOKUP(A60,'DATA MASTER'!A:V,4,0)," ")</f>
        <v>CG30</v>
      </c>
      <c r="E60" s="10">
        <v>32109.320000000007</v>
      </c>
      <c r="F60" s="21">
        <v>45090</v>
      </c>
      <c r="G60" s="5">
        <v>45089</v>
      </c>
      <c r="H60" s="5">
        <v>45136</v>
      </c>
      <c r="I60" s="4">
        <f>SUMIF(DATA_MASTER[NO. PON],FABRIKASI[[#This Row],[No.PON]],DATA_MASTER[Qty
(Unit)])</f>
        <v>1</v>
      </c>
      <c r="J60" s="180">
        <f>FABRIKASI[[#This Row],[Qty]]*FABRIKASI[[#This Row],[Berat Fabrikasi]]</f>
        <v>32109.320000000007</v>
      </c>
    </row>
    <row r="61" spans="1:15" hidden="1" x14ac:dyDescent="0.3">
      <c r="A61" t="s">
        <v>548</v>
      </c>
      <c r="B61" t="s">
        <v>30</v>
      </c>
      <c r="C61" t="str">
        <f>IFERROR(VLOOKUP(A61,'DATA MASTER'!A:O,2,0)," ")</f>
        <v>Girder</v>
      </c>
      <c r="D61" t="str">
        <f>IFERROR(VLOOKUP(A61,'DATA MASTER'!A:V,4,0)," ")</f>
        <v>BG35</v>
      </c>
      <c r="E61" s="10">
        <v>63831.920000000006</v>
      </c>
      <c r="F61" s="21">
        <v>45097</v>
      </c>
      <c r="G61" s="5">
        <v>45091</v>
      </c>
      <c r="H61" s="5">
        <v>45141</v>
      </c>
      <c r="I61" s="4">
        <f>SUMIF(DATA_MASTER[NO. PON],FABRIKASI[[#This Row],[No.PON]],DATA_MASTER[Qty
(Unit)])</f>
        <v>1</v>
      </c>
      <c r="J61" s="180">
        <f>FABRIKASI[[#This Row],[Qty]]*FABRIKASI[[#This Row],[Berat Fabrikasi]]</f>
        <v>63831.920000000006</v>
      </c>
    </row>
    <row r="62" spans="1:15" hidden="1" x14ac:dyDescent="0.3">
      <c r="A62" t="s">
        <v>552</v>
      </c>
      <c r="B62" t="s">
        <v>30</v>
      </c>
      <c r="C62" t="str">
        <f>IFERROR(VLOOKUP(A62,'DATA MASTER'!A:O,2,0)," ")</f>
        <v>Girder</v>
      </c>
      <c r="D62" t="str">
        <f>IFERROR(VLOOKUP(A62,'DATA MASTER'!A:V,4,0)," ")</f>
        <v>BG20</v>
      </c>
      <c r="E62" s="10">
        <v>23612.12</v>
      </c>
      <c r="F62" s="21">
        <v>45097</v>
      </c>
      <c r="G62" s="5">
        <v>45091</v>
      </c>
      <c r="H62" s="5">
        <v>45148</v>
      </c>
      <c r="I62" s="4">
        <f>SUMIF(DATA_MASTER[NO. PON],FABRIKASI[[#This Row],[No.PON]],DATA_MASTER[Qty
(Unit)])</f>
        <v>1</v>
      </c>
      <c r="J62" s="180">
        <f>FABRIKASI[[#This Row],[Qty]]*FABRIKASI[[#This Row],[Berat Fabrikasi]]</f>
        <v>23612.12</v>
      </c>
    </row>
    <row r="63" spans="1:15" hidden="1" x14ac:dyDescent="0.3">
      <c r="A63" t="s">
        <v>566</v>
      </c>
      <c r="B63" t="s">
        <v>30</v>
      </c>
      <c r="C63" t="str">
        <f>IFERROR(VLOOKUP(A63,'DATA MASTER'!A:O,2,0)," ")</f>
        <v>Truss Modullar</v>
      </c>
      <c r="D63" t="str">
        <f>IFERROR(VLOOKUP(A63,'DATA MASTER'!A:V,4,0)," ")</f>
        <v>RB50</v>
      </c>
      <c r="E63" s="10">
        <v>89080.450000000012</v>
      </c>
      <c r="F63" s="21">
        <v>45100</v>
      </c>
      <c r="G63" s="5">
        <v>45096</v>
      </c>
      <c r="H63" s="5">
        <v>45166</v>
      </c>
      <c r="I63" s="4">
        <f>SUMIF(DATA_MASTER[NO. PON],FABRIKASI[[#This Row],[No.PON]],DATA_MASTER[Qty
(Unit)])</f>
        <v>2</v>
      </c>
      <c r="J63" s="180">
        <f>FABRIKASI[[#This Row],[Qty]]*FABRIKASI[[#This Row],[Berat Fabrikasi]]</f>
        <v>178160.90000000002</v>
      </c>
    </row>
    <row r="64" spans="1:15" hidden="1" x14ac:dyDescent="0.3">
      <c r="A64" t="s">
        <v>839</v>
      </c>
      <c r="B64" t="s">
        <v>30</v>
      </c>
      <c r="C64" t="str">
        <f>IFERROR(VLOOKUP(A64,'DATA MASTER'!A:O,2,0)," ")</f>
        <v>Jembatan Gantung</v>
      </c>
      <c r="D64" t="str">
        <f>IFERROR(VLOOKUP(A64,'DATA MASTER'!A:V,4,0)," ")</f>
        <v>JG154</v>
      </c>
      <c r="E64" s="10">
        <v>37760.5</v>
      </c>
      <c r="F64" s="21">
        <v>45154</v>
      </c>
      <c r="G64" s="5"/>
      <c r="H64" s="5"/>
      <c r="I64" s="4">
        <f>SUMIF(DATA_MASTER[NO. PON],FABRIKASI[[#This Row],[No.PON]],DATA_MASTER[Qty
(Unit)])</f>
        <v>1</v>
      </c>
      <c r="J64" s="180">
        <f>FABRIKASI[[#This Row],[Qty]]*FABRIKASI[[#This Row],[Berat Fabrikasi]]</f>
        <v>37760.5</v>
      </c>
      <c r="O64" s="154" t="s">
        <v>883</v>
      </c>
    </row>
    <row r="65" spans="1:15" hidden="1" x14ac:dyDescent="0.3">
      <c r="A65" t="s">
        <v>839</v>
      </c>
      <c r="B65" t="s">
        <v>30</v>
      </c>
      <c r="C65" t="str">
        <f>IFERROR(VLOOKUP(A65,'DATA MASTER'!A:O,2,0)," ")</f>
        <v>Jembatan Gantung</v>
      </c>
      <c r="D65" t="str">
        <f>IFERROR(VLOOKUP(A65,'DATA MASTER'!A:V,4,0)," ")</f>
        <v>JG154</v>
      </c>
      <c r="E65" s="10">
        <v>969.7600000000001</v>
      </c>
      <c r="F65" s="21"/>
      <c r="G65" s="5"/>
      <c r="H65" s="5"/>
      <c r="I65" s="4">
        <f>SUMIF(DATA_MASTER[NO. PON],FABRIKASI[[#This Row],[No.PON]],DATA_MASTER[Qty
(Unit)])</f>
        <v>1</v>
      </c>
      <c r="J65" s="180">
        <f>FABRIKASI[[#This Row],[Qty]]*FABRIKASI[[#This Row],[Berat Fabrikasi]]</f>
        <v>969.7600000000001</v>
      </c>
      <c r="O65" s="154"/>
    </row>
    <row r="66" spans="1:15" hidden="1" x14ac:dyDescent="0.3">
      <c r="A66" t="s">
        <v>839</v>
      </c>
      <c r="B66" t="s">
        <v>30</v>
      </c>
      <c r="C66" t="str">
        <f>IFERROR(VLOOKUP(A66,'DATA MASTER'!A:O,2,0)," ")</f>
        <v>Jembatan Gantung</v>
      </c>
      <c r="D66" t="str">
        <f>IFERROR(VLOOKUP(A66,'DATA MASTER'!A:V,4,0)," ")</f>
        <v>JG154</v>
      </c>
      <c r="E66" s="10">
        <v>4953.6799999999994</v>
      </c>
      <c r="F66" s="21"/>
      <c r="G66" s="5"/>
      <c r="H66" s="5"/>
      <c r="I66" s="4">
        <f>SUMIF(DATA_MASTER[NO. PON],FABRIKASI[[#This Row],[No.PON]],DATA_MASTER[Qty
(Unit)])</f>
        <v>1</v>
      </c>
      <c r="J66" s="180">
        <f>FABRIKASI[[#This Row],[Qty]]*FABRIKASI[[#This Row],[Berat Fabrikasi]]</f>
        <v>4953.6799999999994</v>
      </c>
      <c r="O66" s="154" t="s">
        <v>1257</v>
      </c>
    </row>
    <row r="67" spans="1:15" hidden="1" x14ac:dyDescent="0.3">
      <c r="A67" t="s">
        <v>585</v>
      </c>
      <c r="B67" t="s">
        <v>30</v>
      </c>
      <c r="C67" t="str">
        <f>IFERROR(VLOOKUP(A67,'DATA MASTER'!A:O,2,0)," ")</f>
        <v>Girder</v>
      </c>
      <c r="D67" t="str">
        <f>IFERROR(VLOOKUP(A67,'DATA MASTER'!A:V,4,0)," ")</f>
        <v>CG15_6 Line</v>
      </c>
      <c r="E67" s="10">
        <v>18751.400000000001</v>
      </c>
      <c r="F67" s="21">
        <v>45103</v>
      </c>
      <c r="G67" s="5">
        <v>45103</v>
      </c>
      <c r="H67" s="5">
        <v>45147</v>
      </c>
      <c r="I67" s="4">
        <f>SUMIF(DATA_MASTER[NO. PON],FABRIKASI[[#This Row],[No.PON]],DATA_MASTER[Qty
(Unit)])</f>
        <v>1</v>
      </c>
      <c r="J67" s="180">
        <f>FABRIKASI[[#This Row],[Qty]]*FABRIKASI[[#This Row],[Berat Fabrikasi]]</f>
        <v>18751.400000000001</v>
      </c>
    </row>
    <row r="68" spans="1:15" hidden="1" x14ac:dyDescent="0.3">
      <c r="A68" t="s">
        <v>589</v>
      </c>
      <c r="B68" t="s">
        <v>30</v>
      </c>
      <c r="C68" t="str">
        <f>IFERROR(VLOOKUP(A68,'DATA MASTER'!A:O,2,0)," ")</f>
        <v>Girder</v>
      </c>
      <c r="D68" t="str">
        <f>IFERROR(VLOOKUP(A68,'DATA MASTER'!A:V,4,0)," ")</f>
        <v>BG30</v>
      </c>
      <c r="E68" s="10">
        <v>38834.35</v>
      </c>
      <c r="F68" s="21">
        <v>45103</v>
      </c>
      <c r="G68" s="5"/>
      <c r="H68" s="5"/>
      <c r="I68" s="4">
        <f>SUMIF(DATA_MASTER[NO. PON],FABRIKASI[[#This Row],[No.PON]],DATA_MASTER[Qty
(Unit)])</f>
        <v>1</v>
      </c>
      <c r="J68" s="180">
        <f>FABRIKASI[[#This Row],[Qty]]*FABRIKASI[[#This Row],[Berat Fabrikasi]]</f>
        <v>38834.35</v>
      </c>
      <c r="O68" s="154" t="s">
        <v>596</v>
      </c>
    </row>
    <row r="69" spans="1:15" hidden="1" x14ac:dyDescent="0.3">
      <c r="A69" t="s">
        <v>669</v>
      </c>
      <c r="B69" t="s">
        <v>30</v>
      </c>
      <c r="C69" t="str">
        <f>IFERROR(VLOOKUP(A69,'DATA MASTER'!A:O,2,0)," ")</f>
        <v>ORNAMEN PIPA</v>
      </c>
      <c r="D69" t="str">
        <f>IFERROR(VLOOKUP(A69,'DATA MASTER'!A:V,4,0)," ")</f>
        <v>GB30-ARCH</v>
      </c>
      <c r="E69" s="10">
        <v>6578.7100000000009</v>
      </c>
      <c r="F69" s="21"/>
      <c r="G69" s="5"/>
      <c r="H69" s="5"/>
      <c r="I69" s="4">
        <f>SUMIF(DATA_MASTER[NO. PON],FABRIKASI[[#This Row],[No.PON]],DATA_MASTER[Qty
(Unit)])</f>
        <v>1</v>
      </c>
      <c r="J69" s="180">
        <f>FABRIKASI[[#This Row],[Qty]]*FABRIKASI[[#This Row],[Berat Fabrikasi]]</f>
        <v>6578.7100000000009</v>
      </c>
      <c r="O69" s="154"/>
    </row>
    <row r="70" spans="1:15" hidden="1" x14ac:dyDescent="0.3">
      <c r="A70" t="s">
        <v>730</v>
      </c>
      <c r="B70" t="s">
        <v>30</v>
      </c>
      <c r="C70" t="str">
        <f>IFERROR(VLOOKUP(A70,'DATA MASTER'!A:O,2,0)," ")</f>
        <v>Jembatan Gantung</v>
      </c>
      <c r="D70" t="str">
        <f>IFERROR(VLOOKUP(A70,'DATA MASTER'!A:V,4,0)," ")</f>
        <v>JG120</v>
      </c>
      <c r="E70" s="10">
        <v>21968.330000000013</v>
      </c>
      <c r="F70" s="21">
        <v>45141</v>
      </c>
      <c r="G70" s="5"/>
      <c r="H70" s="5"/>
      <c r="I70" s="4">
        <f>SUMIF(DATA_MASTER[NO. PON],FABRIKASI[[#This Row],[No.PON]],DATA_MASTER[Qty
(Unit)])</f>
        <v>1</v>
      </c>
      <c r="J70" s="180">
        <f>FABRIKASI[[#This Row],[Qty]]*FABRIKASI[[#This Row],[Berat Fabrikasi]]</f>
        <v>21968.330000000013</v>
      </c>
      <c r="O70" s="154"/>
    </row>
    <row r="71" spans="1:15" hidden="1" x14ac:dyDescent="0.3">
      <c r="A71" t="s">
        <v>718</v>
      </c>
      <c r="B71" t="s">
        <v>30</v>
      </c>
      <c r="C71" t="str">
        <f>IFERROR(VLOOKUP(A71,'DATA MASTER'!A:O,2,0)," ")</f>
        <v>Girder</v>
      </c>
      <c r="D71" t="str">
        <f>IFERROR(VLOOKUP(A71,'DATA MASTER'!A:V,4,0)," ")</f>
        <v>AG20</v>
      </c>
      <c r="E71" s="10">
        <v>24116.54</v>
      </c>
      <c r="F71" s="21">
        <v>45133</v>
      </c>
      <c r="G71" s="21">
        <v>45133</v>
      </c>
      <c r="H71" s="5">
        <v>45171</v>
      </c>
      <c r="I71" s="4">
        <f>SUMIF(DATA_MASTER[NO. PON],FABRIKASI[[#This Row],[No.PON]],DATA_MASTER[Qty
(Unit)])</f>
        <v>1</v>
      </c>
      <c r="J71" s="180">
        <f>FABRIKASI[[#This Row],[Qty]]*FABRIKASI[[#This Row],[Berat Fabrikasi]]</f>
        <v>24116.54</v>
      </c>
      <c r="O71" s="154" t="s">
        <v>721</v>
      </c>
    </row>
    <row r="72" spans="1:15" hidden="1" x14ac:dyDescent="0.3">
      <c r="A72" t="s">
        <v>753</v>
      </c>
      <c r="B72" t="s">
        <v>30</v>
      </c>
      <c r="C72" t="str">
        <f>IFERROR(VLOOKUP(A72,'DATA MASTER'!A:O,2,0)," ")</f>
        <v>Jembatan Gantung</v>
      </c>
      <c r="D72" t="str">
        <f>IFERROR(VLOOKUP(A72,'DATA MASTER'!A:V,4,0)," ")</f>
        <v>JG80</v>
      </c>
      <c r="E72" s="10">
        <v>13211.780000000004</v>
      </c>
      <c r="F72" s="21">
        <v>45154</v>
      </c>
      <c r="G72" s="5"/>
      <c r="H72" s="5"/>
      <c r="I72" s="4">
        <f>SUMIF(DATA_MASTER[NO. PON],FABRIKASI[[#This Row],[No.PON]],DATA_MASTER[Qty
(Unit)])</f>
        <v>1</v>
      </c>
      <c r="J72" s="180">
        <f>FABRIKASI[[#This Row],[Qty]]*FABRIKASI[[#This Row],[Berat Fabrikasi]]</f>
        <v>13211.780000000004</v>
      </c>
      <c r="O72" s="154"/>
    </row>
    <row r="73" spans="1:15" hidden="1" x14ac:dyDescent="0.3">
      <c r="A73" t="s">
        <v>672</v>
      </c>
      <c r="B73" t="s">
        <v>30</v>
      </c>
      <c r="C73" t="str">
        <f>IFERROR(VLOOKUP(A73,'DATA MASTER'!A:O,2,0)," ")</f>
        <v>Girder</v>
      </c>
      <c r="D73" t="str">
        <f>IFERROR(VLOOKUP(A73,'DATA MASTER'!A:V,4,0)," ")</f>
        <v>CG30</v>
      </c>
      <c r="E73" s="10">
        <v>32109.320000000007</v>
      </c>
      <c r="F73" s="21">
        <v>45090</v>
      </c>
      <c r="G73" s="5">
        <v>45120</v>
      </c>
      <c r="H73" s="5">
        <v>45164</v>
      </c>
      <c r="I73" s="4">
        <f>SUMIF(DATA_MASTER[NO. PON],FABRIKASI[[#This Row],[No.PON]],DATA_MASTER[Qty
(Unit)])</f>
        <v>1</v>
      </c>
      <c r="J73" s="180">
        <f>FABRIKASI[[#This Row],[Qty]]*FABRIKASI[[#This Row],[Berat Fabrikasi]]</f>
        <v>32109.320000000007</v>
      </c>
      <c r="O73" s="154"/>
    </row>
    <row r="74" spans="1:15" hidden="1" x14ac:dyDescent="0.3">
      <c r="A74" t="s">
        <v>627</v>
      </c>
      <c r="B74" t="s">
        <v>30</v>
      </c>
      <c r="C74" t="str">
        <f>IFERROR(VLOOKUP(A74,'DATA MASTER'!A:O,2,0)," ")</f>
        <v>Panel Bailey</v>
      </c>
      <c r="D74" t="str">
        <f>IFERROR(VLOOKUP(A74,'DATA MASTER'!A:V,4,0)," ")</f>
        <v>30 SSR-EW</v>
      </c>
      <c r="E74" s="10">
        <v>30863.690000000002</v>
      </c>
      <c r="F74" s="21"/>
      <c r="G74" s="5">
        <v>45113</v>
      </c>
      <c r="H74" s="5">
        <v>45147</v>
      </c>
      <c r="I74" s="4">
        <f>SUMIF(DATA_MASTER[NO. PON],FABRIKASI[[#This Row],[No.PON]],DATA_MASTER[Qty
(Unit)])</f>
        <v>3</v>
      </c>
      <c r="J74" s="180">
        <f>FABRIKASI[[#This Row],[Qty]]*FABRIKASI[[#This Row],[Berat Fabrikasi]]</f>
        <v>92591.07</v>
      </c>
      <c r="O74" s="154"/>
    </row>
    <row r="75" spans="1:15" hidden="1" x14ac:dyDescent="0.3">
      <c r="A75" t="s">
        <v>697</v>
      </c>
      <c r="B75" t="s">
        <v>30</v>
      </c>
      <c r="C75" t="str">
        <f>IFERROR(VLOOKUP(A75,'DATA MASTER'!A:O,2,0)," ")</f>
        <v>Truss Modullar</v>
      </c>
      <c r="D75" t="str">
        <f>IFERROR(VLOOKUP(A75,'DATA MASTER'!A:V,4,0)," ")</f>
        <v>RB60</v>
      </c>
      <c r="E75" s="10">
        <v>132663.95000000004</v>
      </c>
      <c r="F75" s="21">
        <v>45133</v>
      </c>
      <c r="G75" s="5">
        <v>45119</v>
      </c>
      <c r="H75" s="5">
        <v>45154</v>
      </c>
      <c r="I75" s="4">
        <f>SUMIF(DATA_MASTER[NO. PON],FABRIKASI[[#This Row],[No.PON]],DATA_MASTER[Qty
(Unit)])</f>
        <v>1</v>
      </c>
      <c r="J75" s="180">
        <f>FABRIKASI[[#This Row],[Qty]]*FABRIKASI[[#This Row],[Berat Fabrikasi]]</f>
        <v>132663.95000000004</v>
      </c>
      <c r="O75" s="154"/>
    </row>
    <row r="76" spans="1:15" hidden="1" x14ac:dyDescent="0.3">
      <c r="A76" t="s">
        <v>649</v>
      </c>
      <c r="B76" t="s">
        <v>30</v>
      </c>
      <c r="C76" t="str">
        <f>IFERROR(VLOOKUP(A76,'DATA MASTER'!A:O,2,0)," ")</f>
        <v>SPECER MRT</v>
      </c>
      <c r="D76" t="str">
        <f>IFERROR(VLOOKUP(A76,'DATA MASTER'!A:V,4,0)," ")</f>
        <v>SPECER MRT</v>
      </c>
      <c r="E76" s="10">
        <v>4829.88</v>
      </c>
      <c r="F76" s="21">
        <v>45119</v>
      </c>
      <c r="G76" s="5">
        <v>45117</v>
      </c>
      <c r="H76" s="5">
        <v>45133</v>
      </c>
      <c r="I76" s="4">
        <f>SUMIF(DATA_MASTER[NO. PON],FABRIKASI[[#This Row],[No.PON]],DATA_MASTER[Qty
(Unit)])</f>
        <v>1</v>
      </c>
      <c r="J76" s="180">
        <f>FABRIKASI[[#This Row],[Qty]]*FABRIKASI[[#This Row],[Berat Fabrikasi]]</f>
        <v>4829.88</v>
      </c>
      <c r="O76" s="154"/>
    </row>
    <row r="77" spans="1:15" hidden="1" x14ac:dyDescent="0.3">
      <c r="A77" t="s">
        <v>658</v>
      </c>
      <c r="B77" t="s">
        <v>30</v>
      </c>
      <c r="C77" t="str">
        <f>IFERROR(VLOOKUP(A77,'DATA MASTER'!A:O,2,0)," ")</f>
        <v>SUPPORT BEAM</v>
      </c>
      <c r="D77" t="str">
        <f>IFERROR(VLOOKUP(A77,'DATA MASTER'!A:V,4,0)," ")</f>
        <v>SB35</v>
      </c>
      <c r="E77" s="10">
        <v>20002.72</v>
      </c>
      <c r="F77" s="21">
        <v>45119</v>
      </c>
      <c r="G77" s="5">
        <v>45119</v>
      </c>
      <c r="H77" s="5">
        <v>45154</v>
      </c>
      <c r="I77" s="4">
        <f>SUMIF(DATA_MASTER[NO. PON],FABRIKASI[[#This Row],[No.PON]],DATA_MASTER[Qty
(Unit)])</f>
        <v>1</v>
      </c>
      <c r="J77" s="180">
        <f>FABRIKASI[[#This Row],[Qty]]*FABRIKASI[[#This Row],[Berat Fabrikasi]]</f>
        <v>20002.72</v>
      </c>
      <c r="O77" s="154"/>
    </row>
    <row r="78" spans="1:15" hidden="1" x14ac:dyDescent="0.3">
      <c r="A78" t="s">
        <v>685</v>
      </c>
      <c r="B78" t="s">
        <v>30</v>
      </c>
      <c r="C78" t="str">
        <f>IFERROR(VLOOKUP(A78,'DATA MASTER'!A:O,2,0)," ")</f>
        <v>Girder</v>
      </c>
      <c r="D78" t="str">
        <f>IFERROR(VLOOKUP(A78,'DATA MASTER'!A:V,4,0)," ")</f>
        <v>CG12</v>
      </c>
      <c r="E78" s="10">
        <v>9767.0399999999972</v>
      </c>
      <c r="F78" s="21">
        <v>45133</v>
      </c>
      <c r="G78" s="5" t="s">
        <v>675</v>
      </c>
      <c r="H78" s="5" t="s">
        <v>690</v>
      </c>
      <c r="I78" s="4">
        <f>SUMIF(DATA_MASTER[NO. PON],FABRIKASI[[#This Row],[No.PON]],DATA_MASTER[Qty
(Unit)])</f>
        <v>1</v>
      </c>
      <c r="J78" s="180">
        <f>FABRIKASI[[#This Row],[Qty]]*FABRIKASI[[#This Row],[Berat Fabrikasi]]</f>
        <v>9767.0399999999972</v>
      </c>
      <c r="O78" s="154"/>
    </row>
    <row r="79" spans="1:15" hidden="1" x14ac:dyDescent="0.3">
      <c r="A79" t="s">
        <v>1185</v>
      </c>
      <c r="B79" t="s">
        <v>30</v>
      </c>
      <c r="C79" t="str">
        <f>IFERROR(VLOOKUP(A79,'DATA MASTER'!A:O,2,0)," ")</f>
        <v>Jembatan Gantung</v>
      </c>
      <c r="D79" t="str">
        <f>IFERROR(VLOOKUP(A79,'DATA MASTER'!A:V,4,0)," ")</f>
        <v>JG360_TAHAP I</v>
      </c>
      <c r="E79" s="10">
        <v>191687.5800000001</v>
      </c>
      <c r="F79" s="21"/>
      <c r="G79" s="5"/>
      <c r="H79" s="5"/>
      <c r="I79" s="4">
        <f>SUMIF(DATA_MASTER[NO. PON],FABRIKASI[[#This Row],[No.PON]],DATA_MASTER[Qty
(Unit)])</f>
        <v>1</v>
      </c>
      <c r="J79" s="180">
        <f>FABRIKASI[[#This Row],[Qty]]*FABRIKASI[[#This Row],[Berat Fabrikasi]]</f>
        <v>191687.5800000001</v>
      </c>
      <c r="O79" s="154"/>
    </row>
    <row r="80" spans="1:15" hidden="1" x14ac:dyDescent="0.3">
      <c r="A80" t="s">
        <v>1185</v>
      </c>
      <c r="B80" t="s">
        <v>30</v>
      </c>
      <c r="C80" t="str">
        <f>IFERROR(VLOOKUP(A80,'DATA MASTER'!A:O,2,0)," ")</f>
        <v>Jembatan Gantung</v>
      </c>
      <c r="D80" t="str">
        <f>IFERROR(VLOOKUP(A80,'DATA MASTER'!A:V,4,0)," ")</f>
        <v>JG360_TAHAP I</v>
      </c>
      <c r="E80" s="10">
        <v>118324.16000000003</v>
      </c>
      <c r="F80" s="21"/>
      <c r="G80" s="5"/>
      <c r="H80" s="5"/>
      <c r="I80" s="4">
        <f>SUMIF(DATA_MASTER[NO. PON],FABRIKASI[[#This Row],[No.PON]],DATA_MASTER[Qty
(Unit)])</f>
        <v>1</v>
      </c>
      <c r="J80" s="180">
        <f>FABRIKASI[[#This Row],[Qty]]*FABRIKASI[[#This Row],[Berat Fabrikasi]]</f>
        <v>118324.16000000003</v>
      </c>
      <c r="O80" s="154"/>
    </row>
    <row r="81" spans="1:15" hidden="1" x14ac:dyDescent="0.3">
      <c r="A81" t="s">
        <v>935</v>
      </c>
      <c r="B81" t="s">
        <v>30</v>
      </c>
      <c r="C81" t="str">
        <f>IFERROR(VLOOKUP(A81,'DATA MASTER'!A:O,2,0)," ")</f>
        <v>Girder</v>
      </c>
      <c r="D81" t="str">
        <f>IFERROR(VLOOKUP(A81,'DATA MASTER'!A:V,4,0)," ")</f>
        <v>GB30</v>
      </c>
      <c r="E81" s="10">
        <v>39865.210000000006</v>
      </c>
      <c r="F81" s="21">
        <v>45156</v>
      </c>
      <c r="G81" s="5"/>
      <c r="H81" s="5"/>
      <c r="I81" s="4">
        <f>SUMIF(DATA_MASTER[NO. PON],FABRIKASI[[#This Row],[No.PON]],DATA_MASTER[Qty
(Unit)])</f>
        <v>1</v>
      </c>
      <c r="J81" s="180">
        <f>FABRIKASI[[#This Row],[Qty]]*FABRIKASI[[#This Row],[Berat Fabrikasi]]</f>
        <v>39865.210000000006</v>
      </c>
      <c r="O81" s="154"/>
    </row>
    <row r="82" spans="1:15" hidden="1" x14ac:dyDescent="0.3">
      <c r="A82" t="s">
        <v>944</v>
      </c>
      <c r="B82" t="s">
        <v>30</v>
      </c>
      <c r="C82" t="str">
        <f>IFERROR(VLOOKUP(A82,'DATA MASTER'!A:O,2,0)," ")</f>
        <v>Panel Bailey</v>
      </c>
      <c r="D82" t="str">
        <f>IFERROR(VLOOKUP(A82,'DATA MASTER'!A:V,4,0)," ")</f>
        <v>9 SSR-EW</v>
      </c>
      <c r="E82" s="10">
        <v>10112.120000000001</v>
      </c>
      <c r="F82" s="21"/>
      <c r="G82" s="5"/>
      <c r="H82" s="5"/>
      <c r="I82" s="4">
        <f>SUMIF(DATA_MASTER[NO. PON],FABRIKASI[[#This Row],[No.PON]],DATA_MASTER[Qty
(Unit)])</f>
        <v>2</v>
      </c>
      <c r="J82" s="180">
        <f>FABRIKASI[[#This Row],[Qty]]*FABRIKASI[[#This Row],[Berat Fabrikasi]]</f>
        <v>20224.240000000002</v>
      </c>
      <c r="O82" s="154"/>
    </row>
    <row r="83" spans="1:15" hidden="1" x14ac:dyDescent="0.3">
      <c r="A83" t="s">
        <v>758</v>
      </c>
      <c r="B83" t="s">
        <v>30</v>
      </c>
      <c r="C83" t="str">
        <f>IFERROR(VLOOKUP(A83,'DATA MASTER'!A:O,2,0)," ")</f>
        <v>Jembatan Gantung</v>
      </c>
      <c r="D83" t="str">
        <f>IFERROR(VLOOKUP(A83,'DATA MASTER'!A:V,4,0)," ")</f>
        <v>JG150</v>
      </c>
      <c r="E83" s="10">
        <v>24764.350000000017</v>
      </c>
      <c r="F83" s="21">
        <v>45145</v>
      </c>
      <c r="G83" s="5">
        <v>45024</v>
      </c>
      <c r="H83" s="5">
        <v>45086</v>
      </c>
      <c r="I83" s="4">
        <f>SUMIF(DATA_MASTER[NO. PON],FABRIKASI[[#This Row],[No.PON]],DATA_MASTER[Qty
(Unit)])</f>
        <v>1</v>
      </c>
      <c r="J83" s="180">
        <f>FABRIKASI[[#This Row],[Qty]]*FABRIKASI[[#This Row],[Berat Fabrikasi]]</f>
        <v>24764.350000000017</v>
      </c>
      <c r="O83" s="154"/>
    </row>
    <row r="84" spans="1:15" hidden="1" x14ac:dyDescent="0.3">
      <c r="A84" t="s">
        <v>894</v>
      </c>
      <c r="B84" t="s">
        <v>30</v>
      </c>
      <c r="C84" t="str">
        <f>IFERROR(VLOOKUP(A84,'DATA MASTER'!A:O,2,0)," ")</f>
        <v>Panel Bailey</v>
      </c>
      <c r="D84" t="str">
        <f>IFERROR(VLOOKUP(A84,'DATA MASTER'!A:V,4,0)," ")</f>
        <v>39 DSR2H**-EW</v>
      </c>
      <c r="E84" s="10">
        <v>60185.50328185979</v>
      </c>
      <c r="F84" s="21"/>
      <c r="G84" s="5"/>
      <c r="H84" s="5"/>
      <c r="I84" s="4">
        <f>SUMIF(DATA_MASTER[NO. PON],FABRIKASI[[#This Row],[No.PON]],DATA_MASTER[Qty
(Unit)])</f>
        <v>1</v>
      </c>
      <c r="J84" s="180">
        <f>FABRIKASI[[#This Row],[Qty]]*FABRIKASI[[#This Row],[Berat Fabrikasi]]</f>
        <v>60185.50328185979</v>
      </c>
      <c r="O84" s="154"/>
    </row>
    <row r="85" spans="1:15" hidden="1" x14ac:dyDescent="0.3">
      <c r="A85" t="s">
        <v>1173</v>
      </c>
      <c r="B85" t="s">
        <v>30</v>
      </c>
      <c r="C85" t="str">
        <f>IFERROR(VLOOKUP(A85,'DATA MASTER'!A:O,2,0)," ")</f>
        <v>Panel Bailey</v>
      </c>
      <c r="D85" t="str">
        <f>IFERROR(VLOOKUP(A85,'DATA MASTER'!A:V,4,0)," ")</f>
        <v>6 SSR-SW</v>
      </c>
      <c r="E85" s="10">
        <v>7184.09</v>
      </c>
      <c r="F85" s="21"/>
      <c r="G85" s="5"/>
      <c r="H85" s="5"/>
      <c r="I85" s="4">
        <f>SUMIF(DATA_MASTER[NO. PON],FABRIKASI[[#This Row],[No.PON]],DATA_MASTER[Qty
(Unit)])</f>
        <v>3</v>
      </c>
      <c r="J85" s="180">
        <f>FABRIKASI[[#This Row],[Qty]]*FABRIKASI[[#This Row],[Berat Fabrikasi]]</f>
        <v>21552.27</v>
      </c>
      <c r="O85" s="154"/>
    </row>
    <row r="86" spans="1:15" hidden="1" x14ac:dyDescent="0.3">
      <c r="A86" t="s">
        <v>953</v>
      </c>
      <c r="B86" t="s">
        <v>30</v>
      </c>
      <c r="C86" t="str">
        <f>IFERROR(VLOOKUP(A86,'DATA MASTER'!A:O,2,0)," ")</f>
        <v>PLATE LRB</v>
      </c>
      <c r="D86" t="str">
        <f>IFERROR(VLOOKUP(A86,'DATA MASTER'!A:V,4,0)," ")</f>
        <v>LRB</v>
      </c>
      <c r="E86" s="10">
        <v>2307.1734200000001</v>
      </c>
      <c r="F86" s="21"/>
      <c r="G86" s="5"/>
      <c r="H86" s="5"/>
      <c r="I86" s="4">
        <f>SUMIF(DATA_MASTER[NO. PON],FABRIKASI[[#This Row],[No.PON]],DATA_MASTER[Qty
(Unit)])</f>
        <v>1</v>
      </c>
      <c r="J86" s="180">
        <f>FABRIKASI[[#This Row],[Qty]]*FABRIKASI[[#This Row],[Berat Fabrikasi]]</f>
        <v>2307.1734200000001</v>
      </c>
      <c r="O86" s="154"/>
    </row>
    <row r="87" spans="1:15" hidden="1" x14ac:dyDescent="0.3">
      <c r="A87" t="s">
        <v>739</v>
      </c>
      <c r="B87" t="s">
        <v>30</v>
      </c>
      <c r="C87" t="str">
        <f>IFERROR(VLOOKUP(A87,'DATA MASTER'!A:O,2,0)," ")</f>
        <v>Truss Modullar</v>
      </c>
      <c r="D87" t="str">
        <f>IFERROR(VLOOKUP(A87,'DATA MASTER'!A:V,4,0)," ")</f>
        <v>RB40</v>
      </c>
      <c r="E87" s="10">
        <v>67681.34</v>
      </c>
      <c r="F87" s="21"/>
      <c r="G87" s="5">
        <v>44934</v>
      </c>
      <c r="H87" s="5" t="s">
        <v>743</v>
      </c>
      <c r="I87" s="4">
        <f>SUMIF(DATA_MASTER[NO. PON],FABRIKASI[[#This Row],[No.PON]],DATA_MASTER[Qty
(Unit)])</f>
        <v>1</v>
      </c>
      <c r="J87" s="180">
        <f>FABRIKASI[[#This Row],[Qty]]*FABRIKASI[[#This Row],[Berat Fabrikasi]]</f>
        <v>67681.34</v>
      </c>
      <c r="O87" s="154"/>
    </row>
    <row r="88" spans="1:15" hidden="1" x14ac:dyDescent="0.3">
      <c r="A88" t="s">
        <v>750</v>
      </c>
      <c r="B88" t="s">
        <v>30</v>
      </c>
      <c r="C88" t="str">
        <f>IFERROR(VLOOKUP(A88,'DATA MASTER'!A:O,2,0)," ")</f>
        <v>Panel Bailey</v>
      </c>
      <c r="D88" t="str">
        <f>IFERROR(VLOOKUP(A88,'DATA MASTER'!A:V,4,0)," ")</f>
        <v>30 DSR2-EW</v>
      </c>
      <c r="E88" s="10">
        <v>43261.99</v>
      </c>
      <c r="F88" s="21"/>
      <c r="G88" s="5"/>
      <c r="H88" s="5"/>
      <c r="I88" s="4">
        <f>SUMIF(DATA_MASTER[NO. PON],FABRIKASI[[#This Row],[No.PON]],DATA_MASTER[Qty
(Unit)])</f>
        <v>1</v>
      </c>
      <c r="J88" s="180">
        <f>FABRIKASI[[#This Row],[Qty]]*FABRIKASI[[#This Row],[Berat Fabrikasi]]</f>
        <v>43261.99</v>
      </c>
      <c r="O88" s="154"/>
    </row>
    <row r="89" spans="1:15" hidden="1" x14ac:dyDescent="0.3">
      <c r="A89" t="s">
        <v>787</v>
      </c>
      <c r="B89" t="s">
        <v>30</v>
      </c>
      <c r="C89" t="str">
        <f>IFERROR(VLOOKUP(A89,'DATA MASTER'!A:O,2,0)," ")</f>
        <v>Girder</v>
      </c>
      <c r="D89" t="str">
        <f>IFERROR(VLOOKUP(A89,'DATA MASTER'!A:V,4,0)," ")</f>
        <v>AG40</v>
      </c>
      <c r="E89" s="10">
        <v>117156.90000000001</v>
      </c>
      <c r="F89" s="21">
        <v>45148</v>
      </c>
      <c r="G89" s="5"/>
      <c r="H89" s="5"/>
      <c r="I89" s="4">
        <f>SUMIF(DATA_MASTER[NO. PON],FABRIKASI[[#This Row],[No.PON]],DATA_MASTER[Qty
(Unit)])</f>
        <v>1</v>
      </c>
      <c r="J89" s="180">
        <f>FABRIKASI[[#This Row],[Qty]]*FABRIKASI[[#This Row],[Berat Fabrikasi]]</f>
        <v>117156.90000000001</v>
      </c>
      <c r="O89" s="154"/>
    </row>
    <row r="90" spans="1:15" hidden="1" x14ac:dyDescent="0.3">
      <c r="A90" t="s">
        <v>792</v>
      </c>
      <c r="B90" t="s">
        <v>30</v>
      </c>
      <c r="C90" t="str">
        <f>IFERROR(VLOOKUP(A90,'DATA MASTER'!A:O,2,0)," ")</f>
        <v>JPO</v>
      </c>
      <c r="D90" t="str">
        <f>IFERROR(VLOOKUP(A90,'DATA MASTER'!A:V,4,0)," ")</f>
        <v>JPO-48</v>
      </c>
      <c r="E90" s="10">
        <v>23400.140000000003</v>
      </c>
      <c r="F90" s="21">
        <v>45149</v>
      </c>
      <c r="G90" s="5"/>
      <c r="H90" s="5"/>
      <c r="I90" s="4">
        <f>SUMIF(DATA_MASTER[NO. PON],FABRIKASI[[#This Row],[No.PON]],DATA_MASTER[Qty
(Unit)])</f>
        <v>1</v>
      </c>
      <c r="J90" s="180">
        <f>FABRIKASI[[#This Row],[Qty]]*FABRIKASI[[#This Row],[Berat Fabrikasi]]</f>
        <v>23400.140000000003</v>
      </c>
      <c r="O90" s="154"/>
    </row>
    <row r="91" spans="1:15" hidden="1" x14ac:dyDescent="0.3">
      <c r="A91" t="s">
        <v>852</v>
      </c>
      <c r="B91" t="s">
        <v>30</v>
      </c>
      <c r="C91" t="str">
        <f>IFERROR(VLOOKUP(A91,'DATA MASTER'!A:O,2,0)," ")</f>
        <v>Panel Bailey</v>
      </c>
      <c r="D91" t="str">
        <f>IFERROR(VLOOKUP(A91,'DATA MASTER'!A:V,4,0)," ")</f>
        <v>12 SSR-EW</v>
      </c>
      <c r="E91" s="10">
        <v>11373.300000000003</v>
      </c>
      <c r="F91" s="21"/>
      <c r="G91" s="5"/>
      <c r="H91" s="5"/>
      <c r="I91" s="4">
        <f>SUMIF(DATA_MASTER[NO. PON],FABRIKASI[[#This Row],[No.PON]],DATA_MASTER[Qty
(Unit)])</f>
        <v>3</v>
      </c>
      <c r="J91" s="180">
        <f>FABRIKASI[[#This Row],[Qty]]*FABRIKASI[[#This Row],[Berat Fabrikasi]]</f>
        <v>34119.900000000009</v>
      </c>
      <c r="O91" s="154"/>
    </row>
    <row r="92" spans="1:15" hidden="1" x14ac:dyDescent="0.3">
      <c r="A92" t="s">
        <v>798</v>
      </c>
      <c r="B92" t="s">
        <v>30</v>
      </c>
      <c r="C92" t="str">
        <f>IFERROR(VLOOKUP(A92,'DATA MASTER'!A:O,2,0)," ")</f>
        <v>STRUKTUR PERKUATAN</v>
      </c>
      <c r="D92" t="str">
        <f>IFERROR(VLOOKUP(A92,'DATA MASTER'!A:V,4,0)," ")</f>
        <v>PERKUATAN</v>
      </c>
      <c r="E92" s="10">
        <v>6609.1200000000008</v>
      </c>
      <c r="F92" s="21"/>
      <c r="G92" s="5"/>
      <c r="H92" s="5"/>
      <c r="I92" s="4">
        <f>SUMIF(DATA_MASTER[NO. PON],FABRIKASI[[#This Row],[No.PON]],DATA_MASTER[Qty
(Unit)])</f>
        <v>1</v>
      </c>
      <c r="J92" s="180">
        <f>FABRIKASI[[#This Row],[Qty]]*FABRIKASI[[#This Row],[Berat Fabrikasi]]</f>
        <v>6609.1200000000008</v>
      </c>
      <c r="O92" s="154"/>
    </row>
    <row r="93" spans="1:15" hidden="1" x14ac:dyDescent="0.3">
      <c r="A93" t="s">
        <v>1000</v>
      </c>
      <c r="B93" t="s">
        <v>30</v>
      </c>
      <c r="C93" t="str">
        <f>IFERROR(VLOOKUP(A93,'DATA MASTER'!A:O,2,0)," ")</f>
        <v>Jembatan Gantung</v>
      </c>
      <c r="D93" t="str">
        <f>IFERROR(VLOOKUP(A93,'DATA MASTER'!A:V,4,0)," ")</f>
        <v>JG40_ASIMETRIS</v>
      </c>
      <c r="E93" s="10">
        <v>14827.349999999997</v>
      </c>
      <c r="F93" s="21"/>
      <c r="G93" s="5"/>
      <c r="H93" s="5"/>
      <c r="I93" s="4">
        <f>SUMIF(DATA_MASTER[NO. PON],FABRIKASI[[#This Row],[No.PON]],DATA_MASTER[Qty
(Unit)])</f>
        <v>1</v>
      </c>
      <c r="J93" s="180">
        <f>FABRIKASI[[#This Row],[Qty]]*FABRIKASI[[#This Row],[Berat Fabrikasi]]</f>
        <v>14827.349999999997</v>
      </c>
      <c r="O93" s="154"/>
    </row>
    <row r="94" spans="1:15" hidden="1" x14ac:dyDescent="0.3">
      <c r="A94" t="s">
        <v>960</v>
      </c>
      <c r="B94" t="s">
        <v>30</v>
      </c>
      <c r="C94" t="str">
        <f>IFERROR(VLOOKUP(A94,'DATA MASTER'!A:O,2,0)," ")</f>
        <v>Girder</v>
      </c>
      <c r="D94" t="str">
        <f>IFERROR(VLOOKUP(A94,'DATA MASTER'!A:V,4,0)," ")</f>
        <v>CG12</v>
      </c>
      <c r="E94" s="10">
        <v>7753.3899999999985</v>
      </c>
      <c r="F94" s="21">
        <v>45164</v>
      </c>
      <c r="G94" s="5"/>
      <c r="H94" s="5"/>
      <c r="I94" s="4">
        <f>SUMIF(DATA_MASTER[NO. PON],FABRIKASI[[#This Row],[No.PON]],DATA_MASTER[Qty
(Unit)])</f>
        <v>1</v>
      </c>
      <c r="J94" s="180">
        <f>FABRIKASI[[#This Row],[Qty]]*FABRIKASI[[#This Row],[Berat Fabrikasi]]</f>
        <v>7753.3899999999985</v>
      </c>
      <c r="O94" s="154"/>
    </row>
    <row r="95" spans="1:15" hidden="1" x14ac:dyDescent="0.3">
      <c r="A95" t="s">
        <v>905</v>
      </c>
      <c r="B95" t="s">
        <v>30</v>
      </c>
      <c r="C95" t="str">
        <f>IFERROR(VLOOKUP(A95,'DATA MASTER'!A:O,2,0)," ")</f>
        <v>Panel Bailey</v>
      </c>
      <c r="D95" t="str">
        <f>IFERROR(VLOOKUP(A95,'DATA MASTER'!A:V,4,0)," ")</f>
        <v>Ex. England</v>
      </c>
      <c r="E95" s="10">
        <v>44.744</v>
      </c>
      <c r="F95" s="21">
        <v>45154</v>
      </c>
      <c r="G95" s="5"/>
      <c r="H95" s="5"/>
      <c r="I95" s="4">
        <f>SUMIF(DATA_MASTER[NO. PON],FABRIKASI[[#This Row],[No.PON]],DATA_MASTER[Qty
(Unit)])</f>
        <v>1</v>
      </c>
      <c r="J95" s="180">
        <f>FABRIKASI[[#This Row],[Qty]]*FABRIKASI[[#This Row],[Berat Fabrikasi]]</f>
        <v>44.744</v>
      </c>
      <c r="O95" s="154"/>
    </row>
    <row r="96" spans="1:15" hidden="1" x14ac:dyDescent="0.3">
      <c r="A96" t="s">
        <v>948</v>
      </c>
      <c r="B96" t="s">
        <v>30</v>
      </c>
      <c r="C96" t="str">
        <f>IFERROR(VLOOKUP(A96,'DATA MASTER'!A:O,2,0)," ")</f>
        <v>Truss Modullar</v>
      </c>
      <c r="D96" t="str">
        <f>IFERROR(VLOOKUP(A96,'DATA MASTER'!A:V,4,0)," ")</f>
        <v>RB30</v>
      </c>
      <c r="E96" s="10">
        <v>48505.580000000053</v>
      </c>
      <c r="F96" s="21"/>
      <c r="G96" s="5"/>
      <c r="H96" s="5"/>
      <c r="I96" s="4">
        <f>SUMIF(DATA_MASTER[NO. PON],FABRIKASI[[#This Row],[No.PON]],DATA_MASTER[Qty
(Unit)])</f>
        <v>1</v>
      </c>
      <c r="J96" s="180">
        <f>FABRIKASI[[#This Row],[Qty]]*FABRIKASI[[#This Row],[Berat Fabrikasi]]</f>
        <v>48505.580000000053</v>
      </c>
      <c r="O96" s="154"/>
    </row>
    <row r="97" spans="1:15" hidden="1" x14ac:dyDescent="0.3">
      <c r="A97" t="s">
        <v>1081</v>
      </c>
      <c r="B97" t="s">
        <v>30</v>
      </c>
      <c r="C97" t="str">
        <f>IFERROR(VLOOKUP(A97,'DATA MASTER'!A:O,2,0)," ")</f>
        <v>Jembatan Gantung</v>
      </c>
      <c r="D97" t="str">
        <f>IFERROR(VLOOKUP(A97,'DATA MASTER'!A:V,4,0)," ")</f>
        <v>JG100P</v>
      </c>
      <c r="E97" s="10">
        <v>32191.3</v>
      </c>
      <c r="F97" s="21"/>
      <c r="G97" s="5"/>
      <c r="H97" s="5"/>
      <c r="I97" s="4">
        <f>SUMIF(DATA_MASTER[NO. PON],FABRIKASI[[#This Row],[No.PON]],DATA_MASTER[Qty
(Unit)])</f>
        <v>1</v>
      </c>
      <c r="J97" s="180">
        <f>FABRIKASI[[#This Row],[Qty]]*FABRIKASI[[#This Row],[Berat Fabrikasi]]</f>
        <v>32191.3</v>
      </c>
      <c r="O97" s="154"/>
    </row>
    <row r="98" spans="1:15" hidden="1" x14ac:dyDescent="0.3">
      <c r="A98" t="s">
        <v>1179</v>
      </c>
      <c r="B98" t="s">
        <v>30</v>
      </c>
      <c r="C98" t="str">
        <f>IFERROR(VLOOKUP(A98,'DATA MASTER'!A:O,2,0)," ")</f>
        <v>Jembatan Pendekat</v>
      </c>
      <c r="D98" t="str">
        <f>IFERROR(VLOOKUP(A98,'DATA MASTER'!A:V,4,0)," ")</f>
        <v>SPAN 11.87 M</v>
      </c>
      <c r="E98" s="10">
        <v>2624.1200000000003</v>
      </c>
      <c r="F98" s="21"/>
      <c r="G98" s="5"/>
      <c r="H98" s="5"/>
      <c r="I98" s="4">
        <f>SUMIF(DATA_MASTER[NO. PON],FABRIKASI[[#This Row],[No.PON]],DATA_MASTER[Qty
(Unit)])</f>
        <v>2</v>
      </c>
      <c r="J98" s="180">
        <f>FABRIKASI[[#This Row],[Qty]]*FABRIKASI[[#This Row],[Berat Fabrikasi]]</f>
        <v>5248.2400000000007</v>
      </c>
      <c r="O98" s="154"/>
    </row>
    <row r="99" spans="1:15" hidden="1" x14ac:dyDescent="0.3">
      <c r="A99" t="s">
        <v>1180</v>
      </c>
      <c r="B99" t="s">
        <v>30</v>
      </c>
      <c r="C99" t="str">
        <f>IFERROR(VLOOKUP(A99,'DATA MASTER'!A:O,2,0)," ")</f>
        <v>Jembatan Pendekat</v>
      </c>
      <c r="D99" t="str">
        <f>IFERROR(VLOOKUP(A99,'DATA MASTER'!A:V,4,0)," ")</f>
        <v>SPAN 14.20 M</v>
      </c>
      <c r="E99" s="10">
        <v>5095.579999999999</v>
      </c>
      <c r="F99" s="21"/>
      <c r="G99" s="5"/>
      <c r="H99" s="5"/>
      <c r="I99" s="4">
        <f>SUMIF(DATA_MASTER[NO. PON],FABRIKASI[[#This Row],[No.PON]],DATA_MASTER[Qty
(Unit)])</f>
        <v>1</v>
      </c>
      <c r="J99" s="180">
        <f>FABRIKASI[[#This Row],[Qty]]*FABRIKASI[[#This Row],[Berat Fabrikasi]]</f>
        <v>5095.579999999999</v>
      </c>
      <c r="O99" s="154"/>
    </row>
    <row r="100" spans="1:15" hidden="1" x14ac:dyDescent="0.3">
      <c r="A100" t="s">
        <v>1181</v>
      </c>
      <c r="B100" t="s">
        <v>30</v>
      </c>
      <c r="C100" t="str">
        <f>IFERROR(VLOOKUP(A100,'DATA MASTER'!A:O,2,0)," ")</f>
        <v>Jembatan Pendekat</v>
      </c>
      <c r="D100" t="str">
        <f>IFERROR(VLOOKUP(A100,'DATA MASTER'!A:V,4,0)," ")</f>
        <v>SPAN 22.82 M</v>
      </c>
      <c r="E100" s="10">
        <v>15295.279999999999</v>
      </c>
      <c r="F100" s="21"/>
      <c r="G100" s="5"/>
      <c r="H100" s="5"/>
      <c r="I100" s="4">
        <f>SUMIF(DATA_MASTER[NO. PON],FABRIKASI[[#This Row],[No.PON]],DATA_MASTER[Qty
(Unit)])</f>
        <v>1</v>
      </c>
      <c r="J100" s="180">
        <f>FABRIKASI[[#This Row],[Qty]]*FABRIKASI[[#This Row],[Berat Fabrikasi]]</f>
        <v>15295.279999999999</v>
      </c>
      <c r="O100" s="154"/>
    </row>
    <row r="101" spans="1:15" hidden="1" x14ac:dyDescent="0.3">
      <c r="A101" t="s">
        <v>979</v>
      </c>
      <c r="B101" t="s">
        <v>30</v>
      </c>
      <c r="C101" t="str">
        <f>IFERROR(VLOOKUP(A101,'DATA MASTER'!A:O,2,0)," ")</f>
        <v>TOWER</v>
      </c>
      <c r="D101" t="str">
        <f>IFERROR(VLOOKUP(A101,'DATA MASTER'!A:V,4,0)," ")</f>
        <v>TWR-H36</v>
      </c>
      <c r="E101" s="10">
        <v>11581.710000000001</v>
      </c>
      <c r="F101" s="21">
        <v>45169</v>
      </c>
      <c r="G101" s="5"/>
      <c r="H101" s="5"/>
      <c r="I101" s="4">
        <f>SUMIF(DATA_MASTER[NO. PON],FABRIKASI[[#This Row],[No.PON]],DATA_MASTER[Qty
(Unit)])</f>
        <v>1</v>
      </c>
      <c r="J101" s="180">
        <f>FABRIKASI[[#This Row],[Qty]]*FABRIKASI[[#This Row],[Berat Fabrikasi]]</f>
        <v>11581.710000000001</v>
      </c>
      <c r="O101" s="154"/>
    </row>
    <row r="102" spans="1:15" hidden="1" x14ac:dyDescent="0.3">
      <c r="A102" t="s">
        <v>967</v>
      </c>
      <c r="B102" t="s">
        <v>30</v>
      </c>
      <c r="C102" t="str">
        <f>IFERROR(VLOOKUP(A102,'DATA MASTER'!A:O,2,0)," ")</f>
        <v>Panel Bailey</v>
      </c>
      <c r="D102" t="str">
        <f>IFERROR(VLOOKUP(A102,'DATA MASTER'!A:V,4,0)," ")</f>
        <v>24 DSR2-EW</v>
      </c>
      <c r="E102" s="10">
        <v>35413.93</v>
      </c>
      <c r="F102" s="21"/>
      <c r="G102" s="5">
        <v>45166</v>
      </c>
      <c r="H102" s="5">
        <v>45193</v>
      </c>
      <c r="I102" s="4">
        <f>SUMIF(DATA_MASTER[NO. PON],FABRIKASI[[#This Row],[No.PON]],DATA_MASTER[Qty
(Unit)])</f>
        <v>1</v>
      </c>
      <c r="J102" s="180">
        <f>FABRIKASI[[#This Row],[Qty]]*FABRIKASI[[#This Row],[Berat Fabrikasi]]</f>
        <v>35413.93</v>
      </c>
      <c r="O102" s="154"/>
    </row>
    <row r="103" spans="1:15" hidden="1" x14ac:dyDescent="0.3">
      <c r="A103" t="s">
        <v>991</v>
      </c>
      <c r="B103" t="s">
        <v>30</v>
      </c>
      <c r="C103" t="str">
        <f>IFERROR(VLOOKUP(A103,'DATA MASTER'!A:O,2,0)," ")</f>
        <v>Girder</v>
      </c>
      <c r="D103" t="str">
        <f>IFERROR(VLOOKUP(A103,'DATA MASTER'!A:V,4,0)," ")</f>
        <v>CG12</v>
      </c>
      <c r="E103" s="10">
        <v>8364.4999999999982</v>
      </c>
      <c r="F103" s="21"/>
      <c r="G103" s="5"/>
      <c r="H103" s="5"/>
      <c r="I103" s="4">
        <f>SUMIF(DATA_MASTER[NO. PON],FABRIKASI[[#This Row],[No.PON]],DATA_MASTER[Qty
(Unit)])</f>
        <v>1</v>
      </c>
      <c r="J103" s="180">
        <f>FABRIKASI[[#This Row],[Qty]]*FABRIKASI[[#This Row],[Berat Fabrikasi]]</f>
        <v>8364.4999999999982</v>
      </c>
      <c r="O103" s="154"/>
    </row>
    <row r="104" spans="1:15" hidden="1" x14ac:dyDescent="0.3">
      <c r="A104" t="s">
        <v>1005</v>
      </c>
      <c r="B104" t="s">
        <v>30</v>
      </c>
      <c r="C104" t="str">
        <f>IFERROR(VLOOKUP(A104,'DATA MASTER'!A:O,2,0)," ")</f>
        <v>Truss Modullar</v>
      </c>
      <c r="D104" t="str">
        <f>IFERROR(VLOOKUP(A104,'DATA MASTER'!A:V,4,0)," ")</f>
        <v>RB50</v>
      </c>
      <c r="E104" s="10">
        <v>97069.910000000062</v>
      </c>
      <c r="F104" s="21"/>
      <c r="G104" s="5"/>
      <c r="H104" s="5"/>
      <c r="I104" s="4">
        <f>SUMIF(DATA_MASTER[NO. PON],FABRIKASI[[#This Row],[No.PON]],DATA_MASTER[Qty
(Unit)])</f>
        <v>1</v>
      </c>
      <c r="J104" s="180">
        <f>FABRIKASI[[#This Row],[Qty]]*FABRIKASI[[#This Row],[Berat Fabrikasi]]</f>
        <v>97069.910000000062</v>
      </c>
      <c r="O104" s="154"/>
    </row>
    <row r="105" spans="1:15" hidden="1" x14ac:dyDescent="0.3">
      <c r="A105" t="s">
        <v>1009</v>
      </c>
      <c r="B105" t="s">
        <v>30</v>
      </c>
      <c r="C105" t="str">
        <f>IFERROR(VLOOKUP(A105,'DATA MASTER'!A:O,2,0)," ")</f>
        <v>Panel Bailey</v>
      </c>
      <c r="D105" t="str">
        <f>IFERROR(VLOOKUP(A105,'DATA MASTER'!A:V,4,0)," ")</f>
        <v>36 DSR2-EW</v>
      </c>
      <c r="E105" s="10">
        <v>52580.930000000008</v>
      </c>
      <c r="F105" s="21"/>
      <c r="G105" s="5"/>
      <c r="H105" s="5"/>
      <c r="I105" s="4">
        <f>SUMIF(DATA_MASTER[NO. PON],FABRIKASI[[#This Row],[No.PON]],DATA_MASTER[Qty
(Unit)])</f>
        <v>1</v>
      </c>
      <c r="J105" s="180">
        <f>FABRIKASI[[#This Row],[Qty]]*FABRIKASI[[#This Row],[Berat Fabrikasi]]</f>
        <v>52580.930000000008</v>
      </c>
      <c r="O105" s="154"/>
    </row>
    <row r="106" spans="1:15" hidden="1" x14ac:dyDescent="0.3">
      <c r="A106" t="s">
        <v>1117</v>
      </c>
      <c r="B106" t="s">
        <v>30</v>
      </c>
      <c r="C106" t="str">
        <f>IFERROR(VLOOKUP(A106,'DATA MASTER'!A:O,2,0)," ")</f>
        <v>RAMP Panel Bailey</v>
      </c>
      <c r="D106" t="str">
        <f>IFERROR(VLOOKUP(A106,'DATA MASTER'!A:V,4,0)," ")</f>
        <v>RAMP PANEL BAILEY</v>
      </c>
      <c r="E106" s="10">
        <v>1897.9599999999998</v>
      </c>
      <c r="F106" s="21"/>
      <c r="G106" s="5"/>
      <c r="H106" s="5"/>
      <c r="I106" s="4">
        <f>SUMIF(DATA_MASTER[NO. PON],FABRIKASI[[#This Row],[No.PON]],DATA_MASTER[Qty
(Unit)])</f>
        <v>2</v>
      </c>
      <c r="J106" s="180">
        <f>FABRIKASI[[#This Row],[Qty]]*FABRIKASI[[#This Row],[Berat Fabrikasi]]</f>
        <v>3795.9199999999996</v>
      </c>
      <c r="O106" s="154"/>
    </row>
    <row r="107" spans="1:15" hidden="1" x14ac:dyDescent="0.3">
      <c r="A107" t="s">
        <v>1144</v>
      </c>
      <c r="B107" t="s">
        <v>30</v>
      </c>
      <c r="C107" t="str">
        <f>IFERROR(VLOOKUP(A107,'DATA MASTER'!A:O,2,0)," ")</f>
        <v>Girder</v>
      </c>
      <c r="D107" t="str">
        <f>IFERROR(VLOOKUP(A107,'DATA MASTER'!A:V,4,0)," ")</f>
        <v>AG18.8</v>
      </c>
      <c r="E107" s="10">
        <v>39866.559999999983</v>
      </c>
      <c r="F107" s="21"/>
      <c r="G107" s="5"/>
      <c r="H107" s="5"/>
      <c r="I107" s="4">
        <f>SUMIF(DATA_MASTER[NO. PON],FABRIKASI[[#This Row],[No.PON]],DATA_MASTER[Qty
(Unit)])</f>
        <v>1</v>
      </c>
      <c r="J107" s="180">
        <f>FABRIKASI[[#This Row],[Qty]]*FABRIKASI[[#This Row],[Berat Fabrikasi]]</f>
        <v>39866.559999999983</v>
      </c>
      <c r="O107" s="154"/>
    </row>
    <row r="108" spans="1:15" hidden="1" x14ac:dyDescent="0.3">
      <c r="A108" t="s">
        <v>1157</v>
      </c>
      <c r="B108" t="s">
        <v>30</v>
      </c>
      <c r="C108" t="str">
        <f>IFERROR(VLOOKUP(A108,'DATA MASTER'!A:O,2,0)," ")</f>
        <v>STRUKTUR ATAP</v>
      </c>
      <c r="D108" t="str">
        <f>IFERROR(VLOOKUP(A108,'DATA MASTER'!A:V,4,0)," ")</f>
        <v>ATAP ASRAMA HAJI</v>
      </c>
      <c r="E108" s="10">
        <v>14880.764999999999</v>
      </c>
      <c r="F108" s="21"/>
      <c r="G108" s="5"/>
      <c r="H108" s="5"/>
      <c r="I108" s="4">
        <f>SUMIF(DATA_MASTER[NO. PON],FABRIKASI[[#This Row],[No.PON]],DATA_MASTER[Qty
(Unit)])</f>
        <v>1</v>
      </c>
      <c r="J108" s="180">
        <f>FABRIKASI[[#This Row],[Qty]]*FABRIKASI[[#This Row],[Berat Fabrikasi]]</f>
        <v>14880.764999999999</v>
      </c>
      <c r="O108" s="154"/>
    </row>
    <row r="109" spans="1:15" hidden="1" x14ac:dyDescent="0.3">
      <c r="A109" t="s">
        <v>1158</v>
      </c>
      <c r="B109" t="s">
        <v>30</v>
      </c>
      <c r="C109" t="str">
        <f>IFERROR(VLOOKUP(A109,'DATA MASTER'!A:O,2,0)," ")</f>
        <v>Panel Bailey</v>
      </c>
      <c r="D109" t="str">
        <f>IFERROR(VLOOKUP(A109,'DATA MASTER'!A:V,4,0)," ")</f>
        <v>18 SSR - EW (LANTAI KAYU)</v>
      </c>
      <c r="E109" s="10">
        <v>10104.65</v>
      </c>
      <c r="F109" s="21"/>
      <c r="G109" s="5"/>
      <c r="H109" s="5"/>
      <c r="I109" s="4">
        <f>SUMIF(DATA_MASTER[NO. PON],FABRIKASI[[#This Row],[No.PON]],DATA_MASTER[Qty
(Unit)])</f>
        <v>1</v>
      </c>
      <c r="J109" s="180">
        <f>FABRIKASI[[#This Row],[Qty]]*FABRIKASI[[#This Row],[Berat Fabrikasi]]</f>
        <v>10104.65</v>
      </c>
      <c r="O109" s="154"/>
    </row>
    <row r="110" spans="1:15" hidden="1" x14ac:dyDescent="0.3">
      <c r="A110" t="s">
        <v>1158</v>
      </c>
      <c r="B110" t="s">
        <v>30</v>
      </c>
      <c r="C110" t="str">
        <f>IFERROR(VLOOKUP(A110,'DATA MASTER'!A:O,2,0)," ")</f>
        <v>Panel Bailey</v>
      </c>
      <c r="D110" t="str">
        <f>IFERROR(VLOOKUP(A110,'DATA MASTER'!A:V,4,0)," ")</f>
        <v>18 SSR - EW (LANTAI KAYU)</v>
      </c>
      <c r="E110" s="10">
        <v>4427.2800000000007</v>
      </c>
      <c r="F110" s="21"/>
      <c r="G110" s="5"/>
      <c r="H110" s="5"/>
      <c r="I110" s="4">
        <f>SUMIF(DATA_MASTER[NO. PON],FABRIKASI[[#This Row],[No.PON]],DATA_MASTER[Qty
(Unit)])</f>
        <v>1</v>
      </c>
      <c r="J110" s="180">
        <f>FABRIKASI[[#This Row],[Qty]]*FABRIKASI[[#This Row],[Berat Fabrikasi]]</f>
        <v>4427.2800000000007</v>
      </c>
      <c r="O110" s="154"/>
    </row>
    <row r="111" spans="1:15" hidden="1" x14ac:dyDescent="0.3">
      <c r="A111" t="s">
        <v>1159</v>
      </c>
      <c r="B111" t="s">
        <v>30</v>
      </c>
      <c r="C111" t="str">
        <f>IFERROR(VLOOKUP(A111,'DATA MASTER'!A:O,2,0)," ")</f>
        <v>Panel Bailey</v>
      </c>
      <c r="D111" t="str">
        <f>IFERROR(VLOOKUP(A111,'DATA MASTER'!A:V,4,0)," ")</f>
        <v>24 SSR - EW (LANTAI KAYU)</v>
      </c>
      <c r="E111" s="10">
        <v>13124.31</v>
      </c>
      <c r="F111" s="21"/>
      <c r="G111" s="5"/>
      <c r="H111" s="5"/>
      <c r="I111" s="4">
        <f>SUMIF(DATA_MASTER[NO. PON],FABRIKASI[[#This Row],[No.PON]],DATA_MASTER[Qty
(Unit)])</f>
        <v>1</v>
      </c>
      <c r="J111" s="180">
        <f>FABRIKASI[[#This Row],[Qty]]*FABRIKASI[[#This Row],[Berat Fabrikasi]]</f>
        <v>13124.31</v>
      </c>
      <c r="O111" s="154"/>
    </row>
    <row r="112" spans="1:15" hidden="1" x14ac:dyDescent="0.3">
      <c r="A112" t="s">
        <v>1159</v>
      </c>
      <c r="B112" t="s">
        <v>30</v>
      </c>
      <c r="C112" t="str">
        <f>IFERROR(VLOOKUP(A112,'DATA MASTER'!A:O,2,0)," ")</f>
        <v>Panel Bailey</v>
      </c>
      <c r="D112" t="str">
        <f>IFERROR(VLOOKUP(A112,'DATA MASTER'!A:V,4,0)," ")</f>
        <v>24 SSR - EW (LANTAI KAYU)</v>
      </c>
      <c r="E112" s="10">
        <v>5827.8799999999983</v>
      </c>
      <c r="F112" s="21"/>
      <c r="G112" s="5"/>
      <c r="H112" s="5"/>
      <c r="I112" s="4">
        <f>SUMIF(DATA_MASTER[NO. PON],FABRIKASI[[#This Row],[No.PON]],DATA_MASTER[Qty
(Unit)])</f>
        <v>1</v>
      </c>
      <c r="J112" s="180">
        <f>FABRIKASI[[#This Row],[Qty]]*FABRIKASI[[#This Row],[Berat Fabrikasi]]</f>
        <v>5827.8799999999983</v>
      </c>
      <c r="O112" s="154"/>
    </row>
    <row r="113" spans="1:15" hidden="1" x14ac:dyDescent="0.3">
      <c r="A113" t="s">
        <v>1126</v>
      </c>
      <c r="B113" t="s">
        <v>30</v>
      </c>
      <c r="C113" t="str">
        <f>IFERROR(VLOOKUP(A113,'DATA MASTER'!A:O,2,0)," ")</f>
        <v>Truss Modullar</v>
      </c>
      <c r="D113" t="str">
        <f>IFERROR(VLOOKUP(A113,'DATA MASTER'!A:V,4,0)," ")</f>
        <v>RB40</v>
      </c>
      <c r="E113" s="10">
        <v>62651.460000000006</v>
      </c>
      <c r="F113" s="21"/>
      <c r="G113" s="5"/>
      <c r="H113" s="5"/>
      <c r="I113" s="4">
        <f>SUMIF(DATA_MASTER[NO. PON],FABRIKASI[[#This Row],[No.PON]],DATA_MASTER[Qty
(Unit)])</f>
        <v>1</v>
      </c>
      <c r="J113" s="180">
        <f>FABRIKASI[[#This Row],[Qty]]*FABRIKASI[[#This Row],[Berat Fabrikasi]]</f>
        <v>62651.460000000006</v>
      </c>
      <c r="O113" s="154"/>
    </row>
    <row r="114" spans="1:15" hidden="1" x14ac:dyDescent="0.3">
      <c r="A114" t="s">
        <v>1130</v>
      </c>
      <c r="B114" t="s">
        <v>30</v>
      </c>
      <c r="C114" t="str">
        <f>IFERROR(VLOOKUP(A114,'DATA MASTER'!A:O,2,0)," ")</f>
        <v>Truss Modullar</v>
      </c>
      <c r="D114" t="str">
        <f>IFERROR(VLOOKUP(A114,'DATA MASTER'!A:V,4,0)," ")</f>
        <v>RB30</v>
      </c>
      <c r="E114" s="10">
        <v>48505.580000000053</v>
      </c>
      <c r="F114" s="21"/>
      <c r="G114" s="5"/>
      <c r="H114" s="5"/>
      <c r="I114" s="4">
        <f>SUMIF(DATA_MASTER[NO. PON],FABRIKASI[[#This Row],[No.PON]],DATA_MASTER[Qty
(Unit)])</f>
        <v>1</v>
      </c>
      <c r="J114" s="180">
        <f>FABRIKASI[[#This Row],[Qty]]*FABRIKASI[[#This Row],[Berat Fabrikasi]]</f>
        <v>48505.580000000053</v>
      </c>
      <c r="O114" s="154"/>
    </row>
    <row r="115" spans="1:15" hidden="1" x14ac:dyDescent="0.3">
      <c r="A115" t="s">
        <v>1203</v>
      </c>
      <c r="B115" t="s">
        <v>30</v>
      </c>
      <c r="C115" t="str">
        <f>IFERROR(VLOOKUP(A115,'DATA MASTER'!A:O,2,0)," ")</f>
        <v>Panel Bailey</v>
      </c>
      <c r="D115" t="str">
        <f>IFERROR(VLOOKUP(A115,'DATA MASTER'!A:V,4,0)," ")</f>
        <v>30 DSR2-EW</v>
      </c>
      <c r="E115" s="10">
        <v>43261.99</v>
      </c>
      <c r="F115" s="21"/>
      <c r="G115" s="5"/>
      <c r="H115" s="5"/>
      <c r="I115" s="4">
        <f>SUMIF(DATA_MASTER[NO. PON],FABRIKASI[[#This Row],[No.PON]],DATA_MASTER[Qty
(Unit)])</f>
        <v>1</v>
      </c>
      <c r="J115" s="180">
        <f>FABRIKASI[[#This Row],[Qty]]*FABRIKASI[[#This Row],[Berat Fabrikasi]]</f>
        <v>43261.99</v>
      </c>
      <c r="O115" s="154"/>
    </row>
    <row r="116" spans="1:15" hidden="1" x14ac:dyDescent="0.3">
      <c r="A116" t="s">
        <v>1170</v>
      </c>
      <c r="B116" t="s">
        <v>30</v>
      </c>
      <c r="C116" t="str">
        <f>IFERROR(VLOOKUP(A116,'DATA MASTER'!A:O,2,0)," ")</f>
        <v>Panel Bailey</v>
      </c>
      <c r="D116" t="str">
        <f>IFERROR(VLOOKUP(A116,'DATA MASTER'!A:V,4,0)," ")</f>
        <v>21 SSR-EW</v>
      </c>
      <c r="E116" s="10">
        <v>21970.160000000003</v>
      </c>
      <c r="F116" s="21"/>
      <c r="G116" s="5"/>
      <c r="H116" s="5"/>
      <c r="I116" s="4">
        <f>SUMIF(DATA_MASTER[NO. PON],FABRIKASI[[#This Row],[No.PON]],DATA_MASTER[Qty
(Unit)])</f>
        <v>1</v>
      </c>
      <c r="J116" s="180">
        <f>FABRIKASI[[#This Row],[Qty]]*FABRIKASI[[#This Row],[Berat Fabrikasi]]</f>
        <v>21970.160000000003</v>
      </c>
      <c r="O116" s="154"/>
    </row>
    <row r="117" spans="1:15" hidden="1" x14ac:dyDescent="0.3">
      <c r="A117" t="s">
        <v>1208</v>
      </c>
      <c r="B117" t="s">
        <v>30</v>
      </c>
      <c r="C117" t="str">
        <f>IFERROR(VLOOKUP(A117,'DATA MASTER'!A:O,2,0)," ")</f>
        <v>Truss Modullar</v>
      </c>
      <c r="D117" t="str">
        <f>IFERROR(VLOOKUP(A117,'DATA MASTER'!A:V,4,0)," ")</f>
        <v>RB40</v>
      </c>
      <c r="E117" s="10">
        <v>67681.34</v>
      </c>
      <c r="F117" s="23" t="s">
        <v>252</v>
      </c>
      <c r="G117" s="5">
        <v>45005</v>
      </c>
      <c r="H117" s="5">
        <v>45020</v>
      </c>
      <c r="I117" s="4">
        <f>SUMIF(DATA_MASTER[NO. PON],FABRIKASI[[#This Row],[No.PON]],DATA_MASTER[Qty
(Unit)])</f>
        <v>1</v>
      </c>
      <c r="J117" s="180">
        <f>FABRIKASI[[#This Row],[Qty]]*FABRIKASI[[#This Row],[Berat Fabrikasi]]</f>
        <v>67681.34</v>
      </c>
      <c r="O117" t="s">
        <v>265</v>
      </c>
    </row>
    <row r="118" spans="1:15" hidden="1" x14ac:dyDescent="0.3">
      <c r="A118" t="s">
        <v>1224</v>
      </c>
      <c r="B118" t="s">
        <v>30</v>
      </c>
      <c r="C118" t="str">
        <f>IFERROR(VLOOKUP(A118,'DATA MASTER'!A:O,2,0)," ")</f>
        <v>Truss Modullar</v>
      </c>
      <c r="D118" t="str">
        <f>IFERROR(VLOOKUP(A118,'DATA MASTER'!A:V,4,0)," ")</f>
        <v>RC45+15</v>
      </c>
      <c r="E118" s="10">
        <v>42283.519999999997</v>
      </c>
      <c r="F118" s="21"/>
      <c r="G118" s="5"/>
      <c r="H118" s="5"/>
      <c r="I118" s="4">
        <f>SUMIF(DATA_MASTER[NO. PON],FABRIKASI[[#This Row],[No.PON]],DATA_MASTER[Qty
(Unit)])</f>
        <v>1</v>
      </c>
      <c r="J118" s="180">
        <f>FABRIKASI[[#This Row],[Qty]]*FABRIKASI[[#This Row],[Berat Fabrikasi]]</f>
        <v>42283.519999999997</v>
      </c>
      <c r="O118" s="154"/>
    </row>
    <row r="119" spans="1:15" hidden="1" x14ac:dyDescent="0.3">
      <c r="A119" t="s">
        <v>1220</v>
      </c>
      <c r="B119" t="s">
        <v>30</v>
      </c>
      <c r="C119" t="str">
        <f>IFERROR(VLOOKUP(A119,'DATA MASTER'!A:O,2,0)," ")</f>
        <v>Panel Bailey</v>
      </c>
      <c r="D119" t="str">
        <f>IFERROR(VLOOKUP(A119,'DATA MASTER'!A:V,4,0)," ")</f>
        <v>18 SSR - EW</v>
      </c>
      <c r="E119" s="10">
        <v>19005.650000000001</v>
      </c>
      <c r="F119" s="21"/>
      <c r="G119" s="5"/>
      <c r="H119" s="5"/>
      <c r="I119" s="4">
        <f>SUMIF(DATA_MASTER[NO. PON],FABRIKASI[[#This Row],[No.PON]],DATA_MASTER[Qty
(Unit)])</f>
        <v>1</v>
      </c>
      <c r="J119" s="180">
        <f>FABRIKASI[[#This Row],[Qty]]*FABRIKASI[[#This Row],[Berat Fabrikasi]]</f>
        <v>19005.650000000001</v>
      </c>
      <c r="O119" s="154"/>
    </row>
    <row r="120" spans="1:15" hidden="1" x14ac:dyDescent="0.3">
      <c r="A120" t="s">
        <v>1221</v>
      </c>
      <c r="B120" t="s">
        <v>30</v>
      </c>
      <c r="C120" t="str">
        <f>IFERROR(VLOOKUP(A120,'DATA MASTER'!A:O,2,0)," ")</f>
        <v>Panel Bailey</v>
      </c>
      <c r="D120" t="str">
        <f>IFERROR(VLOOKUP(A120,'DATA MASTER'!A:V,4,0)," ")</f>
        <v>12 SSR-EW</v>
      </c>
      <c r="E120" s="10">
        <v>11373.300000000003</v>
      </c>
      <c r="F120" s="21"/>
      <c r="G120" s="5"/>
      <c r="H120" s="5"/>
      <c r="I120" s="4">
        <f>SUMIF(DATA_MASTER[NO. PON],FABRIKASI[[#This Row],[No.PON]],DATA_MASTER[Qty
(Unit)])</f>
        <v>1</v>
      </c>
      <c r="J120" s="180">
        <f>FABRIKASI[[#This Row],[Qty]]*FABRIKASI[[#This Row],[Berat Fabrikasi]]</f>
        <v>11373.300000000003</v>
      </c>
      <c r="O120" s="154"/>
    </row>
    <row r="121" spans="1:15" hidden="1" x14ac:dyDescent="0.3">
      <c r="A121" t="s">
        <v>1258</v>
      </c>
      <c r="B121" t="s">
        <v>30</v>
      </c>
      <c r="C121" t="str">
        <f>IFERROR(VLOOKUP(A121,'DATA MASTER'!A:O,2,0)," ")</f>
        <v>Girder</v>
      </c>
      <c r="D121" t="str">
        <f>IFERROR(VLOOKUP(A121,'DATA MASTER'!A:V,4,0)," ")</f>
        <v>C43</v>
      </c>
      <c r="E121" s="10">
        <v>12419.220000000001</v>
      </c>
      <c r="F121" s="21"/>
      <c r="G121" s="5"/>
      <c r="H121" s="5"/>
      <c r="I121" s="4">
        <f>SUMIF(DATA_MASTER[NO. PON],FABRIKASI[[#This Row],[No.PON]],DATA_MASTER[Qty
(Unit)])</f>
        <v>1</v>
      </c>
      <c r="J121" s="180">
        <f>FABRIKASI[[#This Row],[Qty]]*FABRIKASI[[#This Row],[Berat Fabrikasi]]</f>
        <v>12419.220000000001</v>
      </c>
      <c r="O121" s="154" t="s">
        <v>1282</v>
      </c>
    </row>
    <row r="122" spans="1:15" hidden="1" x14ac:dyDescent="0.3">
      <c r="A122" t="s">
        <v>1278</v>
      </c>
      <c r="B122" t="s">
        <v>30</v>
      </c>
      <c r="C122" t="str">
        <f>IFERROR(VLOOKUP(A122,'DATA MASTER'!A:O,2,0)," ")</f>
        <v>Girder</v>
      </c>
      <c r="D122" t="str">
        <f>IFERROR(VLOOKUP(A122,'DATA MASTER'!A:V,4,0)," ")</f>
        <v>AG20</v>
      </c>
      <c r="E122" s="10">
        <v>22273.200000000004</v>
      </c>
      <c r="F122" s="21"/>
      <c r="G122" s="5"/>
      <c r="H122" s="5"/>
      <c r="I122" s="4">
        <f>SUMIF(DATA_MASTER[NO. PON],FABRIKASI[[#This Row],[No.PON]],DATA_MASTER[Qty
(Unit)])</f>
        <v>1</v>
      </c>
      <c r="J122" s="180">
        <f>FABRIKASI[[#This Row],[Qty]]*FABRIKASI[[#This Row],[Berat Fabrikasi]]</f>
        <v>22273.200000000004</v>
      </c>
      <c r="O122" s="154"/>
    </row>
    <row r="123" spans="1:15" x14ac:dyDescent="0.3">
      <c r="A123" t="s">
        <v>1283</v>
      </c>
      <c r="B123" t="s">
        <v>30</v>
      </c>
      <c r="C123" t="str">
        <f>IFERROR(VLOOKUP(A123,'DATA MASTER'!A:O,2,0)," ")</f>
        <v>Panel Bailey STOCK</v>
      </c>
      <c r="D123" t="str">
        <f>IFERROR(VLOOKUP(A123,'DATA MASTER'!A:V,4,0)," ")</f>
        <v>KOMPONEN BAILEY</v>
      </c>
      <c r="E123" s="10">
        <v>338892.27</v>
      </c>
      <c r="F123" s="21"/>
      <c r="G123" s="5"/>
      <c r="H123" s="5"/>
      <c r="I123" s="4">
        <f>SUMIF(DATA_MASTER[NO. PON],FABRIKASI[[#This Row],[No.PON]],DATA_MASTER[Qty
(Unit)])</f>
        <v>1</v>
      </c>
      <c r="J123" s="180">
        <f>FABRIKASI[[#This Row],[Qty]]*FABRIKASI[[#This Row],[Berat Fabrikasi]]</f>
        <v>338892.27</v>
      </c>
      <c r="O123" s="154"/>
    </row>
    <row r="124" spans="1:15" hidden="1" x14ac:dyDescent="0.3">
      <c r="A124" t="s">
        <v>1287</v>
      </c>
      <c r="B124" t="s">
        <v>30</v>
      </c>
      <c r="C124" t="str">
        <f>IFERROR(VLOOKUP(A124,'DATA MASTER'!A:O,2,0)," ")</f>
        <v>KING POST</v>
      </c>
      <c r="D124" t="str">
        <f>IFERROR(VLOOKUP(A124,'DATA MASTER'!A:V,4,0)," ")</f>
        <v>KP</v>
      </c>
      <c r="E124" s="10">
        <v>451165.01500000007</v>
      </c>
      <c r="F124" s="21"/>
      <c r="G124" s="5"/>
      <c r="H124" s="5"/>
      <c r="I124" s="4">
        <f>SUMIF(DATA_MASTER[NO. PON],FABRIKASI[[#This Row],[No.PON]],DATA_MASTER[Qty
(Unit)])</f>
        <v>1</v>
      </c>
      <c r="J124" s="180">
        <f>FABRIKASI[[#This Row],[Qty]]*FABRIKASI[[#This Row],[Berat Fabrikasi]]</f>
        <v>451165.01500000007</v>
      </c>
      <c r="O124" s="154"/>
    </row>
    <row r="125" spans="1:15" hidden="1" x14ac:dyDescent="0.3">
      <c r="A125" t="s">
        <v>1291</v>
      </c>
      <c r="B125" t="s">
        <v>30</v>
      </c>
      <c r="C125" t="str">
        <f>IFERROR(VLOOKUP(A125,'DATA MASTER'!A:O,2,0)," ")</f>
        <v>Panel Bailey</v>
      </c>
      <c r="D125" t="str">
        <f>IFERROR(VLOOKUP(A125,'DATA MASTER'!A:V,4,0)," ")</f>
        <v>30 DSR2-EW</v>
      </c>
      <c r="E125" s="10">
        <v>43261.99</v>
      </c>
      <c r="F125" s="21"/>
      <c r="G125" s="5"/>
      <c r="H125" s="5"/>
      <c r="I125" s="4">
        <f>SUMIF(DATA_MASTER[NO. PON],FABRIKASI[[#This Row],[No.PON]],DATA_MASTER[Qty
(Unit)])</f>
        <v>2</v>
      </c>
      <c r="J125" s="180">
        <f>FABRIKASI[[#This Row],[Qty]]*FABRIKASI[[#This Row],[Berat Fabrikasi]]</f>
        <v>86523.98</v>
      </c>
      <c r="O125" s="154"/>
    </row>
    <row r="126" spans="1:15" hidden="1" x14ac:dyDescent="0.3">
      <c r="A126" t="s">
        <v>1294</v>
      </c>
      <c r="B126" t="s">
        <v>30</v>
      </c>
      <c r="C126" t="str">
        <f>IFERROR(VLOOKUP(A126,'DATA MASTER'!A:O,2,0)," ")</f>
        <v>Panel Bailey</v>
      </c>
      <c r="D126" t="str">
        <f>IFERROR(VLOOKUP(A126,'DATA MASTER'!A:V,4,0)," ")</f>
        <v>36 DSR2-EW</v>
      </c>
      <c r="E126" s="10">
        <v>52580.930000000008</v>
      </c>
      <c r="F126" s="21"/>
      <c r="G126" s="5"/>
      <c r="H126" s="5"/>
      <c r="I126" s="4">
        <f>SUMIF(DATA_MASTER[NO. PON],FABRIKASI[[#This Row],[No.PON]],DATA_MASTER[Qty
(Unit)])</f>
        <v>2</v>
      </c>
      <c r="J126" s="180">
        <f>FABRIKASI[[#This Row],[Qty]]*FABRIKASI[[#This Row],[Berat Fabrikasi]]</f>
        <v>105161.86000000002</v>
      </c>
      <c r="O126" s="154"/>
    </row>
    <row r="127" spans="1:15" hidden="1" x14ac:dyDescent="0.3">
      <c r="A127" t="s">
        <v>1293</v>
      </c>
      <c r="B127" t="s">
        <v>30</v>
      </c>
      <c r="C127" t="str">
        <f>IFERROR(VLOOKUP(A127,'DATA MASTER'!A:O,2,0)," ")</f>
        <v>Panel Bailey</v>
      </c>
      <c r="D127" t="str">
        <f>IFERROR(VLOOKUP(A127,'DATA MASTER'!A:V,4,0)," ")</f>
        <v>39 DSR2H**-EW</v>
      </c>
      <c r="E127" s="10">
        <v>60185.50328185979</v>
      </c>
      <c r="F127" s="21"/>
      <c r="G127" s="5"/>
      <c r="H127" s="5"/>
      <c r="I127" s="4">
        <f>SUMIF(DATA_MASTER[NO. PON],FABRIKASI[[#This Row],[No.PON]],DATA_MASTER[Qty
(Unit)])</f>
        <v>2</v>
      </c>
      <c r="J127" s="180">
        <f>FABRIKASI[[#This Row],[Qty]]*FABRIKASI[[#This Row],[Berat Fabrikasi]]</f>
        <v>120371.00656371958</v>
      </c>
      <c r="O127" s="154"/>
    </row>
    <row r="128" spans="1:15" hidden="1" x14ac:dyDescent="0.3">
      <c r="A128" t="s">
        <v>1295</v>
      </c>
      <c r="B128" t="s">
        <v>30</v>
      </c>
      <c r="C128" t="str">
        <f>IFERROR(VLOOKUP(A128,'DATA MASTER'!A:O,2,0)," ")</f>
        <v>Komponen Jembatan</v>
      </c>
      <c r="D128" t="str">
        <f>IFERROR(VLOOKUP(A128,'DATA MASTER'!A:V,4,0)," ")</f>
        <v>WB BEAM</v>
      </c>
      <c r="E128" s="10">
        <v>25922.400000000001</v>
      </c>
      <c r="F128" s="21"/>
      <c r="G128" s="5"/>
      <c r="H128" s="5"/>
      <c r="I128" s="4">
        <f>SUMIF(DATA_MASTER[NO. PON],FABRIKASI[[#This Row],[No.PON]],DATA_MASTER[Qty
(Unit)])</f>
        <v>1</v>
      </c>
      <c r="J128" s="180">
        <f>FABRIKASI[[#This Row],[Qty]]*FABRIKASI[[#This Row],[Berat Fabrikasi]]</f>
        <v>25922.400000000001</v>
      </c>
      <c r="O128" s="154"/>
    </row>
    <row r="129" spans="1:15" hidden="1" x14ac:dyDescent="0.3">
      <c r="A129" t="s">
        <v>1300</v>
      </c>
      <c r="B129" t="s">
        <v>30</v>
      </c>
      <c r="C129" t="str">
        <f>IFERROR(VLOOKUP(A129,'DATA MASTER'!A:O,2,0)," ")</f>
        <v>Komponen Jembatan</v>
      </c>
      <c r="D129" t="str">
        <f>IFERROR(VLOOKUP(A129,'DATA MASTER'!A:V,4,0)," ")</f>
        <v>WB BEAM</v>
      </c>
      <c r="E129" s="10">
        <v>1561.2874200000001</v>
      </c>
      <c r="F129" s="21"/>
      <c r="G129" s="5"/>
      <c r="H129" s="5"/>
      <c r="I129" s="4">
        <f>SUMIF(DATA_MASTER[NO. PON],FABRIKASI[[#This Row],[No.PON]],DATA_MASTER[Qty
(Unit)])</f>
        <v>1</v>
      </c>
      <c r="J129" s="180">
        <f>FABRIKASI[[#This Row],[Qty]]*FABRIKASI[[#This Row],[Berat Fabrikasi]]</f>
        <v>1561.2874200000001</v>
      </c>
      <c r="O129" s="154"/>
    </row>
    <row r="130" spans="1:15" hidden="1" x14ac:dyDescent="0.3">
      <c r="A130" t="s">
        <v>1304</v>
      </c>
      <c r="B130" t="s">
        <v>30</v>
      </c>
      <c r="C130" t="str">
        <f>IFERROR(VLOOKUP(A130,'DATA MASTER'!A:O,2,0)," ")</f>
        <v>Jembatan Gantung</v>
      </c>
      <c r="D130" t="str">
        <f>IFERROR(VLOOKUP(A130,'DATA MASTER'!A:V,4,0)," ")</f>
        <v>Komponen JG152</v>
      </c>
      <c r="E130" s="10">
        <v>57493.999999999993</v>
      </c>
      <c r="F130" s="21"/>
      <c r="G130" s="5"/>
      <c r="H130" s="5"/>
      <c r="I130" s="4">
        <f>SUMIF(DATA_MASTER[NO. PON],FABRIKASI[[#This Row],[No.PON]],DATA_MASTER[Qty
(Unit)])</f>
        <v>1</v>
      </c>
      <c r="J130" s="180">
        <f>FABRIKASI[[#This Row],[Qty]]*FABRIKASI[[#This Row],[Berat Fabrikasi]]</f>
        <v>57493.999999999993</v>
      </c>
      <c r="O130" s="154"/>
    </row>
    <row r="131" spans="1:15" x14ac:dyDescent="0.3">
      <c r="E131" s="16">
        <f>SUBTOTAL(109,FABRIKASI[Berat Fabrikasi])</f>
        <v>2320750.0557498275</v>
      </c>
      <c r="F131" s="21"/>
      <c r="G131" s="5"/>
      <c r="H131" s="5"/>
      <c r="I131" s="4"/>
      <c r="J131" s="180">
        <f>SUBTOTAL(109,FABRIKASI[SUM
Total])</f>
        <v>2320750.0557498275</v>
      </c>
      <c r="O131" s="154"/>
    </row>
    <row r="132" spans="1:15" x14ac:dyDescent="0.3">
      <c r="I132" s="241" t="s">
        <v>1222</v>
      </c>
      <c r="J132" s="241"/>
    </row>
    <row r="133" spans="1:15" x14ac:dyDescent="0.3">
      <c r="I133">
        <v>18</v>
      </c>
      <c r="J133" s="165">
        <f>SUM(E136:I136)</f>
        <v>67872.22</v>
      </c>
    </row>
    <row r="134" spans="1:15" x14ac:dyDescent="0.3">
      <c r="I134">
        <v>12</v>
      </c>
      <c r="J134" s="165">
        <f>SUM(E137:I137)</f>
        <v>42424.799999999996</v>
      </c>
    </row>
    <row r="135" spans="1:15" x14ac:dyDescent="0.3">
      <c r="J135" s="242">
        <f>SUM(J133:J134)</f>
        <v>110297.01999999999</v>
      </c>
    </row>
    <row r="136" spans="1:15" x14ac:dyDescent="0.3">
      <c r="E136" s="16">
        <f>E117</f>
        <v>67681.34</v>
      </c>
      <c r="I136" s="1">
        <f>'Data Aksesories'!L411+'Data Aksesories'!L412</f>
        <v>190.88</v>
      </c>
    </row>
    <row r="137" spans="1:15" x14ac:dyDescent="0.3">
      <c r="C137" t="s">
        <v>1286</v>
      </c>
      <c r="D137" s="100">
        <f>E10+E11</f>
        <v>127796.07382116502</v>
      </c>
      <c r="E137" s="16">
        <f>E118</f>
        <v>42283.519999999997</v>
      </c>
      <c r="I137" s="1">
        <f>'Data Aksesories'!L413+'Data Aksesories'!L414</f>
        <v>141.28</v>
      </c>
    </row>
  </sheetData>
  <pageMargins left="0.7" right="0.7" top="0.75" bottom="0.75" header="0.3" footer="0.3"/>
  <pageSetup orientation="portrait" r:id="rId1"/>
  <tableParts count="1">
    <tablePart r:id="rId2"/>
  </tableParts>
  <extLst>
    <ext xmlns:x14="http://schemas.microsoft.com/office/spreadsheetml/2009/9/main" uri="{CCE6A557-97BC-4b89-ADB6-D9C93CAAB3DF}">
      <x14:dataValidations xmlns:xm="http://schemas.microsoft.com/office/excel/2006/main" count="1">
        <x14:dataValidation type="list" allowBlank="1" showInputMessage="1" showErrorMessage="1" xr:uid="{590C4B81-085F-4CBE-8E36-C201051241FE}">
          <x14:formula1>
            <xm:f>'DATA MASTER'!$A:$A</xm:f>
          </x14:formula1>
          <xm:sqref>A132:A1048576 A1:A130</xm:sqref>
        </x14:dataValidation>
      </x14:dataValidations>
    </ext>
    <ext xmlns:x15="http://schemas.microsoft.com/office/spreadsheetml/2010/11/main" uri="{F7C9EE02-42E1-4005-9D12-6889AFFD525C}">
      <x15:webExtensions xmlns:xm="http://schemas.microsoft.com/office/excel/2006/main">
        <x15:webExtension appRef="{D260D8E3-ACB9-4C7F-941E-8B99430F1EE5}">
          <xm:f>'DATA FABRIKASI'!$A$2:$O$130</xm:f>
        </x15:webExtension>
      </x15:webExtens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BCA7FC-FEE9-4582-A8E2-77D4231EA460}">
  <sheetPr codeName="Sheet15"/>
  <dimension ref="B6:G117"/>
  <sheetViews>
    <sheetView showGridLines="0" tabSelected="1" topLeftCell="A94" workbookViewId="0">
      <selection activeCell="F117" sqref="F117"/>
    </sheetView>
  </sheetViews>
  <sheetFormatPr defaultRowHeight="14.4" x14ac:dyDescent="0.3"/>
  <cols>
    <col min="2" max="2" width="21.33203125" bestFit="1" customWidth="1"/>
    <col min="3" max="3" width="12.77734375" bestFit="1" customWidth="1"/>
    <col min="4" max="4" width="23.44140625" bestFit="1" customWidth="1"/>
    <col min="5" max="5" width="8.88671875" style="1"/>
    <col min="6" max="6" width="13.109375" bestFit="1" customWidth="1"/>
  </cols>
  <sheetData>
    <row r="6" spans="2:5" ht="21" x14ac:dyDescent="0.4">
      <c r="B6" s="271" t="s">
        <v>1193</v>
      </c>
      <c r="C6" s="271"/>
      <c r="D6" s="271"/>
      <c r="E6" s="271"/>
    </row>
    <row r="7" spans="2:5" x14ac:dyDescent="0.3">
      <c r="B7" s="231"/>
      <c r="C7" s="231"/>
      <c r="D7" s="231"/>
      <c r="E7" s="276"/>
    </row>
    <row r="8" spans="2:5" ht="15.6" x14ac:dyDescent="0.3">
      <c r="B8" s="232" t="s">
        <v>1194</v>
      </c>
      <c r="C8" s="230"/>
      <c r="D8" s="230"/>
      <c r="E8" s="277"/>
    </row>
    <row r="9" spans="2:5" x14ac:dyDescent="0.3">
      <c r="B9" s="233" t="s">
        <v>1195</v>
      </c>
      <c r="C9" s="230"/>
      <c r="D9" s="230"/>
      <c r="E9" s="278"/>
    </row>
    <row r="10" spans="2:5" x14ac:dyDescent="0.3">
      <c r="B10" s="234" t="s">
        <v>1196</v>
      </c>
      <c r="C10" s="230"/>
      <c r="D10" s="230"/>
    </row>
    <row r="11" spans="2:5" x14ac:dyDescent="0.3">
      <c r="B11" s="234" t="s">
        <v>1197</v>
      </c>
      <c r="C11" s="230"/>
      <c r="D11" s="230"/>
      <c r="E11" s="277"/>
    </row>
    <row r="12" spans="2:5" x14ac:dyDescent="0.3">
      <c r="B12" s="234" t="s">
        <v>1198</v>
      </c>
      <c r="C12" s="230"/>
      <c r="D12" s="230"/>
    </row>
    <row r="13" spans="2:5" x14ac:dyDescent="0.3">
      <c r="B13" s="234" t="s">
        <v>1199</v>
      </c>
      <c r="C13" s="230"/>
      <c r="D13" s="230"/>
    </row>
    <row r="14" spans="2:5" x14ac:dyDescent="0.3">
      <c r="B14" s="231"/>
      <c r="C14" s="231"/>
      <c r="D14" s="231"/>
      <c r="E14" s="276"/>
    </row>
    <row r="15" spans="2:5" x14ac:dyDescent="0.3">
      <c r="B15" s="231"/>
      <c r="C15" s="231"/>
      <c r="D15" s="231"/>
      <c r="E15" s="276"/>
    </row>
    <row r="16" spans="2:5" x14ac:dyDescent="0.3">
      <c r="B16" s="222"/>
      <c r="C16" s="230"/>
      <c r="D16" s="230"/>
    </row>
    <row r="17" spans="2:2" ht="15.6" x14ac:dyDescent="0.3">
      <c r="B17" s="232" t="s">
        <v>1200</v>
      </c>
    </row>
    <row r="18" spans="2:2" x14ac:dyDescent="0.3">
      <c r="B18" s="233" t="s">
        <v>1195</v>
      </c>
    </row>
    <row r="19" spans="2:2" x14ac:dyDescent="0.3">
      <c r="B19" s="234" t="s">
        <v>1196</v>
      </c>
    </row>
    <row r="20" spans="2:2" x14ac:dyDescent="0.3">
      <c r="B20" s="234" t="s">
        <v>1197</v>
      </c>
    </row>
    <row r="21" spans="2:2" x14ac:dyDescent="0.3">
      <c r="B21" s="234" t="s">
        <v>1198</v>
      </c>
    </row>
    <row r="22" spans="2:2" x14ac:dyDescent="0.3">
      <c r="B22" s="234" t="s">
        <v>1199</v>
      </c>
    </row>
    <row r="23" spans="2:2" x14ac:dyDescent="0.3">
      <c r="B23" s="231"/>
    </row>
    <row r="25" spans="2:2" x14ac:dyDescent="0.3">
      <c r="B25" s="235" t="s">
        <v>1202</v>
      </c>
    </row>
    <row r="26" spans="2:2" x14ac:dyDescent="0.3">
      <c r="B26" s="259" t="s">
        <v>1201</v>
      </c>
    </row>
    <row r="36" spans="2:5" x14ac:dyDescent="0.3">
      <c r="B36" t="s">
        <v>101</v>
      </c>
      <c r="C36" t="s">
        <v>143</v>
      </c>
      <c r="E36" s="1">
        <v>3.1</v>
      </c>
    </row>
    <row r="37" spans="2:5" x14ac:dyDescent="0.3">
      <c r="B37" t="s">
        <v>904</v>
      </c>
      <c r="C37" t="s">
        <v>145</v>
      </c>
      <c r="E37" s="1">
        <v>1.08</v>
      </c>
    </row>
    <row r="38" spans="2:5" x14ac:dyDescent="0.3">
      <c r="B38" t="s">
        <v>101</v>
      </c>
      <c r="C38" t="s">
        <v>143</v>
      </c>
      <c r="E38" s="1">
        <v>3.1</v>
      </c>
    </row>
    <row r="39" spans="2:5" x14ac:dyDescent="0.3">
      <c r="B39" t="s">
        <v>904</v>
      </c>
      <c r="C39" t="s">
        <v>145</v>
      </c>
      <c r="E39" s="1">
        <v>1.08</v>
      </c>
    </row>
    <row r="40" spans="2:5" x14ac:dyDescent="0.3">
      <c r="B40" t="s">
        <v>101</v>
      </c>
      <c r="C40" t="s">
        <v>143</v>
      </c>
      <c r="E40" s="1">
        <v>3.1</v>
      </c>
    </row>
    <row r="41" spans="2:5" x14ac:dyDescent="0.3">
      <c r="B41" t="s">
        <v>904</v>
      </c>
      <c r="C41" t="s">
        <v>145</v>
      </c>
      <c r="E41" s="1">
        <v>1.08</v>
      </c>
    </row>
    <row r="42" spans="2:5" x14ac:dyDescent="0.3">
      <c r="B42" t="s">
        <v>101</v>
      </c>
      <c r="C42" t="s">
        <v>143</v>
      </c>
      <c r="E42" s="1">
        <v>3.1</v>
      </c>
    </row>
    <row r="43" spans="2:5" x14ac:dyDescent="0.3">
      <c r="B43" t="s">
        <v>904</v>
      </c>
      <c r="C43" t="s">
        <v>145</v>
      </c>
      <c r="E43" s="1">
        <v>1.08</v>
      </c>
    </row>
    <row r="44" spans="2:5" x14ac:dyDescent="0.3">
      <c r="B44" t="s">
        <v>101</v>
      </c>
      <c r="C44" t="s">
        <v>143</v>
      </c>
      <c r="E44" s="1">
        <v>3.1</v>
      </c>
    </row>
    <row r="45" spans="2:5" x14ac:dyDescent="0.3">
      <c r="B45" t="s">
        <v>904</v>
      </c>
      <c r="C45" t="s">
        <v>145</v>
      </c>
      <c r="E45" s="1">
        <v>1.08</v>
      </c>
    </row>
    <row r="46" spans="2:5" x14ac:dyDescent="0.3">
      <c r="B46" t="s">
        <v>101</v>
      </c>
      <c r="C46" t="s">
        <v>143</v>
      </c>
      <c r="E46" s="1">
        <v>3.1</v>
      </c>
    </row>
    <row r="47" spans="2:5" x14ac:dyDescent="0.3">
      <c r="B47" t="s">
        <v>904</v>
      </c>
      <c r="C47" t="s">
        <v>145</v>
      </c>
      <c r="E47" s="1">
        <v>1.08</v>
      </c>
    </row>
    <row r="54" spans="2:6" x14ac:dyDescent="0.3">
      <c r="B54" s="154" t="s">
        <v>1321</v>
      </c>
    </row>
    <row r="55" spans="2:6" ht="30.6" customHeight="1" thickBot="1" x14ac:dyDescent="0.35">
      <c r="B55" s="279" t="s">
        <v>27</v>
      </c>
      <c r="C55" s="279" t="s">
        <v>11</v>
      </c>
      <c r="D55" s="279" t="s">
        <v>988</v>
      </c>
      <c r="E55" s="280" t="s">
        <v>363</v>
      </c>
      <c r="F55" s="280" t="s">
        <v>931</v>
      </c>
    </row>
    <row r="56" spans="2:6" ht="15" thickTop="1" x14ac:dyDescent="0.3">
      <c r="B56" t="s">
        <v>129</v>
      </c>
      <c r="C56" t="s">
        <v>565</v>
      </c>
      <c r="D56" t="s">
        <v>144</v>
      </c>
      <c r="E56" s="1">
        <v>1</v>
      </c>
      <c r="F56" s="213">
        <v>59752.43</v>
      </c>
    </row>
    <row r="57" spans="2:6" x14ac:dyDescent="0.3">
      <c r="B57" t="s">
        <v>129</v>
      </c>
      <c r="C57" t="s">
        <v>565</v>
      </c>
      <c r="D57" t="s">
        <v>144</v>
      </c>
      <c r="E57" s="1">
        <v>1</v>
      </c>
      <c r="F57" s="213">
        <v>4838.6399999999994</v>
      </c>
    </row>
    <row r="58" spans="2:6" x14ac:dyDescent="0.3">
      <c r="B58" t="s">
        <v>215</v>
      </c>
      <c r="C58" t="s">
        <v>565</v>
      </c>
      <c r="D58" t="s">
        <v>210</v>
      </c>
      <c r="E58" s="1">
        <v>2</v>
      </c>
      <c r="F58" s="213">
        <v>26153.260000000002</v>
      </c>
    </row>
    <row r="59" spans="2:6" x14ac:dyDescent="0.3">
      <c r="B59" t="s">
        <v>216</v>
      </c>
      <c r="C59" t="s">
        <v>565</v>
      </c>
      <c r="D59" t="s">
        <v>213</v>
      </c>
      <c r="E59" s="1">
        <v>3</v>
      </c>
      <c r="F59" s="213">
        <v>48123.420000000006</v>
      </c>
    </row>
    <row r="60" spans="2:6" x14ac:dyDescent="0.3">
      <c r="B60" t="s">
        <v>217</v>
      </c>
      <c r="C60" t="s">
        <v>565</v>
      </c>
      <c r="D60" t="s">
        <v>214</v>
      </c>
      <c r="E60" s="1">
        <v>1</v>
      </c>
      <c r="F60" s="213">
        <v>21970.160000000003</v>
      </c>
    </row>
    <row r="61" spans="2:6" x14ac:dyDescent="0.3">
      <c r="B61" t="s">
        <v>128</v>
      </c>
      <c r="C61" t="s">
        <v>565</v>
      </c>
      <c r="D61" t="s">
        <v>118</v>
      </c>
      <c r="E61" s="1">
        <v>1</v>
      </c>
      <c r="F61" s="213">
        <v>1406.4612000000002</v>
      </c>
    </row>
    <row r="62" spans="2:6" x14ac:dyDescent="0.3">
      <c r="B62" t="s">
        <v>305</v>
      </c>
      <c r="C62" t="s">
        <v>565</v>
      </c>
      <c r="D62" t="s">
        <v>364</v>
      </c>
      <c r="E62" s="1">
        <v>2</v>
      </c>
      <c r="F62" s="213">
        <v>69935.06</v>
      </c>
    </row>
    <row r="63" spans="2:6" x14ac:dyDescent="0.3">
      <c r="B63" t="s">
        <v>308</v>
      </c>
      <c r="C63" t="s">
        <v>565</v>
      </c>
      <c r="D63" t="s">
        <v>365</v>
      </c>
      <c r="E63" s="1">
        <v>2</v>
      </c>
      <c r="F63" s="213">
        <v>51675.080000000009</v>
      </c>
    </row>
    <row r="64" spans="2:6" x14ac:dyDescent="0.3">
      <c r="B64" t="s">
        <v>309</v>
      </c>
      <c r="C64" t="s">
        <v>565</v>
      </c>
      <c r="D64" t="s">
        <v>366</v>
      </c>
      <c r="E64" s="1">
        <v>1</v>
      </c>
      <c r="F64" s="213">
        <v>24530.89</v>
      </c>
    </row>
    <row r="65" spans="2:6" x14ac:dyDescent="0.3">
      <c r="B65" t="s">
        <v>310</v>
      </c>
      <c r="C65" t="s">
        <v>565</v>
      </c>
      <c r="D65" t="s">
        <v>1207</v>
      </c>
      <c r="E65" s="1">
        <v>1</v>
      </c>
      <c r="F65" s="213">
        <v>26673.07</v>
      </c>
    </row>
    <row r="66" spans="2:6" x14ac:dyDescent="0.3">
      <c r="B66" t="s">
        <v>367</v>
      </c>
      <c r="C66" t="s">
        <v>565</v>
      </c>
      <c r="D66" t="s">
        <v>311</v>
      </c>
      <c r="E66" s="1">
        <v>1</v>
      </c>
      <c r="F66" s="213">
        <v>50562.139999999992</v>
      </c>
    </row>
    <row r="67" spans="2:6" x14ac:dyDescent="0.3">
      <c r="B67" t="s">
        <v>224</v>
      </c>
      <c r="C67" t="s">
        <v>565</v>
      </c>
      <c r="D67" t="s">
        <v>225</v>
      </c>
      <c r="E67" s="1">
        <v>3</v>
      </c>
      <c r="F67" s="213">
        <v>129785.97</v>
      </c>
    </row>
    <row r="68" spans="2:6" x14ac:dyDescent="0.3">
      <c r="B68" t="s">
        <v>286</v>
      </c>
      <c r="C68" t="s">
        <v>565</v>
      </c>
      <c r="D68" t="s">
        <v>285</v>
      </c>
      <c r="E68" s="1">
        <v>1</v>
      </c>
      <c r="F68" s="213">
        <v>61912.55</v>
      </c>
    </row>
    <row r="69" spans="2:6" x14ac:dyDescent="0.3">
      <c r="B69" t="s">
        <v>290</v>
      </c>
      <c r="C69" t="s">
        <v>565</v>
      </c>
      <c r="D69" t="s">
        <v>291</v>
      </c>
      <c r="E69" s="1">
        <v>2</v>
      </c>
      <c r="F69" s="213">
        <v>137760.52000000002</v>
      </c>
    </row>
    <row r="70" spans="2:6" x14ac:dyDescent="0.3">
      <c r="B70" t="s">
        <v>358</v>
      </c>
      <c r="C70" t="s">
        <v>565</v>
      </c>
      <c r="D70" t="s">
        <v>225</v>
      </c>
      <c r="E70" s="1">
        <v>1</v>
      </c>
      <c r="F70" s="213">
        <v>43261.99</v>
      </c>
    </row>
    <row r="71" spans="2:6" x14ac:dyDescent="0.3">
      <c r="B71" t="s">
        <v>427</v>
      </c>
      <c r="C71" t="s">
        <v>565</v>
      </c>
      <c r="D71" t="s">
        <v>118</v>
      </c>
      <c r="E71" s="1">
        <v>1</v>
      </c>
      <c r="F71" s="213">
        <v>3482.36</v>
      </c>
    </row>
    <row r="72" spans="2:6" x14ac:dyDescent="0.3">
      <c r="B72" t="s">
        <v>418</v>
      </c>
      <c r="C72" t="s">
        <v>565</v>
      </c>
      <c r="D72" t="s">
        <v>415</v>
      </c>
      <c r="E72" s="1">
        <v>1</v>
      </c>
      <c r="F72" s="213">
        <v>52580.930000000008</v>
      </c>
    </row>
    <row r="73" spans="2:6" x14ac:dyDescent="0.3">
      <c r="B73" t="s">
        <v>422</v>
      </c>
      <c r="C73" t="s">
        <v>565</v>
      </c>
      <c r="D73" t="s">
        <v>225</v>
      </c>
      <c r="E73" s="1">
        <v>2</v>
      </c>
      <c r="F73" s="213">
        <v>86523.98</v>
      </c>
    </row>
    <row r="74" spans="2:6" x14ac:dyDescent="0.3">
      <c r="B74" t="s">
        <v>424</v>
      </c>
      <c r="C74" t="s">
        <v>565</v>
      </c>
      <c r="D74" t="s">
        <v>425</v>
      </c>
      <c r="E74" s="1">
        <v>1</v>
      </c>
      <c r="F74" s="213">
        <v>79238.12999999999</v>
      </c>
    </row>
    <row r="75" spans="2:6" x14ac:dyDescent="0.3">
      <c r="B75" t="s">
        <v>442</v>
      </c>
      <c r="C75" t="s">
        <v>565</v>
      </c>
      <c r="D75" t="s">
        <v>225</v>
      </c>
      <c r="E75" s="1">
        <v>1</v>
      </c>
      <c r="F75" s="213">
        <v>43261.99</v>
      </c>
    </row>
    <row r="76" spans="2:6" x14ac:dyDescent="0.3">
      <c r="B76" t="s">
        <v>443</v>
      </c>
      <c r="C76" t="s">
        <v>565</v>
      </c>
      <c r="D76" t="s">
        <v>214</v>
      </c>
      <c r="E76" s="1">
        <v>2</v>
      </c>
      <c r="F76" s="213">
        <v>43940.320000000007</v>
      </c>
    </row>
    <row r="77" spans="2:6" x14ac:dyDescent="0.3">
      <c r="B77" t="s">
        <v>445</v>
      </c>
      <c r="C77" t="s">
        <v>565</v>
      </c>
      <c r="D77" t="s">
        <v>446</v>
      </c>
      <c r="E77" s="1">
        <v>1</v>
      </c>
      <c r="F77" s="213">
        <v>24934.67</v>
      </c>
    </row>
    <row r="78" spans="2:6" x14ac:dyDescent="0.3">
      <c r="B78" t="s">
        <v>447</v>
      </c>
      <c r="C78" t="s">
        <v>565</v>
      </c>
      <c r="D78" t="s">
        <v>448</v>
      </c>
      <c r="E78" s="1">
        <v>1</v>
      </c>
      <c r="F78" s="213">
        <v>39114.76</v>
      </c>
    </row>
    <row r="79" spans="2:6" x14ac:dyDescent="0.3">
      <c r="B79" t="s">
        <v>863</v>
      </c>
      <c r="C79" t="s">
        <v>565</v>
      </c>
      <c r="D79" t="s">
        <v>864</v>
      </c>
      <c r="E79" s="1">
        <v>1</v>
      </c>
      <c r="F79" s="213">
        <v>60185.50328185979</v>
      </c>
    </row>
    <row r="80" spans="2:6" x14ac:dyDescent="0.3">
      <c r="B80" t="s">
        <v>627</v>
      </c>
      <c r="C80" t="s">
        <v>565</v>
      </c>
      <c r="D80" t="s">
        <v>628</v>
      </c>
      <c r="E80" s="1">
        <v>3</v>
      </c>
      <c r="F80" s="213">
        <v>92591.07</v>
      </c>
    </row>
    <row r="81" spans="2:6" x14ac:dyDescent="0.3">
      <c r="B81" t="s">
        <v>944</v>
      </c>
      <c r="C81" t="s">
        <v>565</v>
      </c>
      <c r="D81" t="s">
        <v>945</v>
      </c>
      <c r="E81" s="1">
        <v>2</v>
      </c>
      <c r="F81" s="213">
        <v>20224.240000000002</v>
      </c>
    </row>
    <row r="82" spans="2:6" x14ac:dyDescent="0.3">
      <c r="B82" t="s">
        <v>894</v>
      </c>
      <c r="C82" t="s">
        <v>565</v>
      </c>
      <c r="D82" t="s">
        <v>864</v>
      </c>
      <c r="E82" s="1">
        <v>1</v>
      </c>
      <c r="F82" s="213">
        <v>60185.50328185979</v>
      </c>
    </row>
    <row r="83" spans="2:6" x14ac:dyDescent="0.3">
      <c r="B83" t="s">
        <v>1173</v>
      </c>
      <c r="C83" t="s">
        <v>565</v>
      </c>
      <c r="D83" t="s">
        <v>1174</v>
      </c>
      <c r="E83" s="1">
        <v>3</v>
      </c>
      <c r="F83" s="213">
        <v>21552.27</v>
      </c>
    </row>
    <row r="84" spans="2:6" x14ac:dyDescent="0.3">
      <c r="B84" t="s">
        <v>750</v>
      </c>
      <c r="C84" t="s">
        <v>565</v>
      </c>
      <c r="D84" t="s">
        <v>225</v>
      </c>
      <c r="E84" s="1">
        <v>1</v>
      </c>
      <c r="F84" s="213">
        <v>43261.99</v>
      </c>
    </row>
    <row r="85" spans="2:6" x14ac:dyDescent="0.3">
      <c r="B85" t="s">
        <v>852</v>
      </c>
      <c r="C85" t="s">
        <v>565</v>
      </c>
      <c r="D85" t="s">
        <v>210</v>
      </c>
      <c r="E85" s="1">
        <v>3</v>
      </c>
      <c r="F85" s="213">
        <v>34119.900000000009</v>
      </c>
    </row>
    <row r="86" spans="2:6" x14ac:dyDescent="0.3">
      <c r="B86" t="s">
        <v>905</v>
      </c>
      <c r="C86" t="s">
        <v>565</v>
      </c>
      <c r="D86" t="s">
        <v>908</v>
      </c>
      <c r="E86" s="1">
        <v>1</v>
      </c>
      <c r="F86" s="213">
        <v>44.744</v>
      </c>
    </row>
    <row r="87" spans="2:6" x14ac:dyDescent="0.3">
      <c r="B87" t="s">
        <v>967</v>
      </c>
      <c r="C87" t="s">
        <v>565</v>
      </c>
      <c r="D87" t="s">
        <v>364</v>
      </c>
      <c r="E87" s="1">
        <v>1</v>
      </c>
      <c r="F87" s="213">
        <v>35413.93</v>
      </c>
    </row>
    <row r="88" spans="2:6" x14ac:dyDescent="0.3">
      <c r="B88" t="s">
        <v>1009</v>
      </c>
      <c r="C88" t="s">
        <v>565</v>
      </c>
      <c r="D88" t="s">
        <v>415</v>
      </c>
      <c r="E88" s="1">
        <v>1</v>
      </c>
      <c r="F88" s="213">
        <v>52580.930000000008</v>
      </c>
    </row>
    <row r="89" spans="2:6" x14ac:dyDescent="0.3">
      <c r="B89" t="s">
        <v>1158</v>
      </c>
      <c r="C89" t="s">
        <v>565</v>
      </c>
      <c r="D89" t="s">
        <v>1017</v>
      </c>
      <c r="E89" s="1">
        <v>1</v>
      </c>
      <c r="F89" s="213">
        <v>10104.65</v>
      </c>
    </row>
    <row r="90" spans="2:6" x14ac:dyDescent="0.3">
      <c r="B90" t="s">
        <v>1158</v>
      </c>
      <c r="C90" t="s">
        <v>565</v>
      </c>
      <c r="D90" t="s">
        <v>1017</v>
      </c>
      <c r="E90" s="1">
        <v>1</v>
      </c>
      <c r="F90" s="213">
        <v>4427.2800000000007</v>
      </c>
    </row>
    <row r="91" spans="2:6" x14ac:dyDescent="0.3">
      <c r="B91" t="s">
        <v>1159</v>
      </c>
      <c r="C91" t="s">
        <v>565</v>
      </c>
      <c r="D91" t="s">
        <v>1020</v>
      </c>
      <c r="E91" s="1">
        <v>1</v>
      </c>
      <c r="F91" s="213">
        <v>13124.31</v>
      </c>
    </row>
    <row r="92" spans="2:6" x14ac:dyDescent="0.3">
      <c r="B92" t="s">
        <v>1159</v>
      </c>
      <c r="C92" t="s">
        <v>565</v>
      </c>
      <c r="D92" t="s">
        <v>1020</v>
      </c>
      <c r="E92" s="1">
        <v>1</v>
      </c>
      <c r="F92" s="213">
        <v>5827.8799999999983</v>
      </c>
    </row>
    <row r="93" spans="2:6" x14ac:dyDescent="0.3">
      <c r="B93" t="s">
        <v>1203</v>
      </c>
      <c r="C93" t="s">
        <v>565</v>
      </c>
      <c r="D93" t="s">
        <v>225</v>
      </c>
      <c r="E93" s="1">
        <v>1</v>
      </c>
      <c r="F93" s="213">
        <v>43261.99</v>
      </c>
    </row>
    <row r="94" spans="2:6" x14ac:dyDescent="0.3">
      <c r="B94" t="s">
        <v>1170</v>
      </c>
      <c r="C94" t="s">
        <v>565</v>
      </c>
      <c r="D94" t="s">
        <v>214</v>
      </c>
      <c r="E94" s="1">
        <v>1</v>
      </c>
      <c r="F94" s="213">
        <v>21970.160000000003</v>
      </c>
    </row>
    <row r="95" spans="2:6" x14ac:dyDescent="0.3">
      <c r="B95" t="s">
        <v>1220</v>
      </c>
      <c r="C95" t="s">
        <v>565</v>
      </c>
      <c r="D95" t="s">
        <v>1217</v>
      </c>
      <c r="E95" s="1">
        <v>1</v>
      </c>
      <c r="F95" s="213">
        <v>19005.650000000001</v>
      </c>
    </row>
    <row r="96" spans="2:6" x14ac:dyDescent="0.3">
      <c r="B96" t="s">
        <v>1221</v>
      </c>
      <c r="C96" t="s">
        <v>565</v>
      </c>
      <c r="D96" t="s">
        <v>210</v>
      </c>
      <c r="E96" s="1">
        <v>1</v>
      </c>
      <c r="F96" s="213">
        <v>11373.300000000003</v>
      </c>
    </row>
    <row r="97" spans="2:7" x14ac:dyDescent="0.3">
      <c r="B97" t="s">
        <v>1291</v>
      </c>
      <c r="C97" t="s">
        <v>565</v>
      </c>
      <c r="D97" t="s">
        <v>225</v>
      </c>
      <c r="E97" s="1">
        <v>2</v>
      </c>
      <c r="F97" s="213">
        <v>86523.98</v>
      </c>
    </row>
    <row r="98" spans="2:7" x14ac:dyDescent="0.3">
      <c r="B98" t="s">
        <v>1294</v>
      </c>
      <c r="C98" t="s">
        <v>565</v>
      </c>
      <c r="D98" t="s">
        <v>415</v>
      </c>
      <c r="E98" s="1">
        <v>2</v>
      </c>
      <c r="F98" s="213">
        <v>105161.86000000002</v>
      </c>
    </row>
    <row r="99" spans="2:7" x14ac:dyDescent="0.3">
      <c r="B99" s="281" t="s">
        <v>1293</v>
      </c>
      <c r="C99" s="281" t="s">
        <v>565</v>
      </c>
      <c r="D99" s="281" t="s">
        <v>864</v>
      </c>
      <c r="E99" s="282">
        <v>2</v>
      </c>
      <c r="F99" s="283">
        <v>120371.00656371958</v>
      </c>
    </row>
    <row r="100" spans="2:7" x14ac:dyDescent="0.3">
      <c r="F100" s="284">
        <f>SUM(F56:F99)</f>
        <v>1992730.9283274387</v>
      </c>
      <c r="G100" s="154" t="s">
        <v>401</v>
      </c>
    </row>
    <row r="105" spans="2:7" x14ac:dyDescent="0.3">
      <c r="C105" s="154" t="s">
        <v>1322</v>
      </c>
    </row>
    <row r="106" spans="2:7" x14ac:dyDescent="0.3">
      <c r="C106" t="s">
        <v>987</v>
      </c>
      <c r="F106" s="213">
        <v>268007.36625487835</v>
      </c>
    </row>
    <row r="107" spans="2:7" x14ac:dyDescent="0.3">
      <c r="C107" t="s">
        <v>117</v>
      </c>
      <c r="F107" s="213">
        <v>189231.52999999994</v>
      </c>
    </row>
    <row r="108" spans="2:7" x14ac:dyDescent="0.3">
      <c r="C108" t="s">
        <v>229</v>
      </c>
      <c r="F108" s="213">
        <v>155984.84</v>
      </c>
    </row>
    <row r="109" spans="2:7" x14ac:dyDescent="0.3">
      <c r="C109" t="s">
        <v>289</v>
      </c>
      <c r="F109" s="213">
        <v>285981.33999999991</v>
      </c>
    </row>
    <row r="110" spans="2:7" x14ac:dyDescent="0.3">
      <c r="C110" t="s">
        <v>362</v>
      </c>
      <c r="F110" s="213">
        <v>174798.16000000003</v>
      </c>
    </row>
    <row r="111" spans="2:7" x14ac:dyDescent="0.3">
      <c r="C111" t="s">
        <v>423</v>
      </c>
      <c r="F111" s="213">
        <v>313247.53999999998</v>
      </c>
    </row>
    <row r="112" spans="2:7" x14ac:dyDescent="0.3">
      <c r="C112" t="s">
        <v>648</v>
      </c>
      <c r="F112" s="213">
        <v>397430.23000000004</v>
      </c>
    </row>
    <row r="113" spans="3:7" x14ac:dyDescent="0.3">
      <c r="C113" t="s">
        <v>980</v>
      </c>
      <c r="F113" s="213">
        <v>197176.7794949495</v>
      </c>
    </row>
    <row r="114" spans="3:7" x14ac:dyDescent="0.3">
      <c r="C114" t="s">
        <v>1283</v>
      </c>
      <c r="F114" s="213">
        <v>338892.27</v>
      </c>
    </row>
    <row r="115" spans="3:7" x14ac:dyDescent="0.3">
      <c r="F115" s="284">
        <v>2320750.0557498275</v>
      </c>
      <c r="G115" s="154" t="s">
        <v>401</v>
      </c>
    </row>
    <row r="117" spans="3:7" x14ac:dyDescent="0.3">
      <c r="F117" s="285">
        <f>F115-F100</f>
        <v>328019.12742238888</v>
      </c>
      <c r="G117" s="154" t="s">
        <v>401</v>
      </c>
    </row>
  </sheetData>
  <mergeCells count="1">
    <mergeCell ref="B6:E6"/>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89254B-75FD-4A02-B733-0C2B66D0F611}">
  <sheetPr codeName="Sheet7"/>
  <dimension ref="A1:E8"/>
  <sheetViews>
    <sheetView workbookViewId="0">
      <selection activeCell="C12" sqref="C12"/>
    </sheetView>
  </sheetViews>
  <sheetFormatPr defaultRowHeight="14.4" x14ac:dyDescent="0.3"/>
  <cols>
    <col min="1" max="1" width="9.6640625" customWidth="1"/>
    <col min="2" max="2" width="18" bestFit="1" customWidth="1"/>
    <col min="3" max="3" width="20.44140625" bestFit="1" customWidth="1"/>
    <col min="4" max="4" width="16.21875" customWidth="1"/>
    <col min="5" max="5" width="61.44140625" bestFit="1" customWidth="1"/>
  </cols>
  <sheetData>
    <row r="1" spans="1:5" x14ac:dyDescent="0.3">
      <c r="A1" s="12" t="s">
        <v>27</v>
      </c>
      <c r="B1" s="12" t="s">
        <v>11</v>
      </c>
      <c r="C1" s="12" t="s">
        <v>12</v>
      </c>
      <c r="D1" s="12" t="s">
        <v>40</v>
      </c>
      <c r="E1" s="12" t="s">
        <v>36</v>
      </c>
    </row>
    <row r="2" spans="1:5" x14ac:dyDescent="0.3">
      <c r="A2" t="s">
        <v>19</v>
      </c>
      <c r="B2" t="str">
        <f>IFERROR(VLOOKUP(A2,'DATA MASTER'!A:O,2,0)," ")</f>
        <v>Girder</v>
      </c>
      <c r="C2" t="str">
        <f>IFERROR(VLOOKUP(A2,'DATA MASTER'!A:V,4,0)," ")</f>
        <v>AG20</v>
      </c>
      <c r="D2" s="9">
        <v>44945</v>
      </c>
      <c r="E2" t="s">
        <v>41</v>
      </c>
    </row>
    <row r="3" spans="1:5" x14ac:dyDescent="0.3">
      <c r="A3" t="s">
        <v>17</v>
      </c>
      <c r="B3" t="str">
        <f>IFERROR(VLOOKUP(A3,'DATA MASTER'!A:O,2,0)," ")</f>
        <v>Panel Bailey</v>
      </c>
      <c r="C3" t="str">
        <f>IFERROR(VLOOKUP(A3,'DATA MASTER'!A:V,4,0)," ")</f>
        <v>33M DSR2 - SS400</v>
      </c>
      <c r="D3" s="9">
        <v>44957</v>
      </c>
      <c r="E3" t="s">
        <v>100</v>
      </c>
    </row>
    <row r="4" spans="1:5" x14ac:dyDescent="0.3">
      <c r="A4" t="s">
        <v>67</v>
      </c>
      <c r="B4" t="str">
        <f>IFERROR(VLOOKUP(A4,'DATA MASTER'!A:O,2,0)," ")</f>
        <v>Jembatan Gantung</v>
      </c>
      <c r="C4" t="str">
        <f>IFERROR(VLOOKUP(A4,'DATA MASTER'!A:V,4,0)," ")</f>
        <v>JG105 - PIPA</v>
      </c>
      <c r="D4" s="9">
        <v>44963</v>
      </c>
      <c r="E4" t="s">
        <v>121</v>
      </c>
    </row>
    <row r="5" spans="1:5" x14ac:dyDescent="0.3">
      <c r="A5" t="s">
        <v>128</v>
      </c>
      <c r="B5" t="str">
        <f>IFERROR(VLOOKUP(A5,'DATA MASTER'!A:O,2,0)," ")</f>
        <v>Panel Bailey</v>
      </c>
      <c r="C5" t="str">
        <f>IFERROR(VLOOKUP(A5,'DATA MASTER'!A:V,4,0)," ")</f>
        <v>KOMPONEN BAILEY</v>
      </c>
      <c r="D5" s="9">
        <v>44962</v>
      </c>
      <c r="E5" t="s">
        <v>148</v>
      </c>
    </row>
    <row r="6" spans="1:5" x14ac:dyDescent="0.3">
      <c r="A6" t="s">
        <v>67</v>
      </c>
      <c r="B6" t="str">
        <f>IFERROR(VLOOKUP(A6,'DATA MASTER'!A:O,2,0)," ")</f>
        <v>Jembatan Gantung</v>
      </c>
      <c r="C6" t="str">
        <f>IFERROR(VLOOKUP(A6,'DATA MASTER'!A:V,4,0)," ")</f>
        <v>JG105 - PIPA</v>
      </c>
      <c r="D6" s="9">
        <v>44967</v>
      </c>
      <c r="E6" t="s">
        <v>194</v>
      </c>
    </row>
    <row r="7" spans="1:5" x14ac:dyDescent="0.3">
      <c r="A7" t="s">
        <v>67</v>
      </c>
      <c r="B7" t="str">
        <f>IFERROR(VLOOKUP(A7,'DATA MASTER'!A:O,2,0)," ")</f>
        <v>Jembatan Gantung</v>
      </c>
      <c r="C7" t="str">
        <f>IFERROR(VLOOKUP(A7,'DATA MASTER'!A:V,4,0)," ")</f>
        <v>JG105 - PIPA</v>
      </c>
      <c r="D7" s="9">
        <v>44970</v>
      </c>
      <c r="E7" t="s">
        <v>221</v>
      </c>
    </row>
    <row r="8" spans="1:5" x14ac:dyDescent="0.3">
      <c r="B8" t="str">
        <f>IFERROR(VLOOKUP(A8,'DATA MASTER'!A:O,2,0)," ")</f>
        <v xml:space="preserve"> </v>
      </c>
      <c r="C8" t="str">
        <f>IFERROR(VLOOKUP(A8,'DATA MASTER'!A:V,4,0)," ")</f>
        <v xml:space="preserve"> </v>
      </c>
    </row>
  </sheetData>
  <pageMargins left="0.7" right="0.7" top="0.75" bottom="0.75" header="0.3" footer="0.3"/>
  <pageSetup orientation="portrait" r:id="rId1"/>
  <tableParts count="1">
    <tablePart r:id="rId2"/>
  </tableParts>
  <extLst>
    <ext xmlns:x14="http://schemas.microsoft.com/office/spreadsheetml/2009/9/main" uri="{CCE6A557-97BC-4b89-ADB6-D9C93CAAB3DF}">
      <x14:dataValidations xmlns:xm="http://schemas.microsoft.com/office/excel/2006/main" count="1">
        <x14:dataValidation type="list" allowBlank="1" showInputMessage="1" showErrorMessage="1" xr:uid="{B268D33E-AB57-43A1-B6BE-879264375FB4}">
          <x14:formula1>
            <xm:f>'DATA MASTER'!$A:$A</xm:f>
          </x14:formula1>
          <xm:sqref>A1:A1048576</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AB36DB-69E0-45A0-9F74-109FE7AC4CFD}">
  <sheetPr codeName="Sheet8"/>
  <dimension ref="A1:Q468"/>
  <sheetViews>
    <sheetView showGridLines="0" zoomScaleNormal="100" workbookViewId="0">
      <pane xSplit="1" ySplit="1" topLeftCell="H448" activePane="bottomRight" state="frozen"/>
      <selection pane="topRight" activeCell="B1" sqref="B1"/>
      <selection pane="bottomLeft" activeCell="A2" sqref="A2"/>
      <selection pane="bottomRight" activeCell="L466" sqref="L466"/>
    </sheetView>
  </sheetViews>
  <sheetFormatPr defaultRowHeight="14.4" x14ac:dyDescent="0.3"/>
  <cols>
    <col min="1" max="1" width="9.6640625" customWidth="1"/>
    <col min="2" max="2" width="20.44140625" bestFit="1" customWidth="1"/>
    <col min="3" max="3" width="21.5546875" bestFit="1" customWidth="1"/>
    <col min="4" max="5" width="14.33203125" customWidth="1"/>
    <col min="6" max="6" width="19.109375" bestFit="1" customWidth="1"/>
    <col min="7" max="7" width="21.5546875" bestFit="1" customWidth="1"/>
    <col min="8" max="8" width="20.6640625" bestFit="1" customWidth="1"/>
    <col min="9" max="9" width="12.33203125" style="1" bestFit="1" customWidth="1"/>
    <col min="10" max="10" width="9.44140625" customWidth="1"/>
    <col min="11" max="11" width="13.5546875" bestFit="1" customWidth="1"/>
    <col min="12" max="13" width="12.77734375" customWidth="1"/>
    <col min="14" max="14" width="17" customWidth="1"/>
    <col min="15" max="15" width="25.88671875" style="24" customWidth="1"/>
    <col min="16" max="16" width="22.109375" style="1" bestFit="1" customWidth="1"/>
    <col min="17" max="17" width="59.44140625" bestFit="1" customWidth="1"/>
  </cols>
  <sheetData>
    <row r="1" spans="1:16" ht="43.2" x14ac:dyDescent="0.3">
      <c r="A1" s="12" t="s">
        <v>27</v>
      </c>
      <c r="B1" s="12" t="s">
        <v>11</v>
      </c>
      <c r="C1" s="13" t="s">
        <v>12</v>
      </c>
      <c r="D1" s="13" t="s">
        <v>29</v>
      </c>
      <c r="E1" s="13" t="s">
        <v>219</v>
      </c>
      <c r="F1" s="12" t="s">
        <v>42</v>
      </c>
      <c r="G1" s="13" t="s">
        <v>45</v>
      </c>
      <c r="H1" s="13" t="s">
        <v>50</v>
      </c>
      <c r="I1" s="13" t="s">
        <v>902</v>
      </c>
      <c r="J1" s="13" t="s">
        <v>227</v>
      </c>
      <c r="K1" s="13" t="s">
        <v>48</v>
      </c>
      <c r="L1" s="13" t="s">
        <v>293</v>
      </c>
      <c r="M1" s="13" t="s">
        <v>892</v>
      </c>
      <c r="N1" s="13" t="s">
        <v>893</v>
      </c>
      <c r="O1" s="14" t="s">
        <v>98</v>
      </c>
      <c r="P1" s="12" t="s">
        <v>363</v>
      </c>
    </row>
    <row r="2" spans="1:16" x14ac:dyDescent="0.3">
      <c r="A2" t="s">
        <v>987</v>
      </c>
      <c r="B2" t="str">
        <f>IFERROR(VLOOKUP(A2,'DATA MASTER'!A:O,2,0)," ")</f>
        <v>Panel Bailey STOCK</v>
      </c>
      <c r="C2" s="19" t="str">
        <f>IFERROR(VLOOKUP(A2,'DATA MASTER'!A:O,4,0)," ")</f>
        <v>KOMPONEN BAILEY</v>
      </c>
      <c r="D2" s="1"/>
      <c r="E2" s="1"/>
      <c r="F2" s="20" t="s">
        <v>101</v>
      </c>
      <c r="G2" s="20" t="s">
        <v>102</v>
      </c>
      <c r="H2" s="20" t="s">
        <v>143</v>
      </c>
      <c r="J2" s="1">
        <v>1764</v>
      </c>
      <c r="K2" s="44">
        <v>3.1</v>
      </c>
      <c r="L2" s="16">
        <f>AKSESORIS[[#This Row],[Total 
(pcs)]]*AKSESORIS[[#This Row],[Berat/pcs
(Kg)]]</f>
        <v>5468.4000000000005</v>
      </c>
      <c r="M2" s="44">
        <f>SUMIF(DATA_MASTER[NO. PON],AKSESORIS[[#This Row],[No.PON]],DATA_MASTER[Qty
(Unit)])</f>
        <v>1</v>
      </c>
      <c r="N2" s="10">
        <f>AKSESORIS[[#This Row],[Total 
(pcs)]]*AKSESORIS[[#This Row],[UNIT]]</f>
        <v>1764</v>
      </c>
      <c r="O2" s="9"/>
    </row>
    <row r="3" spans="1:16" x14ac:dyDescent="0.3">
      <c r="A3" t="s">
        <v>300</v>
      </c>
      <c r="B3" t="str">
        <f>IFERROR(VLOOKUP(A3,'DATA MASTER'!A:O,2,0)," ")</f>
        <v>PIPE RACK</v>
      </c>
      <c r="C3" s="19" t="str">
        <f>IFERROR(VLOOKUP(A3,'DATA MASTER'!A:O,4,0)," ")</f>
        <v>PIPE RACK</v>
      </c>
      <c r="D3" s="1"/>
      <c r="E3" s="1"/>
      <c r="F3" s="20" t="s">
        <v>904</v>
      </c>
      <c r="G3" s="20" t="s">
        <v>303</v>
      </c>
      <c r="H3" s="20" t="s">
        <v>302</v>
      </c>
      <c r="I3" s="1">
        <v>300</v>
      </c>
      <c r="J3" s="1">
        <v>168</v>
      </c>
      <c r="K3" s="10">
        <v>0.85</v>
      </c>
      <c r="L3" s="10">
        <f>AKSESORIS[[#This Row],[Total 
(pcs)]]*AKSESORIS[[#This Row],[Berat/pcs
(Kg)]]</f>
        <v>142.79999999999998</v>
      </c>
      <c r="M3" s="44">
        <f>SUMIF(DATA_MASTER[NO. PON],AKSESORIS[[#This Row],[No.PON]],DATA_MASTER[Qty
(Unit)])</f>
        <v>1</v>
      </c>
      <c r="N3" s="10">
        <f>AKSESORIS[[#This Row],[Total 
(pcs)]]*AKSESORIS[[#This Row],[UNIT]]</f>
        <v>168</v>
      </c>
      <c r="O3" s="9"/>
      <c r="P3"/>
    </row>
    <row r="4" spans="1:16" x14ac:dyDescent="0.3">
      <c r="A4" t="s">
        <v>67</v>
      </c>
      <c r="B4" t="str">
        <f>IFERROR(VLOOKUP(A4,'DATA MASTER'!A:O,2,0)," ")</f>
        <v>Jembatan Gantung</v>
      </c>
      <c r="C4" s="19" t="str">
        <f>IFERROR(VLOOKUP(A4,'DATA MASTER'!A:O,4,0)," ")</f>
        <v>JG105 - PIPA</v>
      </c>
      <c r="D4" s="1" t="s">
        <v>168</v>
      </c>
      <c r="E4" s="1"/>
      <c r="F4" s="20" t="s">
        <v>188</v>
      </c>
      <c r="G4" s="20" t="s">
        <v>170</v>
      </c>
      <c r="H4" s="20" t="s">
        <v>178</v>
      </c>
      <c r="J4" s="1">
        <v>246</v>
      </c>
      <c r="K4" s="10">
        <v>0.03</v>
      </c>
      <c r="L4" s="10">
        <f>AKSESORIS[[#This Row],[Total 
(pcs)]]*AKSESORIS[[#This Row],[Berat/pcs
(Kg)]]</f>
        <v>7.38</v>
      </c>
      <c r="M4" s="44">
        <f>SUMIF(DATA_MASTER[NO. PON],AKSESORIS[[#This Row],[No.PON]],DATA_MASTER[Qty
(Unit)])</f>
        <v>1</v>
      </c>
      <c r="N4" s="10">
        <f>AKSESORIS[[#This Row],[Total 
(pcs)]]*AKSESORIS[[#This Row],[UNIT]]</f>
        <v>246</v>
      </c>
      <c r="O4" s="9"/>
      <c r="P4"/>
    </row>
    <row r="5" spans="1:16" x14ac:dyDescent="0.3">
      <c r="A5" t="s">
        <v>67</v>
      </c>
      <c r="B5" t="str">
        <f>IFERROR(VLOOKUP(A5,'DATA MASTER'!A:O,2,0)," ")</f>
        <v>Jembatan Gantung</v>
      </c>
      <c r="C5" s="19" t="str">
        <f>IFERROR(VLOOKUP(A5,'DATA MASTER'!A:O,4,0)," ")</f>
        <v>JG105 - PIPA</v>
      </c>
      <c r="D5" s="1" t="s">
        <v>168</v>
      </c>
      <c r="E5" s="1"/>
      <c r="F5" s="20" t="s">
        <v>101</v>
      </c>
      <c r="G5" s="20" t="s">
        <v>153</v>
      </c>
      <c r="H5" s="20" t="s">
        <v>179</v>
      </c>
      <c r="J5" s="1">
        <v>4</v>
      </c>
      <c r="K5" s="10">
        <v>3.82</v>
      </c>
      <c r="L5" s="10">
        <f>AKSESORIS[[#This Row],[Total 
(pcs)]]*AKSESORIS[[#This Row],[Berat/pcs
(Kg)]]</f>
        <v>15.28</v>
      </c>
      <c r="M5" s="44">
        <f>SUMIF(DATA_MASTER[NO. PON],AKSESORIS[[#This Row],[No.PON]],DATA_MASTER[Qty
(Unit)])</f>
        <v>1</v>
      </c>
      <c r="N5" s="10">
        <f>AKSESORIS[[#This Row],[Total 
(pcs)]]*AKSESORIS[[#This Row],[UNIT]]</f>
        <v>4</v>
      </c>
      <c r="O5" s="9"/>
      <c r="P5"/>
    </row>
    <row r="6" spans="1:16" x14ac:dyDescent="0.3">
      <c r="A6" t="s">
        <v>67</v>
      </c>
      <c r="B6" t="str">
        <f>IFERROR(VLOOKUP(A6,'DATA MASTER'!A:O,2,0)," ")</f>
        <v>Jembatan Gantung</v>
      </c>
      <c r="C6" s="19" t="str">
        <f>IFERROR(VLOOKUP(A6,'DATA MASTER'!A:O,4,0)," ")</f>
        <v>JG105 - PIPA</v>
      </c>
      <c r="D6" s="1" t="s">
        <v>168</v>
      </c>
      <c r="E6" s="1"/>
      <c r="F6" s="20" t="s">
        <v>101</v>
      </c>
      <c r="G6" s="20" t="s">
        <v>154</v>
      </c>
      <c r="H6" s="20" t="s">
        <v>180</v>
      </c>
      <c r="J6" s="1">
        <v>8</v>
      </c>
      <c r="K6" s="10">
        <v>0.97</v>
      </c>
      <c r="L6" s="10">
        <f>AKSESORIS[[#This Row],[Total 
(pcs)]]*AKSESORIS[[#This Row],[Berat/pcs
(Kg)]]</f>
        <v>7.76</v>
      </c>
      <c r="M6" s="44">
        <f>SUMIF(DATA_MASTER[NO. PON],AKSESORIS[[#This Row],[No.PON]],DATA_MASTER[Qty
(Unit)])</f>
        <v>1</v>
      </c>
      <c r="N6" s="10">
        <f>AKSESORIS[[#This Row],[Total 
(pcs)]]*AKSESORIS[[#This Row],[UNIT]]</f>
        <v>8</v>
      </c>
      <c r="O6" s="9"/>
      <c r="P6"/>
    </row>
    <row r="7" spans="1:16" x14ac:dyDescent="0.3">
      <c r="A7" t="s">
        <v>67</v>
      </c>
      <c r="B7" t="str">
        <f>IFERROR(VLOOKUP(A7,'DATA MASTER'!A:O,2,0)," ")</f>
        <v>Jembatan Gantung</v>
      </c>
      <c r="C7" s="19" t="str">
        <f>IFERROR(VLOOKUP(A7,'DATA MASTER'!A:O,4,0)," ")</f>
        <v>JG105 - PIPA</v>
      </c>
      <c r="D7" s="1" t="s">
        <v>168</v>
      </c>
      <c r="E7" s="1"/>
      <c r="F7" s="20" t="s">
        <v>189</v>
      </c>
      <c r="G7" s="20" t="s">
        <v>171</v>
      </c>
      <c r="H7" s="20" t="s">
        <v>181</v>
      </c>
      <c r="J7" s="1">
        <v>82</v>
      </c>
      <c r="K7" s="10">
        <v>1.42</v>
      </c>
      <c r="L7" s="10">
        <f>AKSESORIS[[#This Row],[Total 
(pcs)]]*AKSESORIS[[#This Row],[Berat/pcs
(Kg)]]</f>
        <v>116.44</v>
      </c>
      <c r="M7" s="44">
        <f>SUMIF(DATA_MASTER[NO. PON],AKSESORIS[[#This Row],[No.PON]],DATA_MASTER[Qty
(Unit)])</f>
        <v>1</v>
      </c>
      <c r="N7" s="10">
        <f>AKSESORIS[[#This Row],[Total 
(pcs)]]*AKSESORIS[[#This Row],[UNIT]]</f>
        <v>82</v>
      </c>
      <c r="O7" s="9"/>
      <c r="P7"/>
    </row>
    <row r="8" spans="1:16" x14ac:dyDescent="0.3">
      <c r="A8" t="s">
        <v>67</v>
      </c>
      <c r="B8" t="str">
        <f>IFERROR(VLOOKUP(A8,'DATA MASTER'!A:O,2,0)," ")</f>
        <v>Jembatan Gantung</v>
      </c>
      <c r="C8" s="19" t="str">
        <f>IFERROR(VLOOKUP(A8,'DATA MASTER'!A:O,4,0)," ")</f>
        <v>JG105 - PIPA</v>
      </c>
      <c r="D8" s="1" t="s">
        <v>168</v>
      </c>
      <c r="E8" s="1"/>
      <c r="F8" s="20" t="s">
        <v>190</v>
      </c>
      <c r="G8" s="20" t="s">
        <v>172</v>
      </c>
      <c r="H8" s="20" t="s">
        <v>182</v>
      </c>
      <c r="J8" s="1">
        <v>8</v>
      </c>
      <c r="K8" s="10">
        <v>10.19</v>
      </c>
      <c r="L8" s="10">
        <f>AKSESORIS[[#This Row],[Total 
(pcs)]]*AKSESORIS[[#This Row],[Berat/pcs
(Kg)]]</f>
        <v>81.52</v>
      </c>
      <c r="M8" s="44">
        <f>SUMIF(DATA_MASTER[NO. PON],AKSESORIS[[#This Row],[No.PON]],DATA_MASTER[Qty
(Unit)])</f>
        <v>1</v>
      </c>
      <c r="N8" s="10">
        <f>AKSESORIS[[#This Row],[Total 
(pcs)]]*AKSESORIS[[#This Row],[UNIT]]</f>
        <v>8</v>
      </c>
      <c r="O8" s="9"/>
      <c r="P8"/>
    </row>
    <row r="9" spans="1:16" x14ac:dyDescent="0.3">
      <c r="A9" t="s">
        <v>67</v>
      </c>
      <c r="B9" t="str">
        <f>IFERROR(VLOOKUP(A9,'DATA MASTER'!A:O,2,0)," ")</f>
        <v>Jembatan Gantung</v>
      </c>
      <c r="C9" s="19" t="str">
        <f>IFERROR(VLOOKUP(A9,'DATA MASTER'!A:O,4,0)," ")</f>
        <v>JG105 - PIPA</v>
      </c>
      <c r="D9" s="1" t="s">
        <v>168</v>
      </c>
      <c r="E9" s="1"/>
      <c r="F9" s="20" t="s">
        <v>173</v>
      </c>
      <c r="G9" s="20" t="s">
        <v>173</v>
      </c>
      <c r="H9" s="20" t="s">
        <v>183</v>
      </c>
      <c r="J9" s="1">
        <v>164</v>
      </c>
      <c r="K9" s="10">
        <v>0.01</v>
      </c>
      <c r="L9" s="10">
        <f>AKSESORIS[[#This Row],[Total 
(pcs)]]*AKSESORIS[[#This Row],[Berat/pcs
(Kg)]]</f>
        <v>1.6400000000000001</v>
      </c>
      <c r="M9" s="44">
        <f>SUMIF(DATA_MASTER[NO. PON],AKSESORIS[[#This Row],[No.PON]],DATA_MASTER[Qty
(Unit)])</f>
        <v>1</v>
      </c>
      <c r="N9" s="10">
        <f>AKSESORIS[[#This Row],[Total 
(pcs)]]*AKSESORIS[[#This Row],[UNIT]]</f>
        <v>164</v>
      </c>
      <c r="O9" s="9"/>
      <c r="P9"/>
    </row>
    <row r="10" spans="1:16" x14ac:dyDescent="0.3">
      <c r="A10" t="s">
        <v>67</v>
      </c>
      <c r="B10" t="str">
        <f>IFERROR(VLOOKUP(A10,'DATA MASTER'!A:O,2,0)," ")</f>
        <v>Jembatan Gantung</v>
      </c>
      <c r="C10" s="19" t="str">
        <f>IFERROR(VLOOKUP(A10,'DATA MASTER'!A:O,4,0)," ")</f>
        <v>JG105 - PIPA</v>
      </c>
      <c r="D10" s="1" t="s">
        <v>168</v>
      </c>
      <c r="E10" s="1"/>
      <c r="F10" s="20" t="s">
        <v>192</v>
      </c>
      <c r="G10" s="20" t="s">
        <v>174</v>
      </c>
      <c r="H10" s="20" t="s">
        <v>184</v>
      </c>
      <c r="J10" s="1">
        <v>4</v>
      </c>
      <c r="K10" s="10">
        <v>2.2799999999999998</v>
      </c>
      <c r="L10" s="10">
        <f>AKSESORIS[[#This Row],[Total 
(pcs)]]*AKSESORIS[[#This Row],[Berat/pcs
(Kg)]]</f>
        <v>9.1199999999999992</v>
      </c>
      <c r="M10" s="44">
        <f>SUMIF(DATA_MASTER[NO. PON],AKSESORIS[[#This Row],[No.PON]],DATA_MASTER[Qty
(Unit)])</f>
        <v>1</v>
      </c>
      <c r="N10" s="10">
        <f>AKSESORIS[[#This Row],[Total 
(pcs)]]*AKSESORIS[[#This Row],[UNIT]]</f>
        <v>4</v>
      </c>
      <c r="O10" s="9"/>
      <c r="P10"/>
    </row>
    <row r="11" spans="1:16" x14ac:dyDescent="0.3">
      <c r="A11" t="s">
        <v>67</v>
      </c>
      <c r="B11" t="str">
        <f>IFERROR(VLOOKUP(A11,'DATA MASTER'!A:O,2,0)," ")</f>
        <v>Jembatan Gantung</v>
      </c>
      <c r="C11" s="19" t="str">
        <f>IFERROR(VLOOKUP(A11,'DATA MASTER'!A:O,4,0)," ")</f>
        <v>JG105 - PIPA</v>
      </c>
      <c r="D11" s="1" t="s">
        <v>168</v>
      </c>
      <c r="E11" s="1"/>
      <c r="F11" s="20" t="s">
        <v>192</v>
      </c>
      <c r="G11" s="20" t="s">
        <v>175</v>
      </c>
      <c r="H11" s="20" t="s">
        <v>185</v>
      </c>
      <c r="J11" s="1">
        <v>8</v>
      </c>
      <c r="K11" s="10">
        <v>2.88</v>
      </c>
      <c r="L11" s="10">
        <f>AKSESORIS[[#This Row],[Total 
(pcs)]]*AKSESORIS[[#This Row],[Berat/pcs
(Kg)]]</f>
        <v>23.04</v>
      </c>
      <c r="M11" s="44">
        <f>SUMIF(DATA_MASTER[NO. PON],AKSESORIS[[#This Row],[No.PON]],DATA_MASTER[Qty
(Unit)])</f>
        <v>1</v>
      </c>
      <c r="N11" s="10">
        <f>AKSESORIS[[#This Row],[Total 
(pcs)]]*AKSESORIS[[#This Row],[UNIT]]</f>
        <v>8</v>
      </c>
      <c r="O11" s="9"/>
      <c r="P11"/>
    </row>
    <row r="12" spans="1:16" x14ac:dyDescent="0.3">
      <c r="A12" t="s">
        <v>67</v>
      </c>
      <c r="B12" t="str">
        <f>IFERROR(VLOOKUP(A12,'DATA MASTER'!A:O,2,0)," ")</f>
        <v>Jembatan Gantung</v>
      </c>
      <c r="C12" s="19" t="str">
        <f>IFERROR(VLOOKUP(A12,'DATA MASTER'!A:O,4,0)," ")</f>
        <v>JG105 - PIPA</v>
      </c>
      <c r="D12" s="1" t="s">
        <v>168</v>
      </c>
      <c r="E12" s="1"/>
      <c r="F12" s="20" t="s">
        <v>191</v>
      </c>
      <c r="G12" s="20" t="s">
        <v>176</v>
      </c>
      <c r="H12" s="20" t="s">
        <v>186</v>
      </c>
      <c r="J12" s="1">
        <v>24</v>
      </c>
      <c r="K12" s="10">
        <v>0.33</v>
      </c>
      <c r="L12" s="10">
        <f>AKSESORIS[[#This Row],[Total 
(pcs)]]*AKSESORIS[[#This Row],[Berat/pcs
(Kg)]]</f>
        <v>7.92</v>
      </c>
      <c r="M12" s="44">
        <f>SUMIF(DATA_MASTER[NO. PON],AKSESORIS[[#This Row],[No.PON]],DATA_MASTER[Qty
(Unit)])</f>
        <v>1</v>
      </c>
      <c r="N12" s="10">
        <f>AKSESORIS[[#This Row],[Total 
(pcs)]]*AKSESORIS[[#This Row],[UNIT]]</f>
        <v>24</v>
      </c>
      <c r="O12" s="9"/>
      <c r="P12"/>
    </row>
    <row r="13" spans="1:16" x14ac:dyDescent="0.3">
      <c r="A13" t="s">
        <v>67</v>
      </c>
      <c r="B13" t="str">
        <f>IFERROR(VLOOKUP(A13,'DATA MASTER'!A:O,2,0)," ")</f>
        <v>Jembatan Gantung</v>
      </c>
      <c r="C13" s="19" t="str">
        <f>IFERROR(VLOOKUP(A13,'DATA MASTER'!A:O,4,0)," ")</f>
        <v>JG105 - PIPA</v>
      </c>
      <c r="D13" s="1" t="s">
        <v>168</v>
      </c>
      <c r="E13" s="1"/>
      <c r="F13" s="20" t="s">
        <v>173</v>
      </c>
      <c r="G13" s="20" t="s">
        <v>177</v>
      </c>
      <c r="H13" s="20" t="s">
        <v>187</v>
      </c>
      <c r="J13" s="1">
        <v>2</v>
      </c>
      <c r="K13" s="10">
        <v>2.5000000000000001E-2</v>
      </c>
      <c r="L13" s="10">
        <f>AKSESORIS[[#This Row],[Total 
(pcs)]]*AKSESORIS[[#This Row],[Berat/pcs
(Kg)]]</f>
        <v>0.05</v>
      </c>
      <c r="M13" s="44">
        <f>SUMIF(DATA_MASTER[NO. PON],AKSESORIS[[#This Row],[No.PON]],DATA_MASTER[Qty
(Unit)])</f>
        <v>1</v>
      </c>
      <c r="N13" s="10">
        <f>AKSESORIS[[#This Row],[Total 
(pcs)]]*AKSESORIS[[#This Row],[UNIT]]</f>
        <v>2</v>
      </c>
      <c r="O13" s="9"/>
      <c r="P13"/>
    </row>
    <row r="14" spans="1:16" x14ac:dyDescent="0.3">
      <c r="A14" t="s">
        <v>67</v>
      </c>
      <c r="B14" t="str">
        <f>IFERROR(VLOOKUP(A14,'DATA MASTER'!A:O,2,0)," ")</f>
        <v>Jembatan Gantung</v>
      </c>
      <c r="C14" s="19" t="str">
        <f>IFERROR(VLOOKUP(A14,'DATA MASTER'!A:O,4,0)," ")</f>
        <v>JG105 - PIPA</v>
      </c>
      <c r="D14" s="1" t="s">
        <v>195</v>
      </c>
      <c r="E14" s="1"/>
      <c r="F14" s="20" t="s">
        <v>196</v>
      </c>
      <c r="G14" s="20" t="s">
        <v>197</v>
      </c>
      <c r="H14" s="20" t="s">
        <v>198</v>
      </c>
      <c r="J14" s="1">
        <v>82</v>
      </c>
      <c r="K14" s="10">
        <v>0.44</v>
      </c>
      <c r="L14" s="10">
        <f>AKSESORIS[[#This Row],[Total 
(pcs)]]*AKSESORIS[[#This Row],[Berat/pcs
(Kg)]]</f>
        <v>36.08</v>
      </c>
      <c r="M14" s="44">
        <f>SUMIF(DATA_MASTER[NO. PON],AKSESORIS[[#This Row],[No.PON]],DATA_MASTER[Qty
(Unit)])</f>
        <v>1</v>
      </c>
      <c r="N14" s="10">
        <f>AKSESORIS[[#This Row],[Total 
(pcs)]]*AKSESORIS[[#This Row],[UNIT]]</f>
        <v>82</v>
      </c>
      <c r="O14" s="9"/>
      <c r="P14"/>
    </row>
    <row r="15" spans="1:16" x14ac:dyDescent="0.3">
      <c r="A15" t="s">
        <v>10</v>
      </c>
      <c r="B15" t="str">
        <f>IFERROR(VLOOKUP(A15,'DATA MASTER'!A:O,2,0)," ")</f>
        <v>Girder</v>
      </c>
      <c r="C15" s="19" t="str">
        <f>IFERROR(VLOOKUP(A15,'DATA MASTER'!A:O,4,0)," ")</f>
        <v>AG30</v>
      </c>
      <c r="D15" s="1" t="s">
        <v>169</v>
      </c>
      <c r="E15" s="1"/>
      <c r="F15" s="20" t="s">
        <v>44</v>
      </c>
      <c r="G15" s="20" t="s">
        <v>46</v>
      </c>
      <c r="H15" s="20" t="s">
        <v>51</v>
      </c>
      <c r="J15" s="1">
        <v>12</v>
      </c>
      <c r="K15" s="10">
        <v>15.911322</v>
      </c>
      <c r="L15" s="10">
        <f>AKSESORIS[[#This Row],[Total 
(pcs)]]*AKSESORIS[[#This Row],[Berat/pcs
(Kg)]]</f>
        <v>190.93586400000001</v>
      </c>
      <c r="M15" s="44">
        <f>SUMIF(DATA_MASTER[NO. PON],AKSESORIS[[#This Row],[No.PON]],DATA_MASTER[Qty
(Unit)])</f>
        <v>1</v>
      </c>
      <c r="N15" s="10">
        <f>AKSESORIS[[#This Row],[Total 
(pcs)]]*AKSESORIS[[#This Row],[UNIT]]</f>
        <v>12</v>
      </c>
      <c r="O15" s="9"/>
      <c r="P15"/>
    </row>
    <row r="16" spans="1:16" x14ac:dyDescent="0.3">
      <c r="A16" t="s">
        <v>10</v>
      </c>
      <c r="B16" t="str">
        <f>IFERROR(VLOOKUP(A16,'DATA MASTER'!A:O,2,0)," ")</f>
        <v>Girder</v>
      </c>
      <c r="C16" s="19" t="str">
        <f>IFERROR(VLOOKUP(A16,'DATA MASTER'!A:O,4,0)," ")</f>
        <v>AG30</v>
      </c>
      <c r="D16" s="1" t="s">
        <v>169</v>
      </c>
      <c r="E16" s="1"/>
      <c r="F16" s="20" t="s">
        <v>44</v>
      </c>
      <c r="G16" s="20" t="s">
        <v>49</v>
      </c>
      <c r="H16" s="20" t="s">
        <v>52</v>
      </c>
      <c r="J16" s="1">
        <v>4</v>
      </c>
      <c r="K16" s="10">
        <v>3.920528</v>
      </c>
      <c r="L16" s="10">
        <f>AKSESORIS[[#This Row],[Total 
(pcs)]]*AKSESORIS[[#This Row],[Berat/pcs
(Kg)]]</f>
        <v>15.682112</v>
      </c>
      <c r="M16" s="44">
        <f>SUMIF(DATA_MASTER[NO. PON],AKSESORIS[[#This Row],[No.PON]],DATA_MASTER[Qty
(Unit)])</f>
        <v>1</v>
      </c>
      <c r="N16" s="10">
        <f>AKSESORIS[[#This Row],[Total 
(pcs)]]*AKSESORIS[[#This Row],[UNIT]]</f>
        <v>4</v>
      </c>
      <c r="O16" s="9"/>
      <c r="P16"/>
    </row>
    <row r="17" spans="1:16" x14ac:dyDescent="0.3">
      <c r="A17" t="s">
        <v>10</v>
      </c>
      <c r="B17" t="str">
        <f>IFERROR(VLOOKUP(A17,'DATA MASTER'!A:O,2,0)," ")</f>
        <v>Girder</v>
      </c>
      <c r="C17" s="19" t="str">
        <f>IFERROR(VLOOKUP(A17,'DATA MASTER'!A:O,4,0)," ")</f>
        <v>AG30</v>
      </c>
      <c r="D17" s="1"/>
      <c r="E17" s="1"/>
      <c r="F17" s="20" t="s">
        <v>904</v>
      </c>
      <c r="G17" s="20" t="s">
        <v>53</v>
      </c>
      <c r="H17" s="20" t="s">
        <v>53</v>
      </c>
      <c r="I17" s="1">
        <v>420</v>
      </c>
      <c r="J17" s="1">
        <v>24</v>
      </c>
      <c r="K17" s="10">
        <v>1.55</v>
      </c>
      <c r="L17" s="10">
        <f>AKSESORIS[[#This Row],[Total 
(pcs)]]*AKSESORIS[[#This Row],[Berat/pcs
(Kg)]]</f>
        <v>37.200000000000003</v>
      </c>
      <c r="M17" s="44">
        <f>SUMIF(DATA_MASTER[NO. PON],AKSESORIS[[#This Row],[No.PON]],DATA_MASTER[Qty
(Unit)])</f>
        <v>1</v>
      </c>
      <c r="N17" s="10">
        <f>AKSESORIS[[#This Row],[Total 
(pcs)]]*AKSESORIS[[#This Row],[UNIT]]</f>
        <v>24</v>
      </c>
      <c r="O17" s="9"/>
      <c r="P17"/>
    </row>
    <row r="18" spans="1:16" x14ac:dyDescent="0.3">
      <c r="A18" t="s">
        <v>10</v>
      </c>
      <c r="B18" t="str">
        <f>IFERROR(VLOOKUP(A18,'DATA MASTER'!A:O,2,0)," ")</f>
        <v>Girder</v>
      </c>
      <c r="C18" s="19" t="str">
        <f>IFERROR(VLOOKUP(A18,'DATA MASTER'!A:O,4,0)," ")</f>
        <v>AG30</v>
      </c>
      <c r="D18" s="1"/>
      <c r="E18" s="1"/>
      <c r="F18" s="20" t="s">
        <v>54</v>
      </c>
      <c r="G18" s="20" t="s">
        <v>55</v>
      </c>
      <c r="H18" s="20" t="s">
        <v>55</v>
      </c>
      <c r="I18" s="1">
        <v>185</v>
      </c>
      <c r="J18" s="1">
        <v>128</v>
      </c>
      <c r="K18" s="10">
        <v>0.21</v>
      </c>
      <c r="L18" s="10">
        <f>AKSESORIS[[#This Row],[Total 
(pcs)]]*AKSESORIS[[#This Row],[Berat/pcs
(Kg)]]</f>
        <v>26.88</v>
      </c>
      <c r="M18" s="44">
        <f>SUMIF(DATA_MASTER[NO. PON],AKSESORIS[[#This Row],[No.PON]],DATA_MASTER[Qty
(Unit)])</f>
        <v>1</v>
      </c>
      <c r="N18" s="10">
        <f>AKSESORIS[[#This Row],[Total 
(pcs)]]*AKSESORIS[[#This Row],[UNIT]]</f>
        <v>128</v>
      </c>
      <c r="O18" s="9"/>
      <c r="P18"/>
    </row>
    <row r="19" spans="1:16" x14ac:dyDescent="0.3">
      <c r="A19" t="s">
        <v>10</v>
      </c>
      <c r="B19" t="str">
        <f>IFERROR(VLOOKUP(A19,'DATA MASTER'!A:O,2,0)," ")</f>
        <v>Girder</v>
      </c>
      <c r="C19" s="19" t="str">
        <f>IFERROR(VLOOKUP(A19,'DATA MASTER'!A:O,4,0)," ")</f>
        <v>AG30</v>
      </c>
      <c r="D19" s="1"/>
      <c r="E19" s="1"/>
      <c r="F19" s="20" t="s">
        <v>56</v>
      </c>
      <c r="G19" s="20" t="s">
        <v>58</v>
      </c>
      <c r="H19" s="20" t="s">
        <v>57</v>
      </c>
      <c r="I19" s="1" t="s">
        <v>903</v>
      </c>
      <c r="J19" s="1">
        <v>128</v>
      </c>
      <c r="K19" s="10">
        <v>0.33</v>
      </c>
      <c r="L19" s="10">
        <f>AKSESORIS[[#This Row],[Total 
(pcs)]]*AKSESORIS[[#This Row],[Berat/pcs
(Kg)]]</f>
        <v>42.24</v>
      </c>
      <c r="M19" s="44">
        <f>SUMIF(DATA_MASTER[NO. PON],AKSESORIS[[#This Row],[No.PON]],DATA_MASTER[Qty
(Unit)])</f>
        <v>1</v>
      </c>
      <c r="N19" s="10">
        <f>AKSESORIS[[#This Row],[Total 
(pcs)]]*AKSESORIS[[#This Row],[UNIT]]</f>
        <v>128</v>
      </c>
      <c r="O19" s="9"/>
      <c r="P19"/>
    </row>
    <row r="20" spans="1:16" x14ac:dyDescent="0.3">
      <c r="A20" t="s">
        <v>17</v>
      </c>
      <c r="B20" t="str">
        <f>IFERROR(VLOOKUP(A20,'DATA MASTER'!A:O,2,0)," ")</f>
        <v>Panel Bailey</v>
      </c>
      <c r="C20" s="19" t="str">
        <f>IFERROR(VLOOKUP(A20,'DATA MASTER'!A:O,4,0)," ")</f>
        <v>33M DSR2 - SS400</v>
      </c>
      <c r="D20" s="1"/>
      <c r="E20" s="1"/>
      <c r="F20" s="20" t="s">
        <v>101</v>
      </c>
      <c r="G20" s="20" t="s">
        <v>102</v>
      </c>
      <c r="H20" s="20" t="s">
        <v>103</v>
      </c>
      <c r="I20" s="1">
        <v>213</v>
      </c>
      <c r="J20" s="1">
        <v>48</v>
      </c>
      <c r="K20" s="10">
        <v>4.7699999999999996</v>
      </c>
      <c r="L20" s="10">
        <f>AKSESORIS[[#This Row],[Total 
(pcs)]]*AKSESORIS[[#This Row],[Berat/pcs
(Kg)]]</f>
        <v>228.95999999999998</v>
      </c>
      <c r="M20" s="44">
        <f>SUMIF(DATA_MASTER[NO. PON],AKSESORIS[[#This Row],[No.PON]],DATA_MASTER[Qty
(Unit)])</f>
        <v>1</v>
      </c>
      <c r="N20" s="10">
        <f>AKSESORIS[[#This Row],[Total 
(pcs)]]*AKSESORIS[[#This Row],[UNIT]]</f>
        <v>48</v>
      </c>
      <c r="O20" s="9"/>
      <c r="P20"/>
    </row>
    <row r="21" spans="1:16" x14ac:dyDescent="0.3">
      <c r="A21" t="s">
        <v>17</v>
      </c>
      <c r="B21" t="str">
        <f>IFERROR(VLOOKUP(A21,'DATA MASTER'!A:O,2,0)," ")</f>
        <v>Panel Bailey</v>
      </c>
      <c r="C21" s="19" t="str">
        <f>IFERROR(VLOOKUP(A21,'DATA MASTER'!A:O,4,0)," ")</f>
        <v>33M DSR2 - SS400</v>
      </c>
      <c r="D21" s="1"/>
      <c r="E21" s="1"/>
      <c r="F21" s="20" t="s">
        <v>101</v>
      </c>
      <c r="G21" s="20" t="s">
        <v>105</v>
      </c>
      <c r="H21" s="20" t="s">
        <v>104</v>
      </c>
      <c r="J21" s="1">
        <v>4</v>
      </c>
      <c r="K21" s="10">
        <f>11.45+0.24</f>
        <v>11.69</v>
      </c>
      <c r="L21" s="10">
        <f>AKSESORIS[[#This Row],[Total 
(pcs)]]*AKSESORIS[[#This Row],[Berat/pcs
(Kg)]]</f>
        <v>46.76</v>
      </c>
      <c r="M21" s="44">
        <f>SUMIF(DATA_MASTER[NO. PON],AKSESORIS[[#This Row],[No.PON]],DATA_MASTER[Qty
(Unit)])</f>
        <v>1</v>
      </c>
      <c r="N21" s="10">
        <f>AKSESORIS[[#This Row],[Total 
(pcs)]]*AKSESORIS[[#This Row],[UNIT]]</f>
        <v>4</v>
      </c>
      <c r="O21" s="9"/>
      <c r="P21"/>
    </row>
    <row r="22" spans="1:16" x14ac:dyDescent="0.3">
      <c r="A22" t="s">
        <v>19</v>
      </c>
      <c r="B22" t="str">
        <f>IFERROR(VLOOKUP(A22,'DATA MASTER'!A:O,2,0)," ")</f>
        <v>Girder</v>
      </c>
      <c r="C22" s="19" t="str">
        <f>IFERROR(VLOOKUP(A22,'DATA MASTER'!A:O,4,0)," ")</f>
        <v>AG20</v>
      </c>
      <c r="D22" s="1" t="s">
        <v>169</v>
      </c>
      <c r="E22" s="1"/>
      <c r="F22" s="20" t="s">
        <v>44</v>
      </c>
      <c r="G22" s="20" t="s">
        <v>59</v>
      </c>
      <c r="H22" s="20" t="s">
        <v>60</v>
      </c>
      <c r="J22" s="1">
        <v>12</v>
      </c>
      <c r="K22" s="10">
        <v>14.9933</v>
      </c>
      <c r="L22" s="10">
        <f>AKSESORIS[[#This Row],[Total 
(pcs)]]*AKSESORIS[[#This Row],[Berat/pcs
(Kg)]]</f>
        <v>179.9196</v>
      </c>
      <c r="M22" s="44">
        <f>SUMIF(DATA_MASTER[NO. PON],AKSESORIS[[#This Row],[No.PON]],DATA_MASTER[Qty
(Unit)])</f>
        <v>1</v>
      </c>
      <c r="N22" s="10">
        <f>AKSESORIS[[#This Row],[Total 
(pcs)]]*AKSESORIS[[#This Row],[UNIT]]</f>
        <v>12</v>
      </c>
      <c r="O22" s="9"/>
      <c r="P22"/>
    </row>
    <row r="23" spans="1:16" x14ac:dyDescent="0.3">
      <c r="A23" t="s">
        <v>19</v>
      </c>
      <c r="B23" t="str">
        <f>IFERROR(VLOOKUP(A23,'DATA MASTER'!A:O,2,0)," ")</f>
        <v>Girder</v>
      </c>
      <c r="C23" s="19" t="str">
        <f>IFERROR(VLOOKUP(A23,'DATA MASTER'!A:O,4,0)," ")</f>
        <v>AG20</v>
      </c>
      <c r="D23" s="1" t="s">
        <v>169</v>
      </c>
      <c r="E23" s="1"/>
      <c r="F23" s="20" t="s">
        <v>44</v>
      </c>
      <c r="G23" s="20" t="s">
        <v>61</v>
      </c>
      <c r="H23" s="20" t="s">
        <v>62</v>
      </c>
      <c r="J23" s="1">
        <v>4</v>
      </c>
      <c r="K23" s="10">
        <v>3.438072</v>
      </c>
      <c r="L23" s="10">
        <f>AKSESORIS[[#This Row],[Total 
(pcs)]]*AKSESORIS[[#This Row],[Berat/pcs
(Kg)]]</f>
        <v>13.752288</v>
      </c>
      <c r="M23" s="44">
        <f>SUMIF(DATA_MASTER[NO. PON],AKSESORIS[[#This Row],[No.PON]],DATA_MASTER[Qty
(Unit)])</f>
        <v>1</v>
      </c>
      <c r="N23" s="10">
        <f>AKSESORIS[[#This Row],[Total 
(pcs)]]*AKSESORIS[[#This Row],[UNIT]]</f>
        <v>4</v>
      </c>
      <c r="O23" s="9"/>
      <c r="P23"/>
    </row>
    <row r="24" spans="1:16" x14ac:dyDescent="0.3">
      <c r="A24" t="s">
        <v>19</v>
      </c>
      <c r="B24" t="str">
        <f>IFERROR(VLOOKUP(A24,'DATA MASTER'!A:O,2,0)," ")</f>
        <v>Girder</v>
      </c>
      <c r="C24" s="19" t="str">
        <f>IFERROR(VLOOKUP(A24,'DATA MASTER'!A:O,4,0)," ")</f>
        <v>AG20</v>
      </c>
      <c r="D24" s="1"/>
      <c r="E24" s="1"/>
      <c r="F24" s="20" t="s">
        <v>904</v>
      </c>
      <c r="G24" s="20" t="s">
        <v>53</v>
      </c>
      <c r="H24" s="20" t="s">
        <v>53</v>
      </c>
      <c r="I24" s="1">
        <v>420</v>
      </c>
      <c r="J24" s="1">
        <v>24</v>
      </c>
      <c r="K24" s="10">
        <v>1.55</v>
      </c>
      <c r="L24" s="10">
        <f>AKSESORIS[[#This Row],[Total 
(pcs)]]*AKSESORIS[[#This Row],[Berat/pcs
(Kg)]]</f>
        <v>37.200000000000003</v>
      </c>
      <c r="M24" s="44">
        <f>SUMIF(DATA_MASTER[NO. PON],AKSESORIS[[#This Row],[No.PON]],DATA_MASTER[Qty
(Unit)])</f>
        <v>1</v>
      </c>
      <c r="N24" s="10">
        <f>AKSESORIS[[#This Row],[Total 
(pcs)]]*AKSESORIS[[#This Row],[UNIT]]</f>
        <v>24</v>
      </c>
      <c r="O24" s="9"/>
      <c r="P24"/>
    </row>
    <row r="25" spans="1:16" x14ac:dyDescent="0.3">
      <c r="A25" t="s">
        <v>19</v>
      </c>
      <c r="B25" t="str">
        <f>IFERROR(VLOOKUP(A25,'DATA MASTER'!A:O,2,0)," ")</f>
        <v>Girder</v>
      </c>
      <c r="C25" s="19" t="str">
        <f>IFERROR(VLOOKUP(A25,'DATA MASTER'!A:O,4,0)," ")</f>
        <v>AG20</v>
      </c>
      <c r="D25" s="1"/>
      <c r="E25" s="1"/>
      <c r="F25" s="20" t="s">
        <v>54</v>
      </c>
      <c r="G25" s="20" t="s">
        <v>55</v>
      </c>
      <c r="H25" s="20" t="s">
        <v>55</v>
      </c>
      <c r="I25" s="1">
        <v>185</v>
      </c>
      <c r="J25" s="1">
        <v>88</v>
      </c>
      <c r="K25" s="10">
        <v>0.21</v>
      </c>
      <c r="L25" s="10">
        <f>AKSESORIS[[#This Row],[Total 
(pcs)]]*AKSESORIS[[#This Row],[Berat/pcs
(Kg)]]</f>
        <v>18.48</v>
      </c>
      <c r="M25" s="44">
        <f>SUMIF(DATA_MASTER[NO. PON],AKSESORIS[[#This Row],[No.PON]],DATA_MASTER[Qty
(Unit)])</f>
        <v>1</v>
      </c>
      <c r="N25" s="10">
        <f>AKSESORIS[[#This Row],[Total 
(pcs)]]*AKSESORIS[[#This Row],[UNIT]]</f>
        <v>88</v>
      </c>
      <c r="O25" s="9"/>
      <c r="P25"/>
    </row>
    <row r="26" spans="1:16" x14ac:dyDescent="0.3">
      <c r="A26" t="s">
        <v>19</v>
      </c>
      <c r="B26" t="str">
        <f>IFERROR(VLOOKUP(A26,'DATA MASTER'!A:O,2,0)," ")</f>
        <v>Girder</v>
      </c>
      <c r="C26" s="19" t="str">
        <f>IFERROR(VLOOKUP(A26,'DATA MASTER'!A:O,4,0)," ")</f>
        <v>AG20</v>
      </c>
      <c r="D26" s="1"/>
      <c r="E26" s="1"/>
      <c r="F26" s="20" t="s">
        <v>56</v>
      </c>
      <c r="G26" s="20" t="s">
        <v>58</v>
      </c>
      <c r="H26" s="20" t="s">
        <v>57</v>
      </c>
      <c r="I26" s="1" t="s">
        <v>903</v>
      </c>
      <c r="J26" s="1">
        <v>88</v>
      </c>
      <c r="K26" s="10">
        <v>0.33</v>
      </c>
      <c r="L26" s="10">
        <f>AKSESORIS[[#This Row],[Total 
(pcs)]]*AKSESORIS[[#This Row],[Berat/pcs
(Kg)]]</f>
        <v>29.040000000000003</v>
      </c>
      <c r="M26" s="44">
        <f>SUMIF(DATA_MASTER[NO. PON],AKSESORIS[[#This Row],[No.PON]],DATA_MASTER[Qty
(Unit)])</f>
        <v>1</v>
      </c>
      <c r="N26" s="10">
        <f>AKSESORIS[[#This Row],[Total 
(pcs)]]*AKSESORIS[[#This Row],[UNIT]]</f>
        <v>88</v>
      </c>
      <c r="O26" s="9"/>
      <c r="P26"/>
    </row>
    <row r="27" spans="1:16" x14ac:dyDescent="0.3">
      <c r="A27" t="s">
        <v>19</v>
      </c>
      <c r="B27" t="str">
        <f>IFERROR(VLOOKUP(A27,'DATA MASTER'!A:O,2,0)," ")</f>
        <v>Girder</v>
      </c>
      <c r="C27" s="19" t="str">
        <f>IFERROR(VLOOKUP(A27,'DATA MASTER'!A:O,4,0)," ")</f>
        <v>AG20</v>
      </c>
      <c r="D27" s="1"/>
      <c r="E27" s="1"/>
      <c r="F27" s="20" t="s">
        <v>43</v>
      </c>
      <c r="G27" s="20" t="s">
        <v>63</v>
      </c>
      <c r="H27" s="20" t="s">
        <v>64</v>
      </c>
      <c r="J27" s="1">
        <v>5</v>
      </c>
      <c r="K27" s="10">
        <v>7.38</v>
      </c>
      <c r="L27" s="10">
        <f>AKSESORIS[[#This Row],[Total 
(pcs)]]*AKSESORIS[[#This Row],[Berat/pcs
(Kg)]]</f>
        <v>36.9</v>
      </c>
      <c r="M27" s="44">
        <f>SUMIF(DATA_MASTER[NO. PON],AKSESORIS[[#This Row],[No.PON]],DATA_MASTER[Qty
(Unit)])</f>
        <v>1</v>
      </c>
      <c r="N27" s="10">
        <f>AKSESORIS[[#This Row],[Total 
(pcs)]]*AKSESORIS[[#This Row],[UNIT]]</f>
        <v>5</v>
      </c>
      <c r="O27" s="9"/>
      <c r="P27"/>
    </row>
    <row r="28" spans="1:16" x14ac:dyDescent="0.3">
      <c r="A28" t="s">
        <v>19</v>
      </c>
      <c r="B28" t="str">
        <f>IFERROR(VLOOKUP(A28,'DATA MASTER'!A:O,2,0)," ")</f>
        <v>Girder</v>
      </c>
      <c r="C28" s="19" t="str">
        <f>IFERROR(VLOOKUP(A28,'DATA MASTER'!A:O,4,0)," ")</f>
        <v>AG20</v>
      </c>
      <c r="D28" s="1"/>
      <c r="E28" s="1"/>
      <c r="F28" s="20" t="s">
        <v>43</v>
      </c>
      <c r="G28" s="20" t="s">
        <v>65</v>
      </c>
      <c r="H28" s="20" t="s">
        <v>64</v>
      </c>
      <c r="J28" s="1">
        <v>95</v>
      </c>
      <c r="K28" s="10">
        <v>10.72</v>
      </c>
      <c r="L28" s="10">
        <f>AKSESORIS[[#This Row],[Total 
(pcs)]]*AKSESORIS[[#This Row],[Berat/pcs
(Kg)]]</f>
        <v>1018.4000000000001</v>
      </c>
      <c r="M28" s="44">
        <f>SUMIF(DATA_MASTER[NO. PON],AKSESORIS[[#This Row],[No.PON]],DATA_MASTER[Qty
(Unit)])</f>
        <v>1</v>
      </c>
      <c r="N28" s="10">
        <f>AKSESORIS[[#This Row],[Total 
(pcs)]]*AKSESORIS[[#This Row],[UNIT]]</f>
        <v>95</v>
      </c>
      <c r="O28" s="9"/>
      <c r="P28"/>
    </row>
    <row r="29" spans="1:16" x14ac:dyDescent="0.3">
      <c r="A29" t="s">
        <v>19</v>
      </c>
      <c r="B29" t="str">
        <f>IFERROR(VLOOKUP(A29,'DATA MASTER'!A:O,2,0)," ")</f>
        <v>Girder</v>
      </c>
      <c r="C29" s="19" t="str">
        <f>IFERROR(VLOOKUP(A29,'DATA MASTER'!A:O,4,0)," ")</f>
        <v>AG20</v>
      </c>
      <c r="D29" s="1"/>
      <c r="E29" s="1"/>
      <c r="F29" s="20" t="s">
        <v>43</v>
      </c>
      <c r="G29" s="20" t="s">
        <v>66</v>
      </c>
      <c r="H29" s="20" t="s">
        <v>64</v>
      </c>
      <c r="J29" s="1">
        <v>5</v>
      </c>
      <c r="K29" s="10">
        <v>7.38</v>
      </c>
      <c r="L29" s="10">
        <f>AKSESORIS[[#This Row],[Total 
(pcs)]]*AKSESORIS[[#This Row],[Berat/pcs
(Kg)]]</f>
        <v>36.9</v>
      </c>
      <c r="M29" s="44">
        <f>SUMIF(DATA_MASTER[NO. PON],AKSESORIS[[#This Row],[No.PON]],DATA_MASTER[Qty
(Unit)])</f>
        <v>1</v>
      </c>
      <c r="N29" s="10">
        <f>AKSESORIS[[#This Row],[Total 
(pcs)]]*AKSESORIS[[#This Row],[UNIT]]</f>
        <v>5</v>
      </c>
      <c r="O29" s="9"/>
      <c r="P29"/>
    </row>
    <row r="30" spans="1:16" x14ac:dyDescent="0.3">
      <c r="A30" t="s">
        <v>122</v>
      </c>
      <c r="B30" t="str">
        <f>IFERROR(VLOOKUP(A30,'DATA MASTER'!A:O,2,0)," ")</f>
        <v>Girder</v>
      </c>
      <c r="C30" s="19" t="str">
        <f>IFERROR(VLOOKUP(A30,'DATA MASTER'!A:O,4,0)," ")</f>
        <v>AG8</v>
      </c>
      <c r="D30" s="1" t="s">
        <v>169</v>
      </c>
      <c r="E30" s="1"/>
      <c r="F30" s="20" t="s">
        <v>44</v>
      </c>
      <c r="G30" s="20" t="s">
        <v>126</v>
      </c>
      <c r="H30" s="20" t="s">
        <v>127</v>
      </c>
      <c r="J30" s="1">
        <v>12</v>
      </c>
      <c r="K30" s="10">
        <v>12.092172</v>
      </c>
      <c r="L30" s="10">
        <f>AKSESORIS[[#This Row],[Total 
(pcs)]]*AKSESORIS[[#This Row],[Berat/pcs
(Kg)]]</f>
        <v>145.106064</v>
      </c>
      <c r="M30" s="44">
        <f>SUMIF(DATA_MASTER[NO. PON],AKSESORIS[[#This Row],[No.PON]],DATA_MASTER[Qty
(Unit)])</f>
        <v>1</v>
      </c>
      <c r="N30" s="10">
        <f>AKSESORIS[[#This Row],[Total 
(pcs)]]*AKSESORIS[[#This Row],[UNIT]]</f>
        <v>12</v>
      </c>
      <c r="O30" s="9"/>
      <c r="P30"/>
    </row>
    <row r="31" spans="1:16" x14ac:dyDescent="0.3">
      <c r="A31" t="s">
        <v>122</v>
      </c>
      <c r="B31" t="str">
        <f>IFERROR(VLOOKUP(A31,'DATA MASTER'!A:O,2,0)," ")</f>
        <v>Girder</v>
      </c>
      <c r="C31" s="19" t="str">
        <f>IFERROR(VLOOKUP(A31,'DATA MASTER'!A:O,4,0)," ")</f>
        <v>AG8</v>
      </c>
      <c r="D31" s="1"/>
      <c r="E31" s="1"/>
      <c r="F31" s="20" t="s">
        <v>54</v>
      </c>
      <c r="G31" s="20" t="s">
        <v>55</v>
      </c>
      <c r="H31" s="20" t="s">
        <v>55</v>
      </c>
      <c r="I31" s="1">
        <v>185</v>
      </c>
      <c r="J31" s="1">
        <v>40</v>
      </c>
      <c r="K31" s="10">
        <v>0.21</v>
      </c>
      <c r="L31" s="10">
        <f>AKSESORIS[[#This Row],[Total 
(pcs)]]*AKSESORIS[[#This Row],[Berat/pcs
(Kg)]]</f>
        <v>8.4</v>
      </c>
      <c r="M31" s="44">
        <f>SUMIF(DATA_MASTER[NO. PON],AKSESORIS[[#This Row],[No.PON]],DATA_MASTER[Qty
(Unit)])</f>
        <v>1</v>
      </c>
      <c r="N31" s="10">
        <f>AKSESORIS[[#This Row],[Total 
(pcs)]]*AKSESORIS[[#This Row],[UNIT]]</f>
        <v>40</v>
      </c>
      <c r="O31" s="9"/>
      <c r="P31"/>
    </row>
    <row r="32" spans="1:16" x14ac:dyDescent="0.3">
      <c r="A32" t="s">
        <v>122</v>
      </c>
      <c r="B32" t="str">
        <f>IFERROR(VLOOKUP(A32,'DATA MASTER'!A:O,2,0)," ")</f>
        <v>Girder</v>
      </c>
      <c r="C32" s="19" t="str">
        <f>IFERROR(VLOOKUP(A32,'DATA MASTER'!A:O,4,0)," ")</f>
        <v>AG8</v>
      </c>
      <c r="D32" s="1"/>
      <c r="E32" s="1"/>
      <c r="F32" s="20" t="s">
        <v>56</v>
      </c>
      <c r="G32" s="20" t="s">
        <v>58</v>
      </c>
      <c r="H32" s="20" t="s">
        <v>57</v>
      </c>
      <c r="I32" s="1" t="s">
        <v>903</v>
      </c>
      <c r="J32" s="1">
        <v>40</v>
      </c>
      <c r="K32" s="10">
        <v>0.33</v>
      </c>
      <c r="L32" s="10">
        <f>AKSESORIS[[#This Row],[Total 
(pcs)]]*AKSESORIS[[#This Row],[Berat/pcs
(Kg)]]</f>
        <v>13.200000000000001</v>
      </c>
      <c r="M32" s="44">
        <f>SUMIF(DATA_MASTER[NO. PON],AKSESORIS[[#This Row],[No.PON]],DATA_MASTER[Qty
(Unit)])</f>
        <v>1</v>
      </c>
      <c r="N32" s="10">
        <f>AKSESORIS[[#This Row],[Total 
(pcs)]]*AKSESORIS[[#This Row],[UNIT]]</f>
        <v>40</v>
      </c>
      <c r="O32" s="9"/>
      <c r="P32"/>
    </row>
    <row r="33" spans="1:17" x14ac:dyDescent="0.3">
      <c r="A33" t="s">
        <v>129</v>
      </c>
      <c r="B33" t="str">
        <f>IFERROR(VLOOKUP(A33,'DATA MASTER'!A:O,2,0)," ")</f>
        <v>Panel Bailey</v>
      </c>
      <c r="C33" s="19" t="str">
        <f>IFERROR(VLOOKUP(A33,'DATA MASTER'!A:O,4,0)," ")</f>
        <v>42 DSR2-EW + TRESTLE</v>
      </c>
      <c r="D33" s="1" t="s">
        <v>119</v>
      </c>
      <c r="E33" s="1"/>
      <c r="F33" s="20" t="s">
        <v>101</v>
      </c>
      <c r="G33" s="20" t="s">
        <v>102</v>
      </c>
      <c r="H33" s="20" t="s">
        <v>143</v>
      </c>
      <c r="I33" s="1">
        <v>213</v>
      </c>
      <c r="J33" s="1">
        <v>240</v>
      </c>
      <c r="K33" s="10">
        <v>3.1</v>
      </c>
      <c r="L33" s="10">
        <f>AKSESORIS[[#This Row],[Total 
(pcs)]]*AKSESORIS[[#This Row],[Berat/pcs
(Kg)]]</f>
        <v>744</v>
      </c>
      <c r="M33" s="44">
        <f>SUMIF(DATA_MASTER[NO. PON],AKSESORIS[[#This Row],[No.PON]],DATA_MASTER[Qty
(Unit)])</f>
        <v>1</v>
      </c>
      <c r="N33" s="10">
        <f>AKSESORIS[[#This Row],[Total 
(pcs)]]*AKSESORIS[[#This Row],[UNIT]]</f>
        <v>240</v>
      </c>
      <c r="O33" s="21"/>
      <c r="P33"/>
    </row>
    <row r="34" spans="1:17" x14ac:dyDescent="0.3">
      <c r="A34" t="s">
        <v>129</v>
      </c>
      <c r="B34" t="str">
        <f>IFERROR(VLOOKUP(A34,'DATA MASTER'!A:O,2,0)," ")</f>
        <v>Panel Bailey</v>
      </c>
      <c r="C34" s="19" t="str">
        <f>IFERROR(VLOOKUP(A34,'DATA MASTER'!A:O,4,0)," ")</f>
        <v>42 DSR2-EW + TRESTLE</v>
      </c>
      <c r="D34" s="1" t="s">
        <v>119</v>
      </c>
      <c r="E34" s="1"/>
      <c r="F34" s="20" t="s">
        <v>904</v>
      </c>
      <c r="G34" s="20" t="s">
        <v>145</v>
      </c>
      <c r="H34" s="20" t="s">
        <v>145</v>
      </c>
      <c r="I34" s="1">
        <v>420</v>
      </c>
      <c r="J34" s="1">
        <v>32</v>
      </c>
      <c r="K34" s="10">
        <v>1.08</v>
      </c>
      <c r="L34" s="10">
        <f>AKSESORIS[[#This Row],[Total 
(pcs)]]*AKSESORIS[[#This Row],[Berat/pcs
(Kg)]]</f>
        <v>34.56</v>
      </c>
      <c r="M34" s="44">
        <f>SUMIF(DATA_MASTER[NO. PON],AKSESORIS[[#This Row],[No.PON]],DATA_MASTER[Qty
(Unit)])</f>
        <v>1</v>
      </c>
      <c r="N34" s="10">
        <f>AKSESORIS[[#This Row],[Total 
(pcs)]]*AKSESORIS[[#This Row],[UNIT]]</f>
        <v>32</v>
      </c>
      <c r="O34" s="21"/>
      <c r="P34"/>
    </row>
    <row r="35" spans="1:17" x14ac:dyDescent="0.3">
      <c r="A35" t="s">
        <v>129</v>
      </c>
      <c r="B35" t="str">
        <f>IFERROR(VLOOKUP(A35,'DATA MASTER'!A:O,2,0)," ")</f>
        <v>Panel Bailey</v>
      </c>
      <c r="C35" s="19" t="str">
        <f>IFERROR(VLOOKUP(A35,'DATA MASTER'!A:O,4,0)," ")</f>
        <v>42 DSR2-EW + TRESTLE</v>
      </c>
      <c r="D35" s="1"/>
      <c r="E35" s="1"/>
      <c r="F35" s="20" t="s">
        <v>101</v>
      </c>
      <c r="G35" s="20" t="s">
        <v>156</v>
      </c>
      <c r="H35" s="20" t="s">
        <v>157</v>
      </c>
      <c r="J35" s="1">
        <v>4</v>
      </c>
      <c r="K35" s="10">
        <f>12.25+0.25</f>
        <v>12.5</v>
      </c>
      <c r="L35" s="10">
        <f>AKSESORIS[[#This Row],[Total 
(pcs)]]*AKSESORIS[[#This Row],[Berat/pcs
(Kg)]]</f>
        <v>50</v>
      </c>
      <c r="M35" s="44">
        <f>SUMIF(DATA_MASTER[NO. PON],AKSESORIS[[#This Row],[No.PON]],DATA_MASTER[Qty
(Unit)])</f>
        <v>1</v>
      </c>
      <c r="N35" s="10">
        <f>AKSESORIS[[#This Row],[Total 
(pcs)]]*AKSESORIS[[#This Row],[UNIT]]</f>
        <v>4</v>
      </c>
      <c r="O35" s="9" t="s">
        <v>158</v>
      </c>
      <c r="P35"/>
    </row>
    <row r="36" spans="1:17" x14ac:dyDescent="0.3">
      <c r="A36" t="s">
        <v>129</v>
      </c>
      <c r="B36" t="str">
        <f>IFERROR(VLOOKUP(A36,'DATA MASTER'!A:O,2,0)," ")</f>
        <v>Panel Bailey</v>
      </c>
      <c r="C36" s="19" t="str">
        <f>IFERROR(VLOOKUP(A36,'DATA MASTER'!A:O,4,0)," ")</f>
        <v>42 DSR2-EW + TRESTLE</v>
      </c>
      <c r="D36" s="1" t="s">
        <v>119</v>
      </c>
      <c r="E36" s="1"/>
      <c r="F36" s="20" t="s">
        <v>904</v>
      </c>
      <c r="G36" s="20" t="s">
        <v>145</v>
      </c>
      <c r="H36" s="20" t="s">
        <v>145</v>
      </c>
      <c r="I36" s="1">
        <v>420</v>
      </c>
      <c r="J36" s="1">
        <v>24</v>
      </c>
      <c r="K36" s="10">
        <v>1.08</v>
      </c>
      <c r="L36" s="10">
        <f>AKSESORIS[[#This Row],[Total 
(pcs)]]*AKSESORIS[[#This Row],[Berat/pcs
(Kg)]]</f>
        <v>25.92</v>
      </c>
      <c r="M36" s="44">
        <f>SUMIF(DATA_MASTER[NO. PON],AKSESORIS[[#This Row],[No.PON]],DATA_MASTER[Qty
(Unit)])</f>
        <v>1</v>
      </c>
      <c r="N36" s="10">
        <f>AKSESORIS[[#This Row],[Total 
(pcs)]]*AKSESORIS[[#This Row],[UNIT]]</f>
        <v>24</v>
      </c>
      <c r="O36" s="9" t="s">
        <v>193</v>
      </c>
      <c r="P36"/>
    </row>
    <row r="37" spans="1:17" x14ac:dyDescent="0.3">
      <c r="A37" t="s">
        <v>215</v>
      </c>
      <c r="B37" t="str">
        <f>IFERROR(VLOOKUP(A37,'DATA MASTER'!A:O,2,0)," ")</f>
        <v>Panel Bailey</v>
      </c>
      <c r="C37" s="19" t="str">
        <f>IFERROR(VLOOKUP(A37,'DATA MASTER'!A:O,4,0)," ")</f>
        <v>12 SSR-EW</v>
      </c>
      <c r="D37" s="1" t="s">
        <v>119</v>
      </c>
      <c r="E37" s="1"/>
      <c r="F37" s="20" t="s">
        <v>101</v>
      </c>
      <c r="G37" s="20" t="s">
        <v>102</v>
      </c>
      <c r="H37" s="20" t="s">
        <v>143</v>
      </c>
      <c r="I37" s="1">
        <v>213</v>
      </c>
      <c r="J37" s="1">
        <v>80</v>
      </c>
      <c r="K37" s="10">
        <v>3.1</v>
      </c>
      <c r="L37" s="10">
        <f>AKSESORIS[[#This Row],[Total 
(pcs)]]*AKSESORIS[[#This Row],[Berat/pcs
(Kg)]]</f>
        <v>248</v>
      </c>
      <c r="M37" s="44">
        <f>SUMIF(DATA_MASTER[NO. PON],AKSESORIS[[#This Row],[No.PON]],DATA_MASTER[Qty
(Unit)])</f>
        <v>2</v>
      </c>
      <c r="N37" s="10">
        <f>AKSESORIS[[#This Row],[Total 
(pcs)]]*AKSESORIS[[#This Row],[UNIT]]</f>
        <v>160</v>
      </c>
      <c r="O37" s="9"/>
      <c r="P37"/>
    </row>
    <row r="38" spans="1:17" x14ac:dyDescent="0.3">
      <c r="A38" t="s">
        <v>215</v>
      </c>
      <c r="B38" t="str">
        <f>IFERROR(VLOOKUP(A38,'DATA MASTER'!A:O,2,0)," ")</f>
        <v>Panel Bailey</v>
      </c>
      <c r="C38" s="19" t="str">
        <f>IFERROR(VLOOKUP(A38,'DATA MASTER'!A:O,4,0)," ")</f>
        <v>12 SSR-EW</v>
      </c>
      <c r="D38" s="1" t="s">
        <v>119</v>
      </c>
      <c r="E38" s="1"/>
      <c r="F38" s="20" t="s">
        <v>904</v>
      </c>
      <c r="G38" s="20" t="s">
        <v>145</v>
      </c>
      <c r="H38" s="20" t="s">
        <v>145</v>
      </c>
      <c r="I38" s="1">
        <v>420</v>
      </c>
      <c r="J38" s="1">
        <v>32</v>
      </c>
      <c r="K38" s="10">
        <v>1.08</v>
      </c>
      <c r="L38" s="10">
        <f>AKSESORIS[[#This Row],[Total 
(pcs)]]*AKSESORIS[[#This Row],[Berat/pcs
(Kg)]]</f>
        <v>34.56</v>
      </c>
      <c r="M38" s="44">
        <f>SUMIF(DATA_MASTER[NO. PON],AKSESORIS[[#This Row],[No.PON]],DATA_MASTER[Qty
(Unit)])</f>
        <v>2</v>
      </c>
      <c r="N38" s="10">
        <f>AKSESORIS[[#This Row],[Total 
(pcs)]]*AKSESORIS[[#This Row],[UNIT]]</f>
        <v>64</v>
      </c>
      <c r="O38" s="9"/>
      <c r="P38"/>
    </row>
    <row r="39" spans="1:17" x14ac:dyDescent="0.3">
      <c r="A39" t="s">
        <v>216</v>
      </c>
      <c r="B39" t="str">
        <f>IFERROR(VLOOKUP(A39,'DATA MASTER'!A:O,2,0)," ")</f>
        <v>Panel Bailey</v>
      </c>
      <c r="C39" s="19" t="str">
        <f>IFERROR(VLOOKUP(A39,'DATA MASTER'!A:O,4,0)," ")</f>
        <v>15 SSR-EW</v>
      </c>
      <c r="D39" s="1" t="s">
        <v>119</v>
      </c>
      <c r="E39" s="1"/>
      <c r="F39" s="20" t="s">
        <v>101</v>
      </c>
      <c r="G39" s="20" t="s">
        <v>102</v>
      </c>
      <c r="H39" s="20" t="s">
        <v>143</v>
      </c>
      <c r="I39" s="1">
        <v>213</v>
      </c>
      <c r="J39" s="1">
        <v>144</v>
      </c>
      <c r="K39" s="10">
        <v>3.1</v>
      </c>
      <c r="L39" s="10">
        <f>AKSESORIS[[#This Row],[Total 
(pcs)]]*AKSESORIS[[#This Row],[Berat/pcs
(Kg)]]</f>
        <v>446.40000000000003</v>
      </c>
      <c r="M39" s="44">
        <f>SUMIF(DATA_MASTER[NO. PON],AKSESORIS[[#This Row],[No.PON]],DATA_MASTER[Qty
(Unit)])</f>
        <v>3</v>
      </c>
      <c r="N39" s="10">
        <f>AKSESORIS[[#This Row],[Total 
(pcs)]]*AKSESORIS[[#This Row],[UNIT]]</f>
        <v>432</v>
      </c>
      <c r="O39" s="9"/>
      <c r="P39"/>
    </row>
    <row r="40" spans="1:17" x14ac:dyDescent="0.3">
      <c r="A40" t="s">
        <v>216</v>
      </c>
      <c r="B40" t="str">
        <f>IFERROR(VLOOKUP(A40,'DATA MASTER'!A:O,2,0)," ")</f>
        <v>Panel Bailey</v>
      </c>
      <c r="C40" s="19" t="str">
        <f>IFERROR(VLOOKUP(A40,'DATA MASTER'!A:O,4,0)," ")</f>
        <v>15 SSR-EW</v>
      </c>
      <c r="D40" s="1" t="s">
        <v>119</v>
      </c>
      <c r="E40" s="1"/>
      <c r="F40" s="20" t="s">
        <v>904</v>
      </c>
      <c r="G40" s="20" t="s">
        <v>145</v>
      </c>
      <c r="H40" s="20" t="s">
        <v>145</v>
      </c>
      <c r="I40" s="1">
        <v>420</v>
      </c>
      <c r="J40" s="1">
        <v>48</v>
      </c>
      <c r="K40" s="10">
        <v>1.08</v>
      </c>
      <c r="L40" s="10">
        <f>AKSESORIS[[#This Row],[Total 
(pcs)]]*AKSESORIS[[#This Row],[Berat/pcs
(Kg)]]</f>
        <v>51.84</v>
      </c>
      <c r="M40" s="44">
        <f>SUMIF(DATA_MASTER[NO. PON],AKSESORIS[[#This Row],[No.PON]],DATA_MASTER[Qty
(Unit)])</f>
        <v>3</v>
      </c>
      <c r="N40" s="10">
        <f>AKSESORIS[[#This Row],[Total 
(pcs)]]*AKSESORIS[[#This Row],[UNIT]]</f>
        <v>144</v>
      </c>
      <c r="O40" s="9"/>
      <c r="P40"/>
    </row>
    <row r="41" spans="1:17" x14ac:dyDescent="0.3">
      <c r="A41" t="s">
        <v>217</v>
      </c>
      <c r="B41" t="str">
        <f>IFERROR(VLOOKUP(A41,'DATA MASTER'!A:O,2,0)," ")</f>
        <v>Panel Bailey</v>
      </c>
      <c r="C41" s="19" t="str">
        <f>IFERROR(VLOOKUP(A41,'DATA MASTER'!A:O,4,0)," ")</f>
        <v>21 SSR-EW</v>
      </c>
      <c r="D41" s="1" t="s">
        <v>119</v>
      </c>
      <c r="E41" s="1"/>
      <c r="F41" s="20" t="s">
        <v>101</v>
      </c>
      <c r="G41" s="20" t="s">
        <v>102</v>
      </c>
      <c r="H41" s="20" t="s">
        <v>143</v>
      </c>
      <c r="I41" s="1">
        <v>213</v>
      </c>
      <c r="J41" s="1">
        <v>64</v>
      </c>
      <c r="K41" s="10">
        <v>3.1</v>
      </c>
      <c r="L41" s="10">
        <f>AKSESORIS[[#This Row],[Total 
(pcs)]]*AKSESORIS[[#This Row],[Berat/pcs
(Kg)]]</f>
        <v>198.4</v>
      </c>
      <c r="M41" s="44">
        <f>SUMIF(DATA_MASTER[NO. PON],AKSESORIS[[#This Row],[No.PON]],DATA_MASTER[Qty
(Unit)])</f>
        <v>1</v>
      </c>
      <c r="N41" s="10">
        <f>AKSESORIS[[#This Row],[Total 
(pcs)]]*AKSESORIS[[#This Row],[UNIT]]</f>
        <v>64</v>
      </c>
      <c r="O41" s="9"/>
      <c r="P41"/>
    </row>
    <row r="42" spans="1:17" x14ac:dyDescent="0.3">
      <c r="A42" t="s">
        <v>217</v>
      </c>
      <c r="B42" t="str">
        <f>IFERROR(VLOOKUP(A42,'DATA MASTER'!A:O,2,0)," ")</f>
        <v>Panel Bailey</v>
      </c>
      <c r="C42" s="19" t="str">
        <f>IFERROR(VLOOKUP(A42,'DATA MASTER'!A:O,4,0)," ")</f>
        <v>21 SSR-EW</v>
      </c>
      <c r="D42" s="1" t="s">
        <v>119</v>
      </c>
      <c r="E42" s="1"/>
      <c r="F42" s="20" t="s">
        <v>904</v>
      </c>
      <c r="G42" s="20" t="s">
        <v>145</v>
      </c>
      <c r="H42" s="20" t="s">
        <v>145</v>
      </c>
      <c r="I42" s="1">
        <v>420</v>
      </c>
      <c r="J42" s="1">
        <v>16</v>
      </c>
      <c r="K42" s="10">
        <v>1.08</v>
      </c>
      <c r="L42" s="10">
        <f>AKSESORIS[[#This Row],[Total 
(pcs)]]*AKSESORIS[[#This Row],[Berat/pcs
(Kg)]]</f>
        <v>17.28</v>
      </c>
      <c r="M42" s="44">
        <f>SUMIF(DATA_MASTER[NO. PON],AKSESORIS[[#This Row],[No.PON]],DATA_MASTER[Qty
(Unit)])</f>
        <v>1</v>
      </c>
      <c r="N42" s="10">
        <f>AKSESORIS[[#This Row],[Total 
(pcs)]]*AKSESORIS[[#This Row],[UNIT]]</f>
        <v>16</v>
      </c>
      <c r="O42" s="9"/>
      <c r="P42"/>
      <c r="Q42">
        <f>12*16</f>
        <v>192</v>
      </c>
    </row>
    <row r="43" spans="1:17" x14ac:dyDescent="0.3">
      <c r="A43" t="s">
        <v>305</v>
      </c>
      <c r="B43" t="str">
        <f>IFERROR(VLOOKUP(A43,'DATA MASTER'!A:O,2,0)," ")</f>
        <v>Panel Bailey</v>
      </c>
      <c r="C43" s="19" t="str">
        <f>IFERROR(VLOOKUP(A43,'DATA MASTER'!A:O,4,0)," ")</f>
        <v>24 DSR2-EW</v>
      </c>
      <c r="D43" s="1"/>
      <c r="E43" s="1"/>
      <c r="F43" s="20" t="s">
        <v>101</v>
      </c>
      <c r="G43" s="20" t="s">
        <v>102</v>
      </c>
      <c r="H43" s="20" t="s">
        <v>143</v>
      </c>
      <c r="I43" s="1">
        <v>213</v>
      </c>
      <c r="J43" s="1">
        <f>144</f>
        <v>144</v>
      </c>
      <c r="K43" s="10">
        <v>3.1</v>
      </c>
      <c r="L43" s="16">
        <f>AKSESORIS[[#This Row],[Total 
(pcs)]]*AKSESORIS[[#This Row],[Berat/pcs
(Kg)]]</f>
        <v>446.40000000000003</v>
      </c>
      <c r="M43" s="165">
        <f>SUMIF(DATA_MASTER[NO. PON],AKSESORIS[[#This Row],[No.PON]],DATA_MASTER[Qty
(Unit)])</f>
        <v>2</v>
      </c>
      <c r="N43" s="16">
        <f>AKSESORIS[[#This Row],[Total 
(pcs)]]*AKSESORIS[[#This Row],[UNIT]]</f>
        <v>288</v>
      </c>
      <c r="O43" s="9"/>
      <c r="P43" s="1">
        <f>AKSESORIS[[#This Row],[Total 
(pcs)]]*2</f>
        <v>288</v>
      </c>
    </row>
    <row r="44" spans="1:17" x14ac:dyDescent="0.3">
      <c r="A44" t="s">
        <v>305</v>
      </c>
      <c r="B44" t="str">
        <f>IFERROR(VLOOKUP(A44,'DATA MASTER'!A:O,2,0)," ")</f>
        <v>Panel Bailey</v>
      </c>
      <c r="C44" s="19" t="str">
        <f>IFERROR(VLOOKUP(A44,'DATA MASTER'!A:O,4,0)," ")</f>
        <v>24 DSR2-EW</v>
      </c>
      <c r="D44" s="1"/>
      <c r="E44" s="1"/>
      <c r="F44" s="20" t="s">
        <v>904</v>
      </c>
      <c r="G44" s="20" t="s">
        <v>145</v>
      </c>
      <c r="H44" s="20" t="s">
        <v>145</v>
      </c>
      <c r="I44" s="1">
        <v>420</v>
      </c>
      <c r="J44" s="1">
        <f>32</f>
        <v>32</v>
      </c>
      <c r="K44" s="10">
        <v>1.08</v>
      </c>
      <c r="L44" s="16">
        <f>AKSESORIS[[#This Row],[Total 
(pcs)]]*AKSESORIS[[#This Row],[Berat/pcs
(Kg)]]</f>
        <v>34.56</v>
      </c>
      <c r="M44" s="165">
        <f>SUMIF(DATA_MASTER[NO. PON],AKSESORIS[[#This Row],[No.PON]],DATA_MASTER[Qty
(Unit)])</f>
        <v>2</v>
      </c>
      <c r="N44" s="16">
        <f>AKSESORIS[[#This Row],[Total 
(pcs)]]*AKSESORIS[[#This Row],[UNIT]]</f>
        <v>64</v>
      </c>
      <c r="O44" s="9"/>
      <c r="P44" s="1">
        <f>AKSESORIS[[#This Row],[Total 
(pcs)]]*2</f>
        <v>64</v>
      </c>
    </row>
    <row r="45" spans="1:17" x14ac:dyDescent="0.3">
      <c r="A45" t="s">
        <v>308</v>
      </c>
      <c r="B45" t="str">
        <f>IFERROR(VLOOKUP(A45,'DATA MASTER'!A:O,2,0)," ")</f>
        <v>Panel Bailey</v>
      </c>
      <c r="C45" s="19" t="str">
        <f>IFERROR(VLOOKUP(A45,'DATA MASTER'!A:O,4,0)," ")</f>
        <v>21 DS-EW</v>
      </c>
      <c r="D45" s="1"/>
      <c r="E45" s="1"/>
      <c r="F45" s="20" t="s">
        <v>101</v>
      </c>
      <c r="G45" s="20" t="s">
        <v>102</v>
      </c>
      <c r="H45" s="20" t="s">
        <v>143</v>
      </c>
      <c r="I45" s="1">
        <v>213</v>
      </c>
      <c r="J45" s="1">
        <v>64</v>
      </c>
      <c r="K45" s="10">
        <v>3.1</v>
      </c>
      <c r="L45" s="16">
        <f>AKSESORIS[[#This Row],[Total 
(pcs)]]*AKSESORIS[[#This Row],[Berat/pcs
(Kg)]]</f>
        <v>198.4</v>
      </c>
      <c r="M45" s="165">
        <f>SUMIF(DATA_MASTER[NO. PON],AKSESORIS[[#This Row],[No.PON]],DATA_MASTER[Qty
(Unit)])</f>
        <v>2</v>
      </c>
      <c r="N45" s="16">
        <f>AKSESORIS[[#This Row],[Total 
(pcs)]]*AKSESORIS[[#This Row],[UNIT]]</f>
        <v>128</v>
      </c>
      <c r="O45" s="9"/>
      <c r="P45" s="1">
        <f>AKSESORIS[[#This Row],[Total 
(pcs)]]*2</f>
        <v>128</v>
      </c>
    </row>
    <row r="46" spans="1:17" x14ac:dyDescent="0.3">
      <c r="A46" t="s">
        <v>308</v>
      </c>
      <c r="B46" t="str">
        <f>IFERROR(VLOOKUP(A46,'DATA MASTER'!A:O,2,0)," ")</f>
        <v>Panel Bailey</v>
      </c>
      <c r="C46" s="19" t="str">
        <f>IFERROR(VLOOKUP(A46,'DATA MASTER'!A:O,4,0)," ")</f>
        <v>21 DS-EW</v>
      </c>
      <c r="D46" s="1"/>
      <c r="E46" s="1"/>
      <c r="F46" s="20" t="s">
        <v>904</v>
      </c>
      <c r="G46" s="20" t="s">
        <v>145</v>
      </c>
      <c r="H46" s="20" t="s">
        <v>145</v>
      </c>
      <c r="I46" s="1">
        <v>420</v>
      </c>
      <c r="J46" s="1">
        <f>32</f>
        <v>32</v>
      </c>
      <c r="K46" s="10">
        <v>1.08</v>
      </c>
      <c r="L46" s="16">
        <f>AKSESORIS[[#This Row],[Total 
(pcs)]]*AKSESORIS[[#This Row],[Berat/pcs
(Kg)]]</f>
        <v>34.56</v>
      </c>
      <c r="M46" s="165">
        <f>SUMIF(DATA_MASTER[NO. PON],AKSESORIS[[#This Row],[No.PON]],DATA_MASTER[Qty
(Unit)])</f>
        <v>2</v>
      </c>
      <c r="N46" s="16">
        <f>AKSESORIS[[#This Row],[Total 
(pcs)]]*AKSESORIS[[#This Row],[UNIT]]</f>
        <v>64</v>
      </c>
      <c r="O46" s="9"/>
      <c r="P46" s="1">
        <f>AKSESORIS[[#This Row],[Total 
(pcs)]]*2</f>
        <v>64</v>
      </c>
    </row>
    <row r="47" spans="1:17" x14ac:dyDescent="0.3">
      <c r="A47" t="s">
        <v>309</v>
      </c>
      <c r="B47" t="str">
        <f>IFERROR(VLOOKUP(A47,'DATA MASTER'!A:O,2,0)," ")</f>
        <v>Panel Bailey</v>
      </c>
      <c r="C47" s="19" t="str">
        <f>IFERROR(VLOOKUP(A47,'DATA MASTER'!A:O,4,0)," ")</f>
        <v>18 DSR1-EW</v>
      </c>
      <c r="D47" s="1"/>
      <c r="E47" s="1"/>
      <c r="F47" s="20" t="s">
        <v>101</v>
      </c>
      <c r="G47" s="20" t="s">
        <v>102</v>
      </c>
      <c r="H47" s="20" t="s">
        <v>143</v>
      </c>
      <c r="I47" s="1">
        <v>213</v>
      </c>
      <c r="J47" s="1">
        <v>84</v>
      </c>
      <c r="K47" s="10">
        <v>3.1</v>
      </c>
      <c r="L47" s="16">
        <f>AKSESORIS[[#This Row],[Total 
(pcs)]]*AKSESORIS[[#This Row],[Berat/pcs
(Kg)]]</f>
        <v>260.40000000000003</v>
      </c>
      <c r="M47" s="165">
        <f>SUMIF(DATA_MASTER[NO. PON],AKSESORIS[[#This Row],[No.PON]],DATA_MASTER[Qty
(Unit)])</f>
        <v>1</v>
      </c>
      <c r="N47" s="16">
        <f>AKSESORIS[[#This Row],[Total 
(pcs)]]*AKSESORIS[[#This Row],[UNIT]]</f>
        <v>84</v>
      </c>
      <c r="O47" s="9"/>
      <c r="P47" s="1">
        <f>AKSESORIS[[#This Row],[Total 
(pcs)]]*2</f>
        <v>168</v>
      </c>
    </row>
    <row r="48" spans="1:17" x14ac:dyDescent="0.3">
      <c r="A48" t="s">
        <v>309</v>
      </c>
      <c r="B48" t="str">
        <f>IFERROR(VLOOKUP(A48,'DATA MASTER'!A:O,2,0)," ")</f>
        <v>Panel Bailey</v>
      </c>
      <c r="C48" s="19" t="str">
        <f>IFERROR(VLOOKUP(A48,'DATA MASTER'!A:O,4,0)," ")</f>
        <v>18 DSR1-EW</v>
      </c>
      <c r="D48" s="1"/>
      <c r="E48" s="1"/>
      <c r="F48" s="20" t="s">
        <v>904</v>
      </c>
      <c r="G48" s="20" t="s">
        <v>145</v>
      </c>
      <c r="H48" s="20" t="s">
        <v>145</v>
      </c>
      <c r="I48" s="1">
        <v>420</v>
      </c>
      <c r="J48" s="1">
        <f>32</f>
        <v>32</v>
      </c>
      <c r="K48" s="10">
        <v>1.08</v>
      </c>
      <c r="L48" s="16">
        <f>AKSESORIS[[#This Row],[Total 
(pcs)]]*AKSESORIS[[#This Row],[Berat/pcs
(Kg)]]</f>
        <v>34.56</v>
      </c>
      <c r="M48" s="165">
        <f>SUMIF(DATA_MASTER[NO. PON],AKSESORIS[[#This Row],[No.PON]],DATA_MASTER[Qty
(Unit)])</f>
        <v>1</v>
      </c>
      <c r="N48" s="16">
        <f>AKSESORIS[[#This Row],[Total 
(pcs)]]*AKSESORIS[[#This Row],[UNIT]]</f>
        <v>32</v>
      </c>
      <c r="O48" s="9"/>
      <c r="P48" s="1">
        <f>AKSESORIS[[#This Row],[Total 
(pcs)]]*2</f>
        <v>64</v>
      </c>
    </row>
    <row r="49" spans="1:16" x14ac:dyDescent="0.3">
      <c r="A49" t="s">
        <v>310</v>
      </c>
      <c r="B49" t="str">
        <f>IFERROR(VLOOKUP(A49,'DATA MASTER'!A:O,2,0)," ")</f>
        <v>Panel Bailey</v>
      </c>
      <c r="C49" s="19" t="str">
        <f>IFERROR(VLOOKUP(A49,'DATA MASTER'!A:O,4,0)," ")</f>
        <v>18 DSR2-EW</v>
      </c>
      <c r="D49" s="1"/>
      <c r="E49" s="1"/>
      <c r="F49" s="20" t="s">
        <v>101</v>
      </c>
      <c r="G49" s="20" t="s">
        <v>102</v>
      </c>
      <c r="H49" s="20" t="s">
        <v>143</v>
      </c>
      <c r="I49" s="1">
        <v>213</v>
      </c>
      <c r="J49" s="1">
        <v>112</v>
      </c>
      <c r="K49" s="10">
        <v>3.1</v>
      </c>
      <c r="L49" s="16">
        <f>AKSESORIS[[#This Row],[Total 
(pcs)]]*AKSESORIS[[#This Row],[Berat/pcs
(Kg)]]</f>
        <v>347.2</v>
      </c>
      <c r="M49" s="165">
        <f>SUMIF(DATA_MASTER[NO. PON],AKSESORIS[[#This Row],[No.PON]],DATA_MASTER[Qty
(Unit)])</f>
        <v>1</v>
      </c>
      <c r="N49" s="16">
        <f>AKSESORIS[[#This Row],[Total 
(pcs)]]*AKSESORIS[[#This Row],[UNIT]]</f>
        <v>112</v>
      </c>
      <c r="O49" s="9"/>
      <c r="P49" s="1">
        <f>AKSESORIS[[#This Row],[Total 
(pcs)]]*1</f>
        <v>112</v>
      </c>
    </row>
    <row r="50" spans="1:16" x14ac:dyDescent="0.3">
      <c r="A50" t="s">
        <v>310</v>
      </c>
      <c r="B50" t="str">
        <f>IFERROR(VLOOKUP(A50,'DATA MASTER'!A:O,2,0)," ")</f>
        <v>Panel Bailey</v>
      </c>
      <c r="C50" s="19" t="str">
        <f>IFERROR(VLOOKUP(A50,'DATA MASTER'!A:O,4,0)," ")</f>
        <v>18 DSR2-EW</v>
      </c>
      <c r="D50" s="1"/>
      <c r="E50" s="1"/>
      <c r="F50" s="20" t="s">
        <v>904</v>
      </c>
      <c r="G50" s="20" t="s">
        <v>145</v>
      </c>
      <c r="H50" s="20" t="s">
        <v>145</v>
      </c>
      <c r="I50" s="1">
        <v>420</v>
      </c>
      <c r="J50" s="1">
        <v>32</v>
      </c>
      <c r="K50" s="10">
        <v>1.08</v>
      </c>
      <c r="L50" s="16">
        <f>AKSESORIS[[#This Row],[Total 
(pcs)]]*AKSESORIS[[#This Row],[Berat/pcs
(Kg)]]</f>
        <v>34.56</v>
      </c>
      <c r="M50" s="165">
        <f>SUMIF(DATA_MASTER[NO. PON],AKSESORIS[[#This Row],[No.PON]],DATA_MASTER[Qty
(Unit)])</f>
        <v>1</v>
      </c>
      <c r="N50" s="16">
        <f>AKSESORIS[[#This Row],[Total 
(pcs)]]*AKSESORIS[[#This Row],[UNIT]]</f>
        <v>32</v>
      </c>
      <c r="O50" s="9"/>
      <c r="P50" s="1">
        <f>AKSESORIS[[#This Row],[Total 
(pcs)]]*1</f>
        <v>32</v>
      </c>
    </row>
    <row r="51" spans="1:16" x14ac:dyDescent="0.3">
      <c r="A51" t="s">
        <v>367</v>
      </c>
      <c r="B51" t="str">
        <f>IFERROR(VLOOKUP(A51,'DATA MASTER'!A:O,2,0)," ")</f>
        <v>Panel Bailey</v>
      </c>
      <c r="C51" s="19" t="str">
        <f>IFERROR(VLOOKUP(A51,'DATA MASTER'!A:O,4,0)," ")</f>
        <v>33 DSR2H*-EW (U120)</v>
      </c>
      <c r="D51" s="1"/>
      <c r="E51" s="1"/>
      <c r="F51" s="20" t="s">
        <v>101</v>
      </c>
      <c r="G51" s="20" t="s">
        <v>102</v>
      </c>
      <c r="H51" s="20" t="s">
        <v>143</v>
      </c>
      <c r="I51" s="1">
        <v>213</v>
      </c>
      <c r="J51" s="1">
        <v>192</v>
      </c>
      <c r="K51" s="10">
        <v>3.1</v>
      </c>
      <c r="L51" s="16">
        <f>AKSESORIS[[#This Row],[Total 
(pcs)]]*AKSESORIS[[#This Row],[Berat/pcs
(Kg)]]</f>
        <v>595.20000000000005</v>
      </c>
      <c r="M51" s="165">
        <f>SUMIF(DATA_MASTER[NO. PON],AKSESORIS[[#This Row],[No.PON]],DATA_MASTER[Qty
(Unit)])</f>
        <v>1</v>
      </c>
      <c r="N51" s="16">
        <f>AKSESORIS[[#This Row],[Total 
(pcs)]]*AKSESORIS[[#This Row],[UNIT]]</f>
        <v>192</v>
      </c>
      <c r="O51" s="9"/>
      <c r="P51" s="1">
        <f>AKSESORIS[[#This Row],[Total 
(pcs)]]</f>
        <v>192</v>
      </c>
    </row>
    <row r="52" spans="1:16" x14ac:dyDescent="0.3">
      <c r="A52" t="s">
        <v>367</v>
      </c>
      <c r="B52" t="str">
        <f>IFERROR(VLOOKUP(A52,'DATA MASTER'!A:O,2,0)," ")</f>
        <v>Panel Bailey</v>
      </c>
      <c r="C52" s="19" t="str">
        <f>IFERROR(VLOOKUP(A52,'DATA MASTER'!A:O,4,0)," ")</f>
        <v>33 DSR2H*-EW (U120)</v>
      </c>
      <c r="D52" s="1"/>
      <c r="E52" s="1"/>
      <c r="F52" s="20" t="s">
        <v>904</v>
      </c>
      <c r="G52" s="20" t="s">
        <v>145</v>
      </c>
      <c r="H52" s="20" t="s">
        <v>145</v>
      </c>
      <c r="I52" s="1">
        <v>420</v>
      </c>
      <c r="J52" s="1">
        <v>32</v>
      </c>
      <c r="K52" s="10">
        <v>1.08</v>
      </c>
      <c r="L52" s="16">
        <f>AKSESORIS[[#This Row],[Total 
(pcs)]]*AKSESORIS[[#This Row],[Berat/pcs
(Kg)]]</f>
        <v>34.56</v>
      </c>
      <c r="M52" s="165">
        <f>SUMIF(DATA_MASTER[NO. PON],AKSESORIS[[#This Row],[No.PON]],DATA_MASTER[Qty
(Unit)])</f>
        <v>1</v>
      </c>
      <c r="N52" s="16">
        <f>AKSESORIS[[#This Row],[Total 
(pcs)]]*AKSESORIS[[#This Row],[UNIT]]</f>
        <v>32</v>
      </c>
      <c r="O52" s="9"/>
      <c r="P52" s="1">
        <f>AKSESORIS[[#This Row],[Total 
(pcs)]]</f>
        <v>32</v>
      </c>
    </row>
    <row r="53" spans="1:16" x14ac:dyDescent="0.3">
      <c r="A53" t="s">
        <v>224</v>
      </c>
      <c r="B53" t="str">
        <f>IFERROR(VLOOKUP(A53,'DATA MASTER'!A:O,2,0)," ")</f>
        <v>Panel Bailey</v>
      </c>
      <c r="C53" s="19" t="str">
        <f>IFERROR(VLOOKUP(A53,'DATA MASTER'!A:O,4,0)," ")</f>
        <v>30 DSR2-EW</v>
      </c>
      <c r="D53" s="1" t="s">
        <v>119</v>
      </c>
      <c r="E53" s="1"/>
      <c r="F53" s="20" t="s">
        <v>101</v>
      </c>
      <c r="G53" s="20" t="s">
        <v>102</v>
      </c>
      <c r="H53" s="20" t="s">
        <v>143</v>
      </c>
      <c r="I53" s="1">
        <v>213</v>
      </c>
      <c r="J53" s="1">
        <v>192</v>
      </c>
      <c r="K53" s="10">
        <v>3.1</v>
      </c>
      <c r="L53" s="10">
        <f>AKSESORIS[[#This Row],[Total 
(pcs)]]*AKSESORIS[[#This Row],[Berat/pcs
(Kg)]]</f>
        <v>595.20000000000005</v>
      </c>
      <c r="M53" s="44">
        <f>SUMIF(DATA_MASTER[NO. PON],AKSESORIS[[#This Row],[No.PON]],DATA_MASTER[Qty
(Unit)])</f>
        <v>3</v>
      </c>
      <c r="N53" s="10">
        <f>AKSESORIS[[#This Row],[Total 
(pcs)]]*AKSESORIS[[#This Row],[UNIT]]</f>
        <v>576</v>
      </c>
      <c r="O53" s="9"/>
      <c r="P53"/>
    </row>
    <row r="54" spans="1:16" x14ac:dyDescent="0.3">
      <c r="A54" t="s">
        <v>224</v>
      </c>
      <c r="B54" t="str">
        <f>IFERROR(VLOOKUP(A54,'DATA MASTER'!A:O,2,0)," ")</f>
        <v>Panel Bailey</v>
      </c>
      <c r="C54" s="19" t="str">
        <f>IFERROR(VLOOKUP(A54,'DATA MASTER'!A:O,4,0)," ")</f>
        <v>30 DSR2-EW</v>
      </c>
      <c r="D54" s="1" t="s">
        <v>119</v>
      </c>
      <c r="E54" s="1"/>
      <c r="F54" s="20" t="s">
        <v>904</v>
      </c>
      <c r="G54" s="20" t="s">
        <v>145</v>
      </c>
      <c r="H54" s="20" t="s">
        <v>145</v>
      </c>
      <c r="I54" s="1">
        <v>420</v>
      </c>
      <c r="J54" s="1">
        <f>32</f>
        <v>32</v>
      </c>
      <c r="K54" s="10">
        <v>1.08</v>
      </c>
      <c r="L54" s="10">
        <f>AKSESORIS[[#This Row],[Total 
(pcs)]]*AKSESORIS[[#This Row],[Berat/pcs
(Kg)]]</f>
        <v>34.56</v>
      </c>
      <c r="M54" s="44">
        <f>SUMIF(DATA_MASTER[NO. PON],AKSESORIS[[#This Row],[No.PON]],DATA_MASTER[Qty
(Unit)])</f>
        <v>3</v>
      </c>
      <c r="N54" s="10">
        <f>AKSESORIS[[#This Row],[Total 
(pcs)]]*AKSESORIS[[#This Row],[UNIT]]</f>
        <v>96</v>
      </c>
      <c r="O54" s="9"/>
      <c r="P54"/>
    </row>
    <row r="55" spans="1:16" x14ac:dyDescent="0.3">
      <c r="A55" t="s">
        <v>430</v>
      </c>
      <c r="B55" t="str">
        <f>IFERROR(VLOOKUP(A55,'DATA MASTER'!A:O,2,0)," ")</f>
        <v>Girder</v>
      </c>
      <c r="C55" s="19" t="str">
        <f>IFERROR(VLOOKUP(A55,'DATA MASTER'!A:O,4,0)," ")</f>
        <v>BG22</v>
      </c>
      <c r="D55" s="1" t="s">
        <v>169</v>
      </c>
      <c r="E55" s="1"/>
      <c r="F55" s="20" t="s">
        <v>44</v>
      </c>
      <c r="G55" s="20" t="s">
        <v>434</v>
      </c>
      <c r="H55" s="20" t="s">
        <v>436</v>
      </c>
      <c r="J55" s="1">
        <f>10</f>
        <v>10</v>
      </c>
      <c r="K55" s="44">
        <v>14.404222000000001</v>
      </c>
      <c r="L55" s="16">
        <f>AKSESORIS[[#This Row],[Total 
(pcs)]]*AKSESORIS[[#This Row],[Berat/pcs
(Kg)]]</f>
        <v>144.04222000000001</v>
      </c>
      <c r="M55" s="165">
        <f>SUMIF(DATA_MASTER[NO. PON],AKSESORIS[[#This Row],[No.PON]],DATA_MASTER[Qty
(Unit)])</f>
        <v>1</v>
      </c>
      <c r="N55" s="16">
        <f>AKSESORIS[[#This Row],[Total 
(pcs)]]*AKSESORIS[[#This Row],[UNIT]]</f>
        <v>10</v>
      </c>
      <c r="O55" s="9"/>
    </row>
    <row r="56" spans="1:16" x14ac:dyDescent="0.3">
      <c r="A56" t="s">
        <v>430</v>
      </c>
      <c r="B56" t="str">
        <f>IFERROR(VLOOKUP(A56,'DATA MASTER'!A:O,2,0)," ")</f>
        <v>Girder</v>
      </c>
      <c r="C56" s="19" t="str">
        <f>IFERROR(VLOOKUP(A56,'DATA MASTER'!A:O,4,0)," ")</f>
        <v>BG22</v>
      </c>
      <c r="D56" s="1" t="s">
        <v>169</v>
      </c>
      <c r="E56" s="1"/>
      <c r="F56" s="20" t="s">
        <v>44</v>
      </c>
      <c r="G56" s="20" t="s">
        <v>435</v>
      </c>
      <c r="H56" s="20" t="s">
        <v>62</v>
      </c>
      <c r="J56" s="1">
        <f>4</f>
        <v>4</v>
      </c>
      <c r="K56" s="44">
        <v>3.438072</v>
      </c>
      <c r="L56" s="16">
        <f>AKSESORIS[[#This Row],[Total 
(pcs)]]*AKSESORIS[[#This Row],[Berat/pcs
(Kg)]]</f>
        <v>13.752288</v>
      </c>
      <c r="M56" s="165">
        <f>SUMIF(DATA_MASTER[NO. PON],AKSESORIS[[#This Row],[No.PON]],DATA_MASTER[Qty
(Unit)])</f>
        <v>1</v>
      </c>
      <c r="N56" s="16">
        <f>AKSESORIS[[#This Row],[Total 
(pcs)]]*AKSESORIS[[#This Row],[UNIT]]</f>
        <v>4</v>
      </c>
      <c r="O56" s="9"/>
    </row>
    <row r="57" spans="1:16" x14ac:dyDescent="0.3">
      <c r="A57" t="s">
        <v>430</v>
      </c>
      <c r="B57" t="str">
        <f>IFERROR(VLOOKUP(A57,'DATA MASTER'!A:O,2,0)," ")</f>
        <v>Girder</v>
      </c>
      <c r="C57" s="19" t="str">
        <f>IFERROR(VLOOKUP(A57,'DATA MASTER'!A:O,4,0)," ")</f>
        <v>BG22</v>
      </c>
      <c r="D57" s="1"/>
      <c r="E57" s="1"/>
      <c r="F57" s="20" t="s">
        <v>904</v>
      </c>
      <c r="G57" s="20" t="s">
        <v>53</v>
      </c>
      <c r="H57" s="20" t="s">
        <v>53</v>
      </c>
      <c r="I57" s="1">
        <v>420</v>
      </c>
      <c r="J57" s="1">
        <f>20</f>
        <v>20</v>
      </c>
      <c r="K57" s="44">
        <v>1.55</v>
      </c>
      <c r="L57" s="16">
        <f>AKSESORIS[[#This Row],[Total 
(pcs)]]*AKSESORIS[[#This Row],[Berat/pcs
(Kg)]]</f>
        <v>31</v>
      </c>
      <c r="M57" s="165">
        <f>SUMIF(DATA_MASTER[NO. PON],AKSESORIS[[#This Row],[No.PON]],DATA_MASTER[Qty
(Unit)])</f>
        <v>1</v>
      </c>
      <c r="N57" s="16">
        <f>AKSESORIS[[#This Row],[Total 
(pcs)]]*AKSESORIS[[#This Row],[UNIT]]</f>
        <v>20</v>
      </c>
      <c r="O57" s="9"/>
    </row>
    <row r="58" spans="1:16" x14ac:dyDescent="0.3">
      <c r="A58" t="s">
        <v>430</v>
      </c>
      <c r="B58" t="str">
        <f>IFERROR(VLOOKUP(A58,'DATA MASTER'!A:O,2,0)," ")</f>
        <v>Girder</v>
      </c>
      <c r="C58" s="19" t="str">
        <f>IFERROR(VLOOKUP(A58,'DATA MASTER'!A:O,4,0)," ")</f>
        <v>BG22</v>
      </c>
      <c r="D58" s="1"/>
      <c r="E58" s="1"/>
      <c r="F58" s="20" t="s">
        <v>54</v>
      </c>
      <c r="G58" s="20" t="s">
        <v>55</v>
      </c>
      <c r="H58" s="20" t="s">
        <v>55</v>
      </c>
      <c r="I58" s="1">
        <v>185</v>
      </c>
      <c r="J58" s="1">
        <f>96</f>
        <v>96</v>
      </c>
      <c r="K58" s="44">
        <v>0.21</v>
      </c>
      <c r="L58" s="16">
        <f>AKSESORIS[[#This Row],[Total 
(pcs)]]*AKSESORIS[[#This Row],[Berat/pcs
(Kg)]]</f>
        <v>20.16</v>
      </c>
      <c r="M58" s="165">
        <f>SUMIF(DATA_MASTER[NO. PON],AKSESORIS[[#This Row],[No.PON]],DATA_MASTER[Qty
(Unit)])</f>
        <v>1</v>
      </c>
      <c r="N58" s="16">
        <f>AKSESORIS[[#This Row],[Total 
(pcs)]]*AKSESORIS[[#This Row],[UNIT]]</f>
        <v>96</v>
      </c>
      <c r="O58" s="9"/>
    </row>
    <row r="59" spans="1:16" x14ac:dyDescent="0.3">
      <c r="A59" t="s">
        <v>430</v>
      </c>
      <c r="B59" t="str">
        <f>IFERROR(VLOOKUP(A59,'DATA MASTER'!A:O,2,0)," ")</f>
        <v>Girder</v>
      </c>
      <c r="C59" s="19" t="str">
        <f>IFERROR(VLOOKUP(A59,'DATA MASTER'!A:O,4,0)," ")</f>
        <v>BG22</v>
      </c>
      <c r="D59" s="1"/>
      <c r="E59" s="1"/>
      <c r="F59" s="20" t="s">
        <v>43</v>
      </c>
      <c r="G59" s="20" t="s">
        <v>437</v>
      </c>
      <c r="H59" s="20" t="s">
        <v>440</v>
      </c>
      <c r="J59" s="1">
        <v>4</v>
      </c>
      <c r="K59" s="44">
        <v>10.06</v>
      </c>
      <c r="L59" s="16">
        <f>AKSESORIS[[#This Row],[Total 
(pcs)]]*AKSESORIS[[#This Row],[Berat/pcs
(Kg)]]</f>
        <v>40.24</v>
      </c>
      <c r="M59" s="165">
        <f>SUMIF(DATA_MASTER[NO. PON],AKSESORIS[[#This Row],[No.PON]],DATA_MASTER[Qty
(Unit)])</f>
        <v>1</v>
      </c>
      <c r="N59" s="16">
        <f>AKSESORIS[[#This Row],[Total 
(pcs)]]*AKSESORIS[[#This Row],[UNIT]]</f>
        <v>4</v>
      </c>
      <c r="O59" s="9"/>
    </row>
    <row r="60" spans="1:16" x14ac:dyDescent="0.3">
      <c r="A60" t="s">
        <v>430</v>
      </c>
      <c r="B60" t="str">
        <f>IFERROR(VLOOKUP(A60,'DATA MASTER'!A:O,2,0)," ")</f>
        <v>Girder</v>
      </c>
      <c r="C60" s="19" t="str">
        <f>IFERROR(VLOOKUP(A60,'DATA MASTER'!A:O,4,0)," ")</f>
        <v>BG22</v>
      </c>
      <c r="D60" s="1"/>
      <c r="E60" s="1"/>
      <c r="F60" s="20" t="s">
        <v>43</v>
      </c>
      <c r="G60" s="20" t="s">
        <v>438</v>
      </c>
      <c r="H60" s="20" t="s">
        <v>440</v>
      </c>
      <c r="J60" s="1">
        <v>4</v>
      </c>
      <c r="K60" s="44">
        <v>9.9700000000000006</v>
      </c>
      <c r="L60" s="16">
        <f>AKSESORIS[[#This Row],[Total 
(pcs)]]*AKSESORIS[[#This Row],[Berat/pcs
(Kg)]]</f>
        <v>39.880000000000003</v>
      </c>
      <c r="M60" s="165">
        <f>SUMIF(DATA_MASTER[NO. PON],AKSESORIS[[#This Row],[No.PON]],DATA_MASTER[Qty
(Unit)])</f>
        <v>1</v>
      </c>
      <c r="N60" s="16">
        <f>AKSESORIS[[#This Row],[Total 
(pcs)]]*AKSESORIS[[#This Row],[UNIT]]</f>
        <v>4</v>
      </c>
      <c r="O60" s="9"/>
    </row>
    <row r="61" spans="1:16" x14ac:dyDescent="0.3">
      <c r="A61" t="s">
        <v>430</v>
      </c>
      <c r="B61" t="str">
        <f>IFERROR(VLOOKUP(A61,'DATA MASTER'!A:O,2,0)," ")</f>
        <v>Girder</v>
      </c>
      <c r="C61" s="19" t="str">
        <f>IFERROR(VLOOKUP(A61,'DATA MASTER'!A:O,4,0)," ")</f>
        <v>BG22</v>
      </c>
      <c r="D61" s="1"/>
      <c r="E61" s="1"/>
      <c r="F61" s="20" t="s">
        <v>43</v>
      </c>
      <c r="G61" s="20" t="s">
        <v>439</v>
      </c>
      <c r="H61" s="20" t="s">
        <v>440</v>
      </c>
      <c r="J61" s="1">
        <v>84</v>
      </c>
      <c r="K61" s="44">
        <v>14.29</v>
      </c>
      <c r="L61" s="16">
        <f>AKSESORIS[[#This Row],[Total 
(pcs)]]*AKSESORIS[[#This Row],[Berat/pcs
(Kg)]]</f>
        <v>1200.3599999999999</v>
      </c>
      <c r="M61" s="165">
        <f>SUMIF(DATA_MASTER[NO. PON],AKSESORIS[[#This Row],[No.PON]],DATA_MASTER[Qty
(Unit)])</f>
        <v>1</v>
      </c>
      <c r="N61" s="16">
        <f>AKSESORIS[[#This Row],[Total 
(pcs)]]*AKSESORIS[[#This Row],[UNIT]]</f>
        <v>84</v>
      </c>
      <c r="O61" s="9"/>
    </row>
    <row r="62" spans="1:16" x14ac:dyDescent="0.3">
      <c r="A62" t="s">
        <v>430</v>
      </c>
      <c r="B62" t="str">
        <f>IFERROR(VLOOKUP(A62,'DATA MASTER'!A:O,2,0)," ")</f>
        <v>Girder</v>
      </c>
      <c r="C62" s="19" t="str">
        <f>IFERROR(VLOOKUP(A62,'DATA MASTER'!A:O,4,0)," ")</f>
        <v>BG22</v>
      </c>
      <c r="D62" s="1"/>
      <c r="E62" s="1"/>
      <c r="F62" s="20" t="s">
        <v>56</v>
      </c>
      <c r="G62" s="20" t="s">
        <v>58</v>
      </c>
      <c r="H62" s="20" t="s">
        <v>57</v>
      </c>
      <c r="I62" s="1" t="s">
        <v>903</v>
      </c>
      <c r="J62" s="1">
        <f>96</f>
        <v>96</v>
      </c>
      <c r="K62" s="10">
        <v>0.33</v>
      </c>
      <c r="L62" s="16">
        <f>AKSESORIS[[#This Row],[Total 
(pcs)]]*AKSESORIS[[#This Row],[Berat/pcs
(Kg)]]</f>
        <v>31.68</v>
      </c>
      <c r="M62" s="165">
        <f>SUMIF(DATA_MASTER[NO. PON],AKSESORIS[[#This Row],[No.PON]],DATA_MASTER[Qty
(Unit)])</f>
        <v>1</v>
      </c>
      <c r="N62" s="16">
        <f>AKSESORIS[[#This Row],[Total 
(pcs)]]*AKSESORIS[[#This Row],[UNIT]]</f>
        <v>96</v>
      </c>
      <c r="O62" s="9"/>
    </row>
    <row r="63" spans="1:16" x14ac:dyDescent="0.3">
      <c r="A63" t="s">
        <v>286</v>
      </c>
      <c r="B63" t="str">
        <f>IFERROR(VLOOKUP(A63,'DATA MASTER'!A:O,2,0)," ")</f>
        <v>Panel Bailey</v>
      </c>
      <c r="C63" s="19" t="str">
        <f>IFERROR(VLOOKUP(A63,'DATA MASTER'!A:O,4,0)," ")</f>
        <v>42 DSR2-EW (U120)</v>
      </c>
      <c r="D63" s="1"/>
      <c r="E63" s="1"/>
      <c r="F63" s="20" t="s">
        <v>101</v>
      </c>
      <c r="G63" s="20" t="s">
        <v>102</v>
      </c>
      <c r="H63" s="20" t="s">
        <v>143</v>
      </c>
      <c r="I63" s="1">
        <v>213</v>
      </c>
      <c r="J63" s="1">
        <v>251</v>
      </c>
      <c r="K63" s="10">
        <f>K52</f>
        <v>1.08</v>
      </c>
      <c r="L63" s="10">
        <f>AKSESORIS[[#This Row],[Total 
(pcs)]]*AKSESORIS[[#This Row],[Berat/pcs
(Kg)]]</f>
        <v>271.08000000000004</v>
      </c>
      <c r="M63" s="44">
        <f>SUMIF(DATA_MASTER[NO. PON],AKSESORIS[[#This Row],[No.PON]],DATA_MASTER[Qty
(Unit)])</f>
        <v>1</v>
      </c>
      <c r="N63" s="10">
        <f>AKSESORIS[[#This Row],[Total 
(pcs)]]*AKSESORIS[[#This Row],[UNIT]]</f>
        <v>251</v>
      </c>
      <c r="O63" s="9"/>
      <c r="P63" s="1">
        <f>AKSESORIS[[#This Row],[Total 
(pcs)]]*1</f>
        <v>251</v>
      </c>
    </row>
    <row r="64" spans="1:16" x14ac:dyDescent="0.3">
      <c r="A64" t="s">
        <v>286</v>
      </c>
      <c r="B64" t="str">
        <f>IFERROR(VLOOKUP(A64,'DATA MASTER'!A:O,2,0)," ")</f>
        <v>Panel Bailey</v>
      </c>
      <c r="C64" s="19" t="str">
        <f>IFERROR(VLOOKUP(A64,'DATA MASTER'!A:O,4,0)," ")</f>
        <v>42 DSR2-EW (U120)</v>
      </c>
      <c r="D64" s="1"/>
      <c r="E64" s="1"/>
      <c r="F64" s="20" t="s">
        <v>904</v>
      </c>
      <c r="G64" s="20" t="s">
        <v>145</v>
      </c>
      <c r="H64" s="20" t="s">
        <v>145</v>
      </c>
      <c r="I64" s="1">
        <v>420</v>
      </c>
      <c r="J64" s="1">
        <v>32</v>
      </c>
      <c r="K64" s="10">
        <v>1.08</v>
      </c>
      <c r="L64" s="10">
        <f>AKSESORIS[[#This Row],[Total 
(pcs)]]*AKSESORIS[[#This Row],[Berat/pcs
(Kg)]]</f>
        <v>34.56</v>
      </c>
      <c r="M64" s="44">
        <f>SUMIF(DATA_MASTER[NO. PON],AKSESORIS[[#This Row],[No.PON]],DATA_MASTER[Qty
(Unit)])</f>
        <v>1</v>
      </c>
      <c r="N64" s="10">
        <f>AKSESORIS[[#This Row],[Total 
(pcs)]]*AKSESORIS[[#This Row],[UNIT]]</f>
        <v>32</v>
      </c>
      <c r="O64" s="9"/>
      <c r="P64" s="1">
        <f>AKSESORIS[[#This Row],[Total 
(pcs)]]*1</f>
        <v>32</v>
      </c>
    </row>
    <row r="65" spans="1:16" x14ac:dyDescent="0.3">
      <c r="A65" t="s">
        <v>290</v>
      </c>
      <c r="B65" t="str">
        <f>IFERROR(VLOOKUP(A65,'DATA MASTER'!A:O,2,0)," ")</f>
        <v>Panel Bailey</v>
      </c>
      <c r="C65" s="19" t="str">
        <f>IFERROR(VLOOKUP(A65,'DATA MASTER'!A:O,4,0)," ")</f>
        <v>45 DSR2H**-EW (U120)</v>
      </c>
      <c r="D65" s="1"/>
      <c r="E65" s="1"/>
      <c r="F65" s="20" t="s">
        <v>101</v>
      </c>
      <c r="G65" s="20" t="s">
        <v>102</v>
      </c>
      <c r="H65" s="20" t="s">
        <v>143</v>
      </c>
      <c r="I65" s="1">
        <v>213</v>
      </c>
      <c r="J65" s="1">
        <v>283</v>
      </c>
      <c r="K65" s="10">
        <v>3.1</v>
      </c>
      <c r="L65" s="10">
        <f>AKSESORIS[[#This Row],[Total 
(pcs)]]*AKSESORIS[[#This Row],[Berat/pcs
(Kg)]]</f>
        <v>877.30000000000007</v>
      </c>
      <c r="M65" s="44">
        <f>SUMIF(DATA_MASTER[NO. PON],AKSESORIS[[#This Row],[No.PON]],DATA_MASTER[Qty
(Unit)])</f>
        <v>2</v>
      </c>
      <c r="N65" s="10">
        <f>AKSESORIS[[#This Row],[Total 
(pcs)]]*AKSESORIS[[#This Row],[UNIT]]</f>
        <v>566</v>
      </c>
      <c r="O65" s="9"/>
      <c r="P65" s="1">
        <f>AKSESORIS[[#This Row],[Total 
(pcs)]]*2</f>
        <v>566</v>
      </c>
    </row>
    <row r="66" spans="1:16" x14ac:dyDescent="0.3">
      <c r="A66" t="s">
        <v>290</v>
      </c>
      <c r="B66" t="str">
        <f>IFERROR(VLOOKUP(A66,'DATA MASTER'!A:O,2,0)," ")</f>
        <v>Panel Bailey</v>
      </c>
      <c r="C66" s="19" t="str">
        <f>IFERROR(VLOOKUP(A66,'DATA MASTER'!A:O,4,0)," ")</f>
        <v>45 DSR2H**-EW (U120)</v>
      </c>
      <c r="D66" s="1"/>
      <c r="E66" s="1"/>
      <c r="F66" s="20" t="s">
        <v>904</v>
      </c>
      <c r="G66" s="20" t="s">
        <v>145</v>
      </c>
      <c r="H66" s="20" t="s">
        <v>145</v>
      </c>
      <c r="I66" s="1">
        <v>420</v>
      </c>
      <c r="J66" s="1">
        <v>32</v>
      </c>
      <c r="K66" s="10">
        <v>1.08</v>
      </c>
      <c r="L66" s="10">
        <f>AKSESORIS[[#This Row],[Total 
(pcs)]]*AKSESORIS[[#This Row],[Berat/pcs
(Kg)]]</f>
        <v>34.56</v>
      </c>
      <c r="M66" s="44">
        <f>SUMIF(DATA_MASTER[NO. PON],AKSESORIS[[#This Row],[No.PON]],DATA_MASTER[Qty
(Unit)])</f>
        <v>2</v>
      </c>
      <c r="N66" s="10">
        <f>AKSESORIS[[#This Row],[Total 
(pcs)]]*AKSESORIS[[#This Row],[UNIT]]</f>
        <v>64</v>
      </c>
      <c r="O66" s="9"/>
      <c r="P66" s="1">
        <f>AKSESORIS[[#This Row],[Total 
(pcs)]]*2</f>
        <v>64</v>
      </c>
    </row>
    <row r="67" spans="1:16" x14ac:dyDescent="0.3">
      <c r="A67" t="s">
        <v>313</v>
      </c>
      <c r="B67" t="str">
        <f>IFERROR(VLOOKUP(A67,'DATA MASTER'!A:O,2,0)," ")</f>
        <v>BEAM TRESTLE</v>
      </c>
      <c r="C67" s="19" t="str">
        <f>IFERROR(VLOOKUP(A67,'DATA MASTER'!A:O,4,0)," ")</f>
        <v>TRESTLE BEAM</v>
      </c>
      <c r="D67" s="1"/>
      <c r="E67" s="1"/>
      <c r="F67" s="20" t="s">
        <v>904</v>
      </c>
      <c r="G67" s="20" t="s">
        <v>145</v>
      </c>
      <c r="H67" s="20" t="s">
        <v>145</v>
      </c>
      <c r="I67" s="1">
        <v>420</v>
      </c>
      <c r="J67" s="1">
        <f>96</f>
        <v>96</v>
      </c>
      <c r="K67" s="44">
        <v>1.08</v>
      </c>
      <c r="L67" s="16">
        <f>AKSESORIS[[#This Row],[Total 
(pcs)]]*AKSESORIS[[#This Row],[Berat/pcs
(Kg)]]</f>
        <v>103.68</v>
      </c>
      <c r="M67" s="165">
        <f>SUMIF(DATA_MASTER[NO. PON],AKSESORIS[[#This Row],[No.PON]],DATA_MASTER[Qty
(Unit)])</f>
        <v>1</v>
      </c>
      <c r="N67" s="16">
        <f>AKSESORIS[[#This Row],[Total 
(pcs)]]*AKSESORIS[[#This Row],[UNIT]]</f>
        <v>96</v>
      </c>
      <c r="O67" s="9"/>
      <c r="P67" s="1">
        <f>AKSESORIS[[#This Row],[Total 
(pcs)]]*1</f>
        <v>96</v>
      </c>
    </row>
    <row r="68" spans="1:16" x14ac:dyDescent="0.3">
      <c r="A68" t="s">
        <v>313</v>
      </c>
      <c r="B68" t="str">
        <f>IFERROR(VLOOKUP(A68,'DATA MASTER'!A:O,2,0)," ")</f>
        <v>BEAM TRESTLE</v>
      </c>
      <c r="C68" s="19" t="str">
        <f>IFERROR(VLOOKUP(A68,'DATA MASTER'!A:O,4,0)," ")</f>
        <v>TRESTLE BEAM</v>
      </c>
      <c r="D68" s="1"/>
      <c r="E68" s="1"/>
      <c r="F68" s="20" t="s">
        <v>101</v>
      </c>
      <c r="G68" s="20" t="s">
        <v>316</v>
      </c>
      <c r="H68" s="20" t="s">
        <v>321</v>
      </c>
      <c r="J68" s="1">
        <v>24</v>
      </c>
      <c r="K68" s="44">
        <v>6.91</v>
      </c>
      <c r="L68" s="16">
        <f>AKSESORIS[[#This Row],[Total 
(pcs)]]*AKSESORIS[[#This Row],[Berat/pcs
(Kg)]]</f>
        <v>165.84</v>
      </c>
      <c r="M68" s="165">
        <f>SUMIF(DATA_MASTER[NO. PON],AKSESORIS[[#This Row],[No.PON]],DATA_MASTER[Qty
(Unit)])</f>
        <v>1</v>
      </c>
      <c r="N68" s="16">
        <f>AKSESORIS[[#This Row],[Total 
(pcs)]]*AKSESORIS[[#This Row],[UNIT]]</f>
        <v>24</v>
      </c>
      <c r="O68" s="9"/>
      <c r="P68" s="1">
        <f>AKSESORIS[[#This Row],[Total 
(pcs)]]*1</f>
        <v>24</v>
      </c>
    </row>
    <row r="69" spans="1:16" x14ac:dyDescent="0.3">
      <c r="A69" t="s">
        <v>313</v>
      </c>
      <c r="B69" t="str">
        <f>IFERROR(VLOOKUP(A69,'DATA MASTER'!A:O,2,0)," ")</f>
        <v>BEAM TRESTLE</v>
      </c>
      <c r="C69" s="19" t="str">
        <f>IFERROR(VLOOKUP(A69,'DATA MASTER'!A:O,4,0)," ")</f>
        <v>TRESTLE BEAM</v>
      </c>
      <c r="D69" s="1"/>
      <c r="E69" s="1"/>
      <c r="F69" s="20" t="s">
        <v>101</v>
      </c>
      <c r="G69" s="20" t="s">
        <v>317</v>
      </c>
      <c r="H69" s="20" t="s">
        <v>319</v>
      </c>
      <c r="J69" s="1">
        <v>12</v>
      </c>
      <c r="K69" s="44">
        <v>0.19</v>
      </c>
      <c r="L69" s="16">
        <f>AKSESORIS[[#This Row],[Total 
(pcs)]]*AKSESORIS[[#This Row],[Berat/pcs
(Kg)]]</f>
        <v>2.2800000000000002</v>
      </c>
      <c r="M69" s="165">
        <f>SUMIF(DATA_MASTER[NO. PON],AKSESORIS[[#This Row],[No.PON]],DATA_MASTER[Qty
(Unit)])</f>
        <v>1</v>
      </c>
      <c r="N69" s="16">
        <f>AKSESORIS[[#This Row],[Total 
(pcs)]]*AKSESORIS[[#This Row],[UNIT]]</f>
        <v>12</v>
      </c>
      <c r="O69" s="9"/>
      <c r="P69" s="1">
        <f>AKSESORIS[[#This Row],[Total 
(pcs)]]*1</f>
        <v>12</v>
      </c>
    </row>
    <row r="70" spans="1:16" x14ac:dyDescent="0.3">
      <c r="A70" t="s">
        <v>313</v>
      </c>
      <c r="B70" t="str">
        <f>IFERROR(VLOOKUP(A70,'DATA MASTER'!A:O,2,0)," ")</f>
        <v>BEAM TRESTLE</v>
      </c>
      <c r="C70" s="19" t="str">
        <f>IFERROR(VLOOKUP(A70,'DATA MASTER'!A:O,4,0)," ")</f>
        <v>TRESTLE BEAM</v>
      </c>
      <c r="D70" s="1"/>
      <c r="E70" s="1"/>
      <c r="F70" s="20" t="s">
        <v>880</v>
      </c>
      <c r="G70" s="20" t="s">
        <v>318</v>
      </c>
      <c r="H70" s="20" t="s">
        <v>320</v>
      </c>
      <c r="J70" s="1">
        <v>24</v>
      </c>
      <c r="K70" s="44">
        <v>0</v>
      </c>
      <c r="L70" s="16">
        <f>AKSESORIS[[#This Row],[Total 
(pcs)]]*AKSESORIS[[#This Row],[Berat/pcs
(Kg)]]</f>
        <v>0</v>
      </c>
      <c r="M70" s="165">
        <f>SUMIF(DATA_MASTER[NO. PON],AKSESORIS[[#This Row],[No.PON]],DATA_MASTER[Qty
(Unit)])</f>
        <v>1</v>
      </c>
      <c r="N70" s="16">
        <f>AKSESORIS[[#This Row],[Total 
(pcs)]]*AKSESORIS[[#This Row],[UNIT]]</f>
        <v>24</v>
      </c>
      <c r="O70" s="9"/>
      <c r="P70" s="1">
        <f>AKSESORIS[[#This Row],[Total 
(pcs)]]*1</f>
        <v>24</v>
      </c>
    </row>
    <row r="71" spans="1:16" x14ac:dyDescent="0.3">
      <c r="A71" t="s">
        <v>358</v>
      </c>
      <c r="B71" t="str">
        <f>IFERROR(VLOOKUP(A71,'DATA MASTER'!A:O,2,0)," ")</f>
        <v>Panel Bailey</v>
      </c>
      <c r="C71" s="19" t="str">
        <f>IFERROR(VLOOKUP(A71,'DATA MASTER'!A:O,4,0)," ")</f>
        <v>30 DSR2-EW</v>
      </c>
      <c r="D71" s="1"/>
      <c r="E71" s="1"/>
      <c r="F71" s="20" t="s">
        <v>101</v>
      </c>
      <c r="G71" s="20" t="s">
        <v>102</v>
      </c>
      <c r="H71" s="20" t="s">
        <v>143</v>
      </c>
      <c r="I71" s="1">
        <v>213</v>
      </c>
      <c r="J71" s="1">
        <v>192</v>
      </c>
      <c r="K71" s="44">
        <v>3.1</v>
      </c>
      <c r="L71" s="16">
        <f>AKSESORIS[[#This Row],[Total 
(pcs)]]*AKSESORIS[[#This Row],[Berat/pcs
(Kg)]]</f>
        <v>595.20000000000005</v>
      </c>
      <c r="M71" s="165">
        <f>SUMIF(DATA_MASTER[NO. PON],AKSESORIS[[#This Row],[No.PON]],DATA_MASTER[Qty
(Unit)])</f>
        <v>1</v>
      </c>
      <c r="N71" s="16">
        <f>AKSESORIS[[#This Row],[Total 
(pcs)]]*AKSESORIS[[#This Row],[UNIT]]</f>
        <v>192</v>
      </c>
      <c r="O71" s="9"/>
      <c r="P71" s="1">
        <f>AKSESORIS[[#This Row],[Total 
(pcs)]]*1</f>
        <v>192</v>
      </c>
    </row>
    <row r="72" spans="1:16" x14ac:dyDescent="0.3">
      <c r="A72" t="s">
        <v>358</v>
      </c>
      <c r="B72" t="str">
        <f>IFERROR(VLOOKUP(A72,'DATA MASTER'!A:O,2,0)," ")</f>
        <v>Panel Bailey</v>
      </c>
      <c r="C72" s="19" t="str">
        <f>IFERROR(VLOOKUP(A72,'DATA MASTER'!A:O,4,0)," ")</f>
        <v>30 DSR2-EW</v>
      </c>
      <c r="D72" s="1"/>
      <c r="E72" s="1"/>
      <c r="F72" s="20" t="s">
        <v>904</v>
      </c>
      <c r="G72" s="20" t="s">
        <v>145</v>
      </c>
      <c r="H72" s="20" t="s">
        <v>145</v>
      </c>
      <c r="I72" s="1">
        <v>420</v>
      </c>
      <c r="J72" s="1">
        <f>32</f>
        <v>32</v>
      </c>
      <c r="K72" s="44">
        <v>1.08</v>
      </c>
      <c r="L72" s="16">
        <f>AKSESORIS[[#This Row],[Total 
(pcs)]]*AKSESORIS[[#This Row],[Berat/pcs
(Kg)]]</f>
        <v>34.56</v>
      </c>
      <c r="M72" s="165">
        <f>SUMIF(DATA_MASTER[NO. PON],AKSESORIS[[#This Row],[No.PON]],DATA_MASTER[Qty
(Unit)])</f>
        <v>1</v>
      </c>
      <c r="N72" s="16">
        <f>AKSESORIS[[#This Row],[Total 
(pcs)]]*AKSESORIS[[#This Row],[UNIT]]</f>
        <v>32</v>
      </c>
      <c r="O72" s="9"/>
      <c r="P72" s="1">
        <f>AKSESORIS[[#This Row],[Total 
(pcs)]]*1</f>
        <v>32</v>
      </c>
    </row>
    <row r="73" spans="1:16" x14ac:dyDescent="0.3">
      <c r="A73" t="s">
        <v>348</v>
      </c>
      <c r="B73" t="str">
        <f>IFERROR(VLOOKUP(A73,'DATA MASTER'!A:O,2,0)," ")</f>
        <v>Girder</v>
      </c>
      <c r="C73" s="19" t="str">
        <f>IFERROR(VLOOKUP(A73,'DATA MASTER'!A:O,4,0)," ")</f>
        <v>CG30</v>
      </c>
      <c r="D73" s="1"/>
      <c r="E73" s="1"/>
      <c r="F73" s="20" t="s">
        <v>44</v>
      </c>
      <c r="G73" s="20" t="s">
        <v>46</v>
      </c>
      <c r="H73" s="20" t="s">
        <v>51</v>
      </c>
      <c r="J73" s="1">
        <f>8</f>
        <v>8</v>
      </c>
      <c r="K73" s="44">
        <v>15.911322</v>
      </c>
      <c r="L73" s="16">
        <f>AKSESORIS[[#This Row],[Total 
(pcs)]]*AKSESORIS[[#This Row],[Berat/pcs
(Kg)]]</f>
        <v>127.290576</v>
      </c>
      <c r="M73" s="165">
        <f>SUMIF(DATA_MASTER[NO. PON],AKSESORIS[[#This Row],[No.PON]],DATA_MASTER[Qty
(Unit)])</f>
        <v>1</v>
      </c>
      <c r="N73" s="16">
        <f>AKSESORIS[[#This Row],[Total 
(pcs)]]*AKSESORIS[[#This Row],[UNIT]]</f>
        <v>8</v>
      </c>
      <c r="O73" s="9"/>
    </row>
    <row r="74" spans="1:16" x14ac:dyDescent="0.3">
      <c r="A74" t="s">
        <v>348</v>
      </c>
      <c r="B74" t="str">
        <f>IFERROR(VLOOKUP(A74,'DATA MASTER'!A:O,2,0)," ")</f>
        <v>Girder</v>
      </c>
      <c r="C74" s="19" t="str">
        <f>IFERROR(VLOOKUP(A74,'DATA MASTER'!A:O,4,0)," ")</f>
        <v>CG30</v>
      </c>
      <c r="D74" s="1"/>
      <c r="E74" s="1"/>
      <c r="F74" s="20" t="s">
        <v>44</v>
      </c>
      <c r="G74" s="20" t="s">
        <v>49</v>
      </c>
      <c r="H74" s="20" t="s">
        <v>52</v>
      </c>
      <c r="J74" s="1">
        <v>4</v>
      </c>
      <c r="K74" s="44">
        <v>3.920528</v>
      </c>
      <c r="L74" s="16">
        <f>AKSESORIS[[#This Row],[Total 
(pcs)]]*AKSESORIS[[#This Row],[Berat/pcs
(Kg)]]</f>
        <v>15.682112</v>
      </c>
      <c r="M74" s="165">
        <f>SUMIF(DATA_MASTER[NO. PON],AKSESORIS[[#This Row],[No.PON]],DATA_MASTER[Qty
(Unit)])</f>
        <v>1</v>
      </c>
      <c r="N74" s="16">
        <f>AKSESORIS[[#This Row],[Total 
(pcs)]]*AKSESORIS[[#This Row],[UNIT]]</f>
        <v>4</v>
      </c>
      <c r="O74" s="9"/>
    </row>
    <row r="75" spans="1:16" x14ac:dyDescent="0.3">
      <c r="A75" t="s">
        <v>348</v>
      </c>
      <c r="B75" t="str">
        <f>IFERROR(VLOOKUP(A75,'DATA MASTER'!A:O,2,0)," ")</f>
        <v>Girder</v>
      </c>
      <c r="C75" s="19" t="str">
        <f>IFERROR(VLOOKUP(A75,'DATA MASTER'!A:O,4,0)," ")</f>
        <v>CG30</v>
      </c>
      <c r="D75" s="1"/>
      <c r="E75" s="1"/>
      <c r="F75" s="20" t="s">
        <v>904</v>
      </c>
      <c r="G75" s="20" t="s">
        <v>53</v>
      </c>
      <c r="H75" s="20" t="s">
        <v>53</v>
      </c>
      <c r="I75" s="1">
        <v>420</v>
      </c>
      <c r="J75" s="1">
        <f>16</f>
        <v>16</v>
      </c>
      <c r="K75" s="44">
        <v>1.55</v>
      </c>
      <c r="L75" s="16">
        <f>AKSESORIS[[#This Row],[Total 
(pcs)]]*AKSESORIS[[#This Row],[Berat/pcs
(Kg)]]</f>
        <v>24.8</v>
      </c>
      <c r="M75" s="165">
        <f>SUMIF(DATA_MASTER[NO. PON],AKSESORIS[[#This Row],[No.PON]],DATA_MASTER[Qty
(Unit)])</f>
        <v>1</v>
      </c>
      <c r="N75" s="16">
        <f>AKSESORIS[[#This Row],[Total 
(pcs)]]*AKSESORIS[[#This Row],[UNIT]]</f>
        <v>16</v>
      </c>
      <c r="O75" s="9"/>
    </row>
    <row r="76" spans="1:16" x14ac:dyDescent="0.3">
      <c r="A76" t="s">
        <v>348</v>
      </c>
      <c r="B76" t="str">
        <f>IFERROR(VLOOKUP(A76,'DATA MASTER'!A:O,2,0)," ")</f>
        <v>Girder</v>
      </c>
      <c r="C76" s="19" t="str">
        <f>IFERROR(VLOOKUP(A76,'DATA MASTER'!A:O,4,0)," ")</f>
        <v>CG30</v>
      </c>
      <c r="D76" s="1"/>
      <c r="E76" s="1"/>
      <c r="F76" s="20" t="s">
        <v>54</v>
      </c>
      <c r="G76" s="20" t="s">
        <v>55</v>
      </c>
      <c r="H76" s="20" t="s">
        <v>55</v>
      </c>
      <c r="I76" s="1">
        <v>185</v>
      </c>
      <c r="J76" s="1">
        <v>128</v>
      </c>
      <c r="K76" s="44">
        <v>0.21</v>
      </c>
      <c r="L76" s="16">
        <f>AKSESORIS[[#This Row],[Total 
(pcs)]]*AKSESORIS[[#This Row],[Berat/pcs
(Kg)]]</f>
        <v>26.88</v>
      </c>
      <c r="M76" s="165">
        <f>SUMIF(DATA_MASTER[NO. PON],AKSESORIS[[#This Row],[No.PON]],DATA_MASTER[Qty
(Unit)])</f>
        <v>1</v>
      </c>
      <c r="N76" s="16">
        <f>AKSESORIS[[#This Row],[Total 
(pcs)]]*AKSESORIS[[#This Row],[UNIT]]</f>
        <v>128</v>
      </c>
      <c r="O76" s="9"/>
    </row>
    <row r="77" spans="1:16" x14ac:dyDescent="0.3">
      <c r="A77" t="s">
        <v>348</v>
      </c>
      <c r="B77" t="str">
        <f>IFERROR(VLOOKUP(A77,'DATA MASTER'!A:O,2,0)," ")</f>
        <v>Girder</v>
      </c>
      <c r="C77" s="19" t="str">
        <f>IFERROR(VLOOKUP(A77,'DATA MASTER'!A:O,4,0)," ")</f>
        <v>CG30</v>
      </c>
      <c r="D77" s="1"/>
      <c r="E77" s="1"/>
      <c r="F77" s="20" t="s">
        <v>43</v>
      </c>
      <c r="G77" s="20" t="s">
        <v>354</v>
      </c>
      <c r="H77" s="19" t="s">
        <v>353</v>
      </c>
      <c r="J77" s="1">
        <v>3</v>
      </c>
      <c r="K77" s="44">
        <v>5.59</v>
      </c>
      <c r="L77" s="16">
        <f>AKSESORIS[[#This Row],[Total 
(pcs)]]*AKSESORIS[[#This Row],[Berat/pcs
(Kg)]]</f>
        <v>16.77</v>
      </c>
      <c r="M77" s="165">
        <f>SUMIF(DATA_MASTER[NO. PON],AKSESORIS[[#This Row],[No.PON]],DATA_MASTER[Qty
(Unit)])</f>
        <v>1</v>
      </c>
      <c r="N77" s="16">
        <f>AKSESORIS[[#This Row],[Total 
(pcs)]]*AKSESORIS[[#This Row],[UNIT]]</f>
        <v>3</v>
      </c>
      <c r="O77" s="9"/>
    </row>
    <row r="78" spans="1:16" x14ac:dyDescent="0.3">
      <c r="A78" t="s">
        <v>348</v>
      </c>
      <c r="B78" t="str">
        <f>IFERROR(VLOOKUP(A78,'DATA MASTER'!A:O,2,0)," ")</f>
        <v>Girder</v>
      </c>
      <c r="C78" s="19" t="str">
        <f>IFERROR(VLOOKUP(A78,'DATA MASTER'!A:O,4,0)," ")</f>
        <v>CG30</v>
      </c>
      <c r="D78" s="1"/>
      <c r="E78" s="1"/>
      <c r="F78" s="20" t="s">
        <v>43</v>
      </c>
      <c r="G78" s="20" t="s">
        <v>355</v>
      </c>
      <c r="H78" s="19" t="s">
        <v>353</v>
      </c>
      <c r="J78" s="1">
        <v>3</v>
      </c>
      <c r="K78" s="44">
        <v>5.66</v>
      </c>
      <c r="L78" s="16">
        <f>AKSESORIS[[#This Row],[Total 
(pcs)]]*AKSESORIS[[#This Row],[Berat/pcs
(Kg)]]</f>
        <v>16.98</v>
      </c>
      <c r="M78" s="165">
        <f>SUMIF(DATA_MASTER[NO. PON],AKSESORIS[[#This Row],[No.PON]],DATA_MASTER[Qty
(Unit)])</f>
        <v>1</v>
      </c>
      <c r="N78" s="16">
        <f>AKSESORIS[[#This Row],[Total 
(pcs)]]*AKSESORIS[[#This Row],[UNIT]]</f>
        <v>3</v>
      </c>
      <c r="O78" s="9"/>
    </row>
    <row r="79" spans="1:16" x14ac:dyDescent="0.3">
      <c r="A79" t="s">
        <v>348</v>
      </c>
      <c r="B79" t="str">
        <f>IFERROR(VLOOKUP(A79,'DATA MASTER'!A:O,2,0)," ")</f>
        <v>Girder</v>
      </c>
      <c r="C79" s="19" t="str">
        <f>IFERROR(VLOOKUP(A79,'DATA MASTER'!A:O,4,0)," ")</f>
        <v>CG30</v>
      </c>
      <c r="D79" s="1"/>
      <c r="E79" s="1"/>
      <c r="F79" s="20" t="s">
        <v>43</v>
      </c>
      <c r="G79" s="20" t="s">
        <v>356</v>
      </c>
      <c r="H79" s="19" t="s">
        <v>353</v>
      </c>
      <c r="J79" s="1">
        <v>87</v>
      </c>
      <c r="K79" s="44">
        <v>10.73</v>
      </c>
      <c r="L79" s="16">
        <f>AKSESORIS[[#This Row],[Total 
(pcs)]]*AKSESORIS[[#This Row],[Berat/pcs
(Kg)]]</f>
        <v>933.51</v>
      </c>
      <c r="M79" s="165">
        <f>SUMIF(DATA_MASTER[NO. PON],AKSESORIS[[#This Row],[No.PON]],DATA_MASTER[Qty
(Unit)])</f>
        <v>1</v>
      </c>
      <c r="N79" s="16">
        <f>AKSESORIS[[#This Row],[Total 
(pcs)]]*AKSESORIS[[#This Row],[UNIT]]</f>
        <v>87</v>
      </c>
      <c r="O79" s="9"/>
    </row>
    <row r="80" spans="1:16" x14ac:dyDescent="0.3">
      <c r="A80" t="s">
        <v>348</v>
      </c>
      <c r="B80" t="str">
        <f>IFERROR(VLOOKUP(A80,'DATA MASTER'!A:O,2,0)," ")</f>
        <v>Girder</v>
      </c>
      <c r="C80" s="19" t="str">
        <f>IFERROR(VLOOKUP(A80,'DATA MASTER'!A:O,4,0)," ")</f>
        <v>CG30</v>
      </c>
      <c r="D80" s="1"/>
      <c r="E80" s="1"/>
      <c r="F80" s="20" t="s">
        <v>56</v>
      </c>
      <c r="G80" s="20" t="s">
        <v>58</v>
      </c>
      <c r="H80" s="20" t="s">
        <v>57</v>
      </c>
      <c r="I80" s="1" t="s">
        <v>903</v>
      </c>
      <c r="J80" s="1">
        <v>128</v>
      </c>
      <c r="K80" s="10">
        <v>0.33</v>
      </c>
      <c r="L80" s="16">
        <f>AKSESORIS[[#This Row],[Total 
(pcs)]]*AKSESORIS[[#This Row],[Berat/pcs
(Kg)]]</f>
        <v>42.24</v>
      </c>
      <c r="M80" s="165">
        <f>SUMIF(DATA_MASTER[NO. PON],AKSESORIS[[#This Row],[No.PON]],DATA_MASTER[Qty
(Unit)])</f>
        <v>1</v>
      </c>
      <c r="N80" s="16">
        <f>AKSESORIS[[#This Row],[Total 
(pcs)]]*AKSESORIS[[#This Row],[UNIT]]</f>
        <v>128</v>
      </c>
      <c r="O80" s="9"/>
    </row>
    <row r="81" spans="1:15" x14ac:dyDescent="0.3">
      <c r="A81" t="s">
        <v>418</v>
      </c>
      <c r="B81" t="str">
        <f>IFERROR(VLOOKUP(A81,'DATA MASTER'!A:O,2,0)," ")</f>
        <v>Panel Bailey</v>
      </c>
      <c r="C81" s="19" t="str">
        <f>IFERROR(VLOOKUP(A81,'DATA MASTER'!A:O,4,0)," ")</f>
        <v>36 DSR2-EW</v>
      </c>
      <c r="D81" s="1"/>
      <c r="E81" s="1"/>
      <c r="F81" s="20" t="s">
        <v>101</v>
      </c>
      <c r="G81" s="20" t="s">
        <v>102</v>
      </c>
      <c r="H81" s="20" t="s">
        <v>143</v>
      </c>
      <c r="I81" s="1">
        <v>213</v>
      </c>
      <c r="J81" s="1">
        <f>208</f>
        <v>208</v>
      </c>
      <c r="K81" s="44">
        <v>3.1</v>
      </c>
      <c r="L81" s="16">
        <f>AKSESORIS[[#This Row],[Total 
(pcs)]]*AKSESORIS[[#This Row],[Berat/pcs
(Kg)]]</f>
        <v>644.80000000000007</v>
      </c>
      <c r="M81" s="165">
        <f>SUMIF(DATA_MASTER[NO. PON],AKSESORIS[[#This Row],[No.PON]],DATA_MASTER[Qty
(Unit)])</f>
        <v>1</v>
      </c>
      <c r="N81" s="16">
        <f>AKSESORIS[[#This Row],[Total 
(pcs)]]*AKSESORIS[[#This Row],[UNIT]]</f>
        <v>208</v>
      </c>
      <c r="O81" s="9"/>
    </row>
    <row r="82" spans="1:15" x14ac:dyDescent="0.3">
      <c r="A82" t="s">
        <v>418</v>
      </c>
      <c r="B82" t="str">
        <f>IFERROR(VLOOKUP(A82,'DATA MASTER'!A:O,2,0)," ")</f>
        <v>Panel Bailey</v>
      </c>
      <c r="C82" s="19" t="str">
        <f>IFERROR(VLOOKUP(A82,'DATA MASTER'!A:O,4,0)," ")</f>
        <v>36 DSR2-EW</v>
      </c>
      <c r="D82" s="1"/>
      <c r="E82" s="1"/>
      <c r="F82" s="20" t="s">
        <v>904</v>
      </c>
      <c r="G82" s="20" t="s">
        <v>145</v>
      </c>
      <c r="H82" s="20" t="s">
        <v>145</v>
      </c>
      <c r="I82" s="1">
        <v>420</v>
      </c>
      <c r="J82" s="1">
        <f>32</f>
        <v>32</v>
      </c>
      <c r="K82" s="44">
        <v>1.08</v>
      </c>
      <c r="L82" s="16">
        <f>AKSESORIS[[#This Row],[Total 
(pcs)]]*AKSESORIS[[#This Row],[Berat/pcs
(Kg)]]</f>
        <v>34.56</v>
      </c>
      <c r="M82" s="165">
        <f>SUMIF(DATA_MASTER[NO. PON],AKSESORIS[[#This Row],[No.PON]],DATA_MASTER[Qty
(Unit)])</f>
        <v>1</v>
      </c>
      <c r="N82" s="16">
        <f>AKSESORIS[[#This Row],[Total 
(pcs)]]*AKSESORIS[[#This Row],[UNIT]]</f>
        <v>32</v>
      </c>
      <c r="O82" s="9"/>
    </row>
    <row r="83" spans="1:15" x14ac:dyDescent="0.3">
      <c r="A83" t="s">
        <v>422</v>
      </c>
      <c r="B83" t="str">
        <f>IFERROR(VLOOKUP(A83,'DATA MASTER'!A:O,2,0)," ")</f>
        <v>Panel Bailey</v>
      </c>
      <c r="C83" s="19" t="str">
        <f>IFERROR(VLOOKUP(A83,'DATA MASTER'!A:O,4,0)," ")</f>
        <v>30 DSR2-EW</v>
      </c>
      <c r="D83" s="1"/>
      <c r="E83" s="1"/>
      <c r="F83" s="20" t="s">
        <v>101</v>
      </c>
      <c r="G83" s="20" t="s">
        <v>102</v>
      </c>
      <c r="H83" s="20" t="s">
        <v>143</v>
      </c>
      <c r="I83" s="1">
        <v>213</v>
      </c>
      <c r="J83" s="1">
        <v>192</v>
      </c>
      <c r="K83" s="44">
        <v>3.1</v>
      </c>
      <c r="L83" s="16">
        <f>AKSESORIS[[#This Row],[Total 
(pcs)]]*AKSESORIS[[#This Row],[Berat/pcs
(Kg)]]</f>
        <v>595.20000000000005</v>
      </c>
      <c r="M83" s="165">
        <f>SUMIF(DATA_MASTER[NO. PON],AKSESORIS[[#This Row],[No.PON]],DATA_MASTER[Qty
(Unit)])</f>
        <v>2</v>
      </c>
      <c r="N83" s="16">
        <f>AKSESORIS[[#This Row],[Total 
(pcs)]]*AKSESORIS[[#This Row],[UNIT]]</f>
        <v>384</v>
      </c>
      <c r="O83" s="9"/>
    </row>
    <row r="84" spans="1:15" x14ac:dyDescent="0.3">
      <c r="A84" t="s">
        <v>422</v>
      </c>
      <c r="B84" t="str">
        <f>IFERROR(VLOOKUP(A84,'DATA MASTER'!A:O,2,0)," ")</f>
        <v>Panel Bailey</v>
      </c>
      <c r="C84" s="19" t="str">
        <f>IFERROR(VLOOKUP(A84,'DATA MASTER'!A:O,4,0)," ")</f>
        <v>30 DSR2-EW</v>
      </c>
      <c r="D84" s="1"/>
      <c r="E84" s="1"/>
      <c r="F84" s="20" t="s">
        <v>904</v>
      </c>
      <c r="G84" s="20" t="s">
        <v>145</v>
      </c>
      <c r="H84" s="20" t="s">
        <v>145</v>
      </c>
      <c r="I84" s="1">
        <v>420</v>
      </c>
      <c r="J84" s="1">
        <f>32</f>
        <v>32</v>
      </c>
      <c r="K84" s="44">
        <v>1.08</v>
      </c>
      <c r="L84" s="16">
        <f>AKSESORIS[[#This Row],[Total 
(pcs)]]*AKSESORIS[[#This Row],[Berat/pcs
(Kg)]]</f>
        <v>34.56</v>
      </c>
      <c r="M84" s="165">
        <f>SUMIF(DATA_MASTER[NO. PON],AKSESORIS[[#This Row],[No.PON]],DATA_MASTER[Qty
(Unit)])</f>
        <v>2</v>
      </c>
      <c r="N84" s="16">
        <f>AKSESORIS[[#This Row],[Total 
(pcs)]]*AKSESORIS[[#This Row],[UNIT]]</f>
        <v>64</v>
      </c>
      <c r="O84" s="9"/>
    </row>
    <row r="85" spans="1:15" x14ac:dyDescent="0.3">
      <c r="A85" t="s">
        <v>424</v>
      </c>
      <c r="B85" t="str">
        <f>IFERROR(VLOOKUP(A85,'DATA MASTER'!A:O,2,0)," ")</f>
        <v>Panel Bailey</v>
      </c>
      <c r="C85" s="19" t="str">
        <f>IFERROR(VLOOKUP(A85,'DATA MASTER'!A:O,4,0)," ")</f>
        <v>45 TSR2 - EW</v>
      </c>
      <c r="D85" s="1"/>
      <c r="E85" s="1"/>
      <c r="F85" s="20" t="s">
        <v>101</v>
      </c>
      <c r="G85" s="20" t="s">
        <v>102</v>
      </c>
      <c r="H85" s="20" t="s">
        <v>143</v>
      </c>
      <c r="I85" s="1">
        <v>213</v>
      </c>
      <c r="J85" s="1">
        <v>256</v>
      </c>
      <c r="K85" s="44">
        <v>3.1</v>
      </c>
      <c r="L85" s="16">
        <f>AKSESORIS[[#This Row],[Total 
(pcs)]]*AKSESORIS[[#This Row],[Berat/pcs
(Kg)]]</f>
        <v>793.6</v>
      </c>
      <c r="M85" s="165">
        <f>SUMIF(DATA_MASTER[NO. PON],AKSESORIS[[#This Row],[No.PON]],DATA_MASTER[Qty
(Unit)])</f>
        <v>1</v>
      </c>
      <c r="N85" s="16">
        <f>AKSESORIS[[#This Row],[Total 
(pcs)]]*AKSESORIS[[#This Row],[UNIT]]</f>
        <v>256</v>
      </c>
      <c r="O85" s="9"/>
    </row>
    <row r="86" spans="1:15" x14ac:dyDescent="0.3">
      <c r="A86" t="s">
        <v>424</v>
      </c>
      <c r="B86" t="str">
        <f>IFERROR(VLOOKUP(A86,'DATA MASTER'!A:O,2,0)," ")</f>
        <v>Panel Bailey</v>
      </c>
      <c r="C86" s="19" t="str">
        <f>IFERROR(VLOOKUP(A86,'DATA MASTER'!A:O,4,0)," ")</f>
        <v>45 TSR2 - EW</v>
      </c>
      <c r="D86" s="1"/>
      <c r="E86" s="1"/>
      <c r="F86" s="20" t="s">
        <v>904</v>
      </c>
      <c r="G86" s="20" t="s">
        <v>145</v>
      </c>
      <c r="H86" s="20" t="s">
        <v>145</v>
      </c>
      <c r="I86" s="1">
        <v>420</v>
      </c>
      <c r="J86" s="1">
        <f>32</f>
        <v>32</v>
      </c>
      <c r="K86" s="44">
        <v>1.08</v>
      </c>
      <c r="L86" s="16">
        <f>AKSESORIS[[#This Row],[Total 
(pcs)]]*AKSESORIS[[#This Row],[Berat/pcs
(Kg)]]</f>
        <v>34.56</v>
      </c>
      <c r="M86" s="165">
        <f>SUMIF(DATA_MASTER[NO. PON],AKSESORIS[[#This Row],[No.PON]],DATA_MASTER[Qty
(Unit)])</f>
        <v>1</v>
      </c>
      <c r="N86" s="16">
        <f>AKSESORIS[[#This Row],[Total 
(pcs)]]*AKSESORIS[[#This Row],[UNIT]]</f>
        <v>32</v>
      </c>
      <c r="O86" s="9"/>
    </row>
    <row r="87" spans="1:15" x14ac:dyDescent="0.3">
      <c r="A87" t="s">
        <v>424</v>
      </c>
      <c r="B87" t="str">
        <f>IFERROR(VLOOKUP(A87,'DATA MASTER'!A:O,2,0)," ")</f>
        <v>Panel Bailey</v>
      </c>
      <c r="C87" s="19" t="str">
        <f>IFERROR(VLOOKUP(A87,'DATA MASTER'!A:O,4,0)," ")</f>
        <v>45 TSR2 - EW</v>
      </c>
      <c r="D87" s="1"/>
      <c r="E87" s="1"/>
      <c r="F87" s="20" t="s">
        <v>101</v>
      </c>
      <c r="G87" s="20" t="s">
        <v>316</v>
      </c>
      <c r="H87" s="20" t="s">
        <v>426</v>
      </c>
      <c r="J87" s="1">
        <f>128</f>
        <v>128</v>
      </c>
      <c r="K87" s="44">
        <v>3.15</v>
      </c>
      <c r="L87" s="16">
        <f>AKSESORIS[[#This Row],[Total 
(pcs)]]*AKSESORIS[[#This Row],[Berat/pcs
(Kg)]]</f>
        <v>403.2</v>
      </c>
      <c r="M87" s="165">
        <f>SUMIF(DATA_MASTER[NO. PON],AKSESORIS[[#This Row],[No.PON]],DATA_MASTER[Qty
(Unit)])</f>
        <v>1</v>
      </c>
      <c r="N87" s="16">
        <f>AKSESORIS[[#This Row],[Total 
(pcs)]]*AKSESORIS[[#This Row],[UNIT]]</f>
        <v>128</v>
      </c>
      <c r="O87" s="9"/>
    </row>
    <row r="88" spans="1:15" x14ac:dyDescent="0.3">
      <c r="A88" t="s">
        <v>442</v>
      </c>
      <c r="B88" t="str">
        <f>IFERROR(VLOOKUP(A88,'DATA MASTER'!A:O,2,0)," ")</f>
        <v>Panel Bailey</v>
      </c>
      <c r="C88" s="19" t="str">
        <f>IFERROR(VLOOKUP(A88,'DATA MASTER'!A:O,4,0)," ")</f>
        <v>30 DSR2-EW</v>
      </c>
      <c r="D88" s="1"/>
      <c r="E88" s="1"/>
      <c r="F88" s="20" t="s">
        <v>101</v>
      </c>
      <c r="G88" s="20" t="s">
        <v>102</v>
      </c>
      <c r="H88" s="20" t="s">
        <v>143</v>
      </c>
      <c r="I88" s="1">
        <v>213</v>
      </c>
      <c r="J88" s="1">
        <v>192</v>
      </c>
      <c r="K88" s="44">
        <v>3.1</v>
      </c>
      <c r="L88" s="16">
        <f>AKSESORIS[[#This Row],[Total 
(pcs)]]*AKSESORIS[[#This Row],[Berat/pcs
(Kg)]]</f>
        <v>595.20000000000005</v>
      </c>
      <c r="M88" s="165">
        <f>SUMIF(DATA_MASTER[NO. PON],AKSESORIS[[#This Row],[No.PON]],DATA_MASTER[Qty
(Unit)])</f>
        <v>1</v>
      </c>
      <c r="N88" s="16">
        <f>AKSESORIS[[#This Row],[Total 
(pcs)]]*AKSESORIS[[#This Row],[UNIT]]</f>
        <v>192</v>
      </c>
      <c r="O88" s="9"/>
    </row>
    <row r="89" spans="1:15" x14ac:dyDescent="0.3">
      <c r="A89" t="s">
        <v>442</v>
      </c>
      <c r="B89" t="str">
        <f>IFERROR(VLOOKUP(A89,'DATA MASTER'!A:O,2,0)," ")</f>
        <v>Panel Bailey</v>
      </c>
      <c r="C89" s="19" t="str">
        <f>IFERROR(VLOOKUP(A89,'DATA MASTER'!A:O,4,0)," ")</f>
        <v>30 DSR2-EW</v>
      </c>
      <c r="D89" s="1"/>
      <c r="E89" s="1"/>
      <c r="F89" s="20" t="s">
        <v>904</v>
      </c>
      <c r="G89" s="20" t="s">
        <v>145</v>
      </c>
      <c r="H89" s="20" t="s">
        <v>145</v>
      </c>
      <c r="I89" s="1">
        <v>420</v>
      </c>
      <c r="J89" s="1">
        <f>32</f>
        <v>32</v>
      </c>
      <c r="K89" s="44">
        <v>1.08</v>
      </c>
      <c r="L89" s="16">
        <f>AKSESORIS[[#This Row],[Total 
(pcs)]]*AKSESORIS[[#This Row],[Berat/pcs
(Kg)]]</f>
        <v>34.56</v>
      </c>
      <c r="M89" s="165">
        <f>SUMIF(DATA_MASTER[NO. PON],AKSESORIS[[#This Row],[No.PON]],DATA_MASTER[Qty
(Unit)])</f>
        <v>1</v>
      </c>
      <c r="N89" s="16">
        <f>AKSESORIS[[#This Row],[Total 
(pcs)]]*AKSESORIS[[#This Row],[UNIT]]</f>
        <v>32</v>
      </c>
      <c r="O89" s="9"/>
    </row>
    <row r="90" spans="1:15" x14ac:dyDescent="0.3">
      <c r="A90" t="s">
        <v>443</v>
      </c>
      <c r="B90" t="str">
        <f>IFERROR(VLOOKUP(A90,'DATA MASTER'!A:O,2,0)," ")</f>
        <v>Panel Bailey</v>
      </c>
      <c r="C90" s="19" t="str">
        <f>IFERROR(VLOOKUP(A90,'DATA MASTER'!A:O,4,0)," ")</f>
        <v>21 SSR-EW</v>
      </c>
      <c r="D90" s="1" t="s">
        <v>119</v>
      </c>
      <c r="E90" s="1"/>
      <c r="F90" s="20" t="s">
        <v>101</v>
      </c>
      <c r="G90" s="20" t="s">
        <v>102</v>
      </c>
      <c r="H90" s="20" t="s">
        <v>143</v>
      </c>
      <c r="I90" s="1">
        <v>213</v>
      </c>
      <c r="J90" s="1">
        <v>64</v>
      </c>
      <c r="K90" s="10">
        <v>3.1</v>
      </c>
      <c r="L90" s="10">
        <f>AKSESORIS[[#This Row],[Total 
(pcs)]]*AKSESORIS[[#This Row],[Berat/pcs
(Kg)]]</f>
        <v>198.4</v>
      </c>
      <c r="M90" s="44">
        <f>SUMIF(DATA_MASTER[NO. PON],AKSESORIS[[#This Row],[No.PON]],DATA_MASTER[Qty
(Unit)])</f>
        <v>2</v>
      </c>
      <c r="N90" s="10">
        <f>AKSESORIS[[#This Row],[Total 
(pcs)]]*AKSESORIS[[#This Row],[UNIT]]</f>
        <v>128</v>
      </c>
      <c r="O90" s="9"/>
    </row>
    <row r="91" spans="1:15" x14ac:dyDescent="0.3">
      <c r="A91" t="s">
        <v>443</v>
      </c>
      <c r="B91" t="str">
        <f>IFERROR(VLOOKUP(A91,'DATA MASTER'!A:O,2,0)," ")</f>
        <v>Panel Bailey</v>
      </c>
      <c r="C91" s="19" t="str">
        <f>IFERROR(VLOOKUP(A91,'DATA MASTER'!A:O,4,0)," ")</f>
        <v>21 SSR-EW</v>
      </c>
      <c r="D91" s="1" t="s">
        <v>119</v>
      </c>
      <c r="E91" s="1"/>
      <c r="F91" s="20" t="s">
        <v>904</v>
      </c>
      <c r="G91" s="20" t="s">
        <v>145</v>
      </c>
      <c r="H91" s="20" t="s">
        <v>145</v>
      </c>
      <c r="I91" s="1">
        <v>420</v>
      </c>
      <c r="J91" s="1">
        <v>16</v>
      </c>
      <c r="K91" s="10">
        <v>1.08</v>
      </c>
      <c r="L91" s="10">
        <f>AKSESORIS[[#This Row],[Total 
(pcs)]]*AKSESORIS[[#This Row],[Berat/pcs
(Kg)]]</f>
        <v>17.28</v>
      </c>
      <c r="M91" s="44">
        <f>SUMIF(DATA_MASTER[NO. PON],AKSESORIS[[#This Row],[No.PON]],DATA_MASTER[Qty
(Unit)])</f>
        <v>2</v>
      </c>
      <c r="N91" s="10">
        <f>AKSESORIS[[#This Row],[Total 
(pcs)]]*AKSESORIS[[#This Row],[UNIT]]</f>
        <v>32</v>
      </c>
      <c r="O91" s="9"/>
    </row>
    <row r="92" spans="1:15" x14ac:dyDescent="0.3">
      <c r="A92" t="s">
        <v>445</v>
      </c>
      <c r="B92" t="str">
        <f>IFERROR(VLOOKUP(A92,'DATA MASTER'!A:O,2,0)," ")</f>
        <v>Panel Bailey</v>
      </c>
      <c r="C92" s="19" t="str">
        <f>IFERROR(VLOOKUP(A92,'DATA MASTER'!A:O,4,0)," ")</f>
        <v>24 SSR-EW</v>
      </c>
      <c r="D92" s="1"/>
      <c r="E92" s="1"/>
      <c r="F92" s="20" t="s">
        <v>101</v>
      </c>
      <c r="G92" s="20" t="s">
        <v>102</v>
      </c>
      <c r="H92" s="20" t="s">
        <v>143</v>
      </c>
      <c r="I92" s="1">
        <v>213</v>
      </c>
      <c r="J92" s="1">
        <v>72</v>
      </c>
      <c r="K92" s="10">
        <v>3.1</v>
      </c>
      <c r="L92" s="10">
        <f>AKSESORIS[[#This Row],[Total 
(pcs)]]*AKSESORIS[[#This Row],[Berat/pcs
(Kg)]]</f>
        <v>223.20000000000002</v>
      </c>
      <c r="M92" s="44">
        <f>SUMIF(DATA_MASTER[NO. PON],AKSESORIS[[#This Row],[No.PON]],DATA_MASTER[Qty
(Unit)])</f>
        <v>1</v>
      </c>
      <c r="N92" s="10">
        <f>AKSESORIS[[#This Row],[Total 
(pcs)]]*AKSESORIS[[#This Row],[UNIT]]</f>
        <v>72</v>
      </c>
      <c r="O92" s="9"/>
    </row>
    <row r="93" spans="1:15" x14ac:dyDescent="0.3">
      <c r="A93" t="s">
        <v>445</v>
      </c>
      <c r="B93" t="str">
        <f>IFERROR(VLOOKUP(A93,'DATA MASTER'!A:O,2,0)," ")</f>
        <v>Panel Bailey</v>
      </c>
      <c r="C93" s="19" t="str">
        <f>IFERROR(VLOOKUP(A93,'DATA MASTER'!A:O,4,0)," ")</f>
        <v>24 SSR-EW</v>
      </c>
      <c r="D93" s="1"/>
      <c r="E93" s="1"/>
      <c r="F93" s="20" t="s">
        <v>904</v>
      </c>
      <c r="G93" s="20" t="s">
        <v>145</v>
      </c>
      <c r="H93" s="20" t="s">
        <v>145</v>
      </c>
      <c r="I93" s="1">
        <v>420</v>
      </c>
      <c r="J93" s="1">
        <v>16</v>
      </c>
      <c r="K93" s="10">
        <v>1.08</v>
      </c>
      <c r="L93" s="10">
        <f>AKSESORIS[[#This Row],[Total 
(pcs)]]*AKSESORIS[[#This Row],[Berat/pcs
(Kg)]]</f>
        <v>17.28</v>
      </c>
      <c r="M93" s="44">
        <f>SUMIF(DATA_MASTER[NO. PON],AKSESORIS[[#This Row],[No.PON]],DATA_MASTER[Qty
(Unit)])</f>
        <v>1</v>
      </c>
      <c r="N93" s="10">
        <f>AKSESORIS[[#This Row],[Total 
(pcs)]]*AKSESORIS[[#This Row],[UNIT]]</f>
        <v>16</v>
      </c>
      <c r="O93" s="9"/>
    </row>
    <row r="94" spans="1:15" x14ac:dyDescent="0.3">
      <c r="A94" t="s">
        <v>447</v>
      </c>
      <c r="B94" t="str">
        <f>IFERROR(VLOOKUP(A94,'DATA MASTER'!A:O,2,0)," ")</f>
        <v>Panel Bailey</v>
      </c>
      <c r="C94" s="19" t="str">
        <f>IFERROR(VLOOKUP(A94,'DATA MASTER'!A:O,4,0)," ")</f>
        <v>27 DSR2-EW</v>
      </c>
      <c r="D94" s="1"/>
      <c r="E94" s="1"/>
      <c r="F94" s="20" t="s">
        <v>101</v>
      </c>
      <c r="G94" s="20" t="s">
        <v>102</v>
      </c>
      <c r="H94" s="20" t="s">
        <v>143</v>
      </c>
      <c r="I94" s="1">
        <v>213</v>
      </c>
      <c r="J94" s="1">
        <v>160</v>
      </c>
      <c r="K94" s="10">
        <v>3.1</v>
      </c>
      <c r="L94" s="10">
        <f>AKSESORIS[[#This Row],[Total 
(pcs)]]*AKSESORIS[[#This Row],[Berat/pcs
(Kg)]]</f>
        <v>496</v>
      </c>
      <c r="M94" s="44">
        <f>SUMIF(DATA_MASTER[NO. PON],AKSESORIS[[#This Row],[No.PON]],DATA_MASTER[Qty
(Unit)])</f>
        <v>1</v>
      </c>
      <c r="N94" s="10">
        <f>AKSESORIS[[#This Row],[Total 
(pcs)]]*AKSESORIS[[#This Row],[UNIT]]</f>
        <v>160</v>
      </c>
      <c r="O94" s="9"/>
    </row>
    <row r="95" spans="1:15" x14ac:dyDescent="0.3">
      <c r="A95" t="s">
        <v>447</v>
      </c>
      <c r="B95" t="str">
        <f>IFERROR(VLOOKUP(A95,'DATA MASTER'!A:O,2,0)," ")</f>
        <v>Panel Bailey</v>
      </c>
      <c r="C95" s="19" t="str">
        <f>IFERROR(VLOOKUP(A95,'DATA MASTER'!A:O,4,0)," ")</f>
        <v>27 DSR2-EW</v>
      </c>
      <c r="D95" s="1"/>
      <c r="E95" s="1"/>
      <c r="F95" s="20" t="s">
        <v>904</v>
      </c>
      <c r="G95" s="20" t="s">
        <v>145</v>
      </c>
      <c r="H95" s="20" t="s">
        <v>145</v>
      </c>
      <c r="I95" s="1">
        <v>420</v>
      </c>
      <c r="J95" s="1">
        <v>32</v>
      </c>
      <c r="K95" s="10">
        <v>1.08</v>
      </c>
      <c r="L95" s="10">
        <f>AKSESORIS[[#This Row],[Total 
(pcs)]]*AKSESORIS[[#This Row],[Berat/pcs
(Kg)]]</f>
        <v>34.56</v>
      </c>
      <c r="M95" s="44">
        <f>SUMIF(DATA_MASTER[NO. PON],AKSESORIS[[#This Row],[No.PON]],DATA_MASTER[Qty
(Unit)])</f>
        <v>1</v>
      </c>
      <c r="N95" s="10">
        <f>AKSESORIS[[#This Row],[Total 
(pcs)]]*AKSESORIS[[#This Row],[UNIT]]</f>
        <v>32</v>
      </c>
      <c r="O95" s="9"/>
    </row>
    <row r="96" spans="1:15" x14ac:dyDescent="0.3">
      <c r="A96" t="s">
        <v>863</v>
      </c>
      <c r="B96" t="str">
        <f>IFERROR(VLOOKUP(A96,'DATA MASTER'!A:O,2,0)," ")</f>
        <v>Panel Bailey</v>
      </c>
      <c r="C96" s="19" t="str">
        <f>IFERROR(VLOOKUP(A96,'DATA MASTER'!A:O,4,0)," ")</f>
        <v>39 DSR2H**-EW</v>
      </c>
      <c r="D96" s="1"/>
      <c r="E96" s="1"/>
      <c r="F96" s="20" t="s">
        <v>101</v>
      </c>
      <c r="G96" s="20" t="s">
        <v>102</v>
      </c>
      <c r="H96" s="20" t="s">
        <v>143</v>
      </c>
      <c r="I96" s="1">
        <v>213</v>
      </c>
      <c r="J96" s="1">
        <v>174</v>
      </c>
      <c r="K96" s="10">
        <v>3.1</v>
      </c>
      <c r="L96" s="10">
        <f>AKSESORIS[[#This Row],[Total 
(pcs)]]*AKSESORIS[[#This Row],[Berat/pcs
(Kg)]]</f>
        <v>539.4</v>
      </c>
      <c r="M96" s="44">
        <f>SUMIF(DATA_MASTER[NO. PON],AKSESORIS[[#This Row],[No.PON]],DATA_MASTER[Qty
(Unit)])</f>
        <v>1</v>
      </c>
      <c r="N96" s="10">
        <f>AKSESORIS[[#This Row],[Total 
(pcs)]]*AKSESORIS[[#This Row],[UNIT]]</f>
        <v>174</v>
      </c>
      <c r="O96" s="9"/>
    </row>
    <row r="97" spans="1:15" x14ac:dyDescent="0.3">
      <c r="A97" t="s">
        <v>863</v>
      </c>
      <c r="B97" t="str">
        <f>IFERROR(VLOOKUP(A97,'DATA MASTER'!A:O,2,0)," ")</f>
        <v>Panel Bailey</v>
      </c>
      <c r="C97" s="19" t="str">
        <f>IFERROR(VLOOKUP(A97,'DATA MASTER'!A:O,4,0)," ")</f>
        <v>39 DSR2H**-EW</v>
      </c>
      <c r="D97" s="1"/>
      <c r="E97" s="1"/>
      <c r="F97" s="20" t="s">
        <v>904</v>
      </c>
      <c r="G97" s="20" t="s">
        <v>145</v>
      </c>
      <c r="H97" s="20" t="s">
        <v>145</v>
      </c>
      <c r="I97" s="1">
        <v>420</v>
      </c>
      <c r="J97" s="1">
        <v>32</v>
      </c>
      <c r="K97" s="10">
        <v>1.08</v>
      </c>
      <c r="L97" s="10">
        <f>AKSESORIS[[#This Row],[Total 
(pcs)]]*AKSESORIS[[#This Row],[Berat/pcs
(Kg)]]</f>
        <v>34.56</v>
      </c>
      <c r="M97" s="44">
        <f>SUMIF(DATA_MASTER[NO. PON],AKSESORIS[[#This Row],[No.PON]],DATA_MASTER[Qty
(Unit)])</f>
        <v>1</v>
      </c>
      <c r="N97" s="10">
        <f>AKSESORIS[[#This Row],[Total 
(pcs)]]*AKSESORIS[[#This Row],[UNIT]]</f>
        <v>32</v>
      </c>
      <c r="O97" s="9"/>
    </row>
    <row r="98" spans="1:15" x14ac:dyDescent="0.3">
      <c r="A98" t="s">
        <v>863</v>
      </c>
      <c r="B98" t="str">
        <f>IFERROR(VLOOKUP(A98,'DATA MASTER'!A:O,2,0)," ")</f>
        <v>Panel Bailey</v>
      </c>
      <c r="C98" s="19" t="str">
        <f>IFERROR(VLOOKUP(A98,'DATA MASTER'!A:O,4,0)," ")</f>
        <v>39 DSR2H**-EW</v>
      </c>
      <c r="D98" s="1"/>
      <c r="E98" s="1"/>
      <c r="F98" s="20" t="s">
        <v>101</v>
      </c>
      <c r="G98" s="20" t="s">
        <v>102</v>
      </c>
      <c r="H98" s="20" t="s">
        <v>143</v>
      </c>
      <c r="I98" s="1">
        <v>213</v>
      </c>
      <c r="J98" s="1">
        <v>147</v>
      </c>
      <c r="K98" s="10">
        <v>3.1</v>
      </c>
      <c r="L98" s="16">
        <f>AKSESORIS[[#This Row],[Total 
(pcs)]]*AKSESORIS[[#This Row],[Berat/pcs
(Kg)]]</f>
        <v>455.7</v>
      </c>
      <c r="M98" s="44">
        <f>SUMIF(DATA_MASTER[NO. PON],AKSESORIS[[#This Row],[No.PON]],DATA_MASTER[Qty
(Unit)])</f>
        <v>1</v>
      </c>
      <c r="N98" s="10">
        <f>AKSESORIS[[#This Row],[Total 
(pcs)]]*AKSESORIS[[#This Row],[UNIT]]</f>
        <v>147</v>
      </c>
      <c r="O98" s="9"/>
    </row>
    <row r="99" spans="1:15" x14ac:dyDescent="0.3">
      <c r="A99" t="s">
        <v>863</v>
      </c>
      <c r="B99" t="str">
        <f>IFERROR(VLOOKUP(A99,'DATA MASTER'!A:O,2,0)," ")</f>
        <v>Panel Bailey</v>
      </c>
      <c r="C99" s="19" t="str">
        <f>IFERROR(VLOOKUP(A99,'DATA MASTER'!A:O,4,0)," ")</f>
        <v>39 DSR2H**-EW</v>
      </c>
      <c r="D99" s="1"/>
      <c r="E99" s="1"/>
      <c r="F99" s="20" t="s">
        <v>904</v>
      </c>
      <c r="G99" s="20" t="s">
        <v>145</v>
      </c>
      <c r="H99" s="20" t="s">
        <v>145</v>
      </c>
      <c r="I99" s="1">
        <v>420</v>
      </c>
      <c r="J99" s="1">
        <v>32</v>
      </c>
      <c r="K99" s="10">
        <v>1.08</v>
      </c>
      <c r="L99" s="16">
        <f>AKSESORIS[[#This Row],[Total 
(pcs)]]*AKSESORIS[[#This Row],[Berat/pcs
(Kg)]]</f>
        <v>34.56</v>
      </c>
      <c r="M99" s="44">
        <f>SUMIF(DATA_MASTER[NO. PON],AKSESORIS[[#This Row],[No.PON]],DATA_MASTER[Qty
(Unit)])</f>
        <v>1</v>
      </c>
      <c r="N99" s="10">
        <f>AKSESORIS[[#This Row],[Total 
(pcs)]]*AKSESORIS[[#This Row],[UNIT]]</f>
        <v>32</v>
      </c>
      <c r="O99" s="9"/>
    </row>
    <row r="100" spans="1:15" x14ac:dyDescent="0.3">
      <c r="A100" t="s">
        <v>469</v>
      </c>
      <c r="B100" t="str">
        <f>IFERROR(VLOOKUP(A100,'DATA MASTER'!A:O,2,0)," ")</f>
        <v>Girder Spesial</v>
      </c>
      <c r="C100" s="19" t="str">
        <f>IFERROR(VLOOKUP(A100,'DATA MASTER'!A:O,4,0)," ")</f>
        <v>GD14</v>
      </c>
      <c r="D100" s="1"/>
      <c r="E100" s="1"/>
      <c r="F100" s="20" t="s">
        <v>44</v>
      </c>
      <c r="G100" s="20" t="s">
        <v>471</v>
      </c>
      <c r="H100" s="20" t="s">
        <v>472</v>
      </c>
      <c r="J100" s="1">
        <v>4</v>
      </c>
      <c r="K100" s="10">
        <v>16.214652000000001</v>
      </c>
      <c r="L100" s="10">
        <f>AKSESORIS[[#This Row],[Total 
(pcs)]]*AKSESORIS[[#This Row],[Berat/pcs
(Kg)]]</f>
        <v>64.858608000000004</v>
      </c>
      <c r="M100" s="44">
        <f>SUMIF(DATA_MASTER[NO. PON],AKSESORIS[[#This Row],[No.PON]],DATA_MASTER[Qty
(Unit)])</f>
        <v>1</v>
      </c>
      <c r="N100" s="10">
        <f>AKSESORIS[[#This Row],[Total 
(pcs)]]*AKSESORIS[[#This Row],[UNIT]]</f>
        <v>4</v>
      </c>
      <c r="O100" s="9"/>
    </row>
    <row r="101" spans="1:15" x14ac:dyDescent="0.3">
      <c r="A101" t="s">
        <v>479</v>
      </c>
      <c r="B101" t="str">
        <f>IFERROR(VLOOKUP(A101,'DATA MASTER'!A:O,2,0)," ")</f>
        <v>Girder Spesial</v>
      </c>
      <c r="C101" s="19" t="str">
        <f>IFERROR(VLOOKUP(A101,'DATA MASTER'!A:O,4,0)," ")</f>
        <v>GD16</v>
      </c>
      <c r="D101" s="1"/>
      <c r="E101" s="1"/>
      <c r="F101" s="20" t="s">
        <v>44</v>
      </c>
      <c r="G101" s="20" t="s">
        <v>481</v>
      </c>
      <c r="H101" s="20" t="s">
        <v>472</v>
      </c>
      <c r="J101" s="1">
        <v>4</v>
      </c>
      <c r="K101" s="10">
        <v>16.214652000000001</v>
      </c>
      <c r="L101" s="10">
        <f>AKSESORIS[[#This Row],[Total 
(pcs)]]*AKSESORIS[[#This Row],[Berat/pcs
(Kg)]]</f>
        <v>64.858608000000004</v>
      </c>
      <c r="M101" s="44">
        <f>SUMIF(DATA_MASTER[NO. PON],AKSESORIS[[#This Row],[No.PON]],DATA_MASTER[Qty
(Unit)])</f>
        <v>5</v>
      </c>
      <c r="N101" s="10">
        <f>AKSESORIS[[#This Row],[Total 
(pcs)]]*AKSESORIS[[#This Row],[UNIT]]</f>
        <v>20</v>
      </c>
      <c r="O101" s="9"/>
    </row>
    <row r="102" spans="1:15" x14ac:dyDescent="0.3">
      <c r="A102" t="s">
        <v>482</v>
      </c>
      <c r="B102" t="str">
        <f>IFERROR(VLOOKUP(A102,'DATA MASTER'!A:O,2,0)," ")</f>
        <v>Girder Spesial</v>
      </c>
      <c r="C102" s="19" t="str">
        <f>IFERROR(VLOOKUP(A102,'DATA MASTER'!A:O,4,0)," ")</f>
        <v>GD18</v>
      </c>
      <c r="D102" s="1"/>
      <c r="E102" s="1"/>
      <c r="F102" s="20" t="s">
        <v>44</v>
      </c>
      <c r="G102" s="20" t="s">
        <v>484</v>
      </c>
      <c r="H102" s="20" t="s">
        <v>472</v>
      </c>
      <c r="J102" s="1">
        <v>4</v>
      </c>
      <c r="K102" s="10">
        <v>16.214652000000001</v>
      </c>
      <c r="L102" s="10">
        <f>AKSESORIS[[#This Row],[Total 
(pcs)]]*AKSESORIS[[#This Row],[Berat/pcs
(Kg)]]</f>
        <v>64.858608000000004</v>
      </c>
      <c r="M102" s="44">
        <f>SUMIF(DATA_MASTER[NO. PON],AKSESORIS[[#This Row],[No.PON]],DATA_MASTER[Qty
(Unit)])</f>
        <v>3</v>
      </c>
      <c r="N102" s="10">
        <f>AKSESORIS[[#This Row],[Total 
(pcs)]]*AKSESORIS[[#This Row],[UNIT]]</f>
        <v>12</v>
      </c>
      <c r="O102" s="9"/>
    </row>
    <row r="103" spans="1:15" x14ac:dyDescent="0.3">
      <c r="A103" t="s">
        <v>487</v>
      </c>
      <c r="B103" t="str">
        <f>IFERROR(VLOOKUP(A103,'DATA MASTER'!A:O,2,0)," ")</f>
        <v>Girder Spesial</v>
      </c>
      <c r="C103" s="19" t="str">
        <f>IFERROR(VLOOKUP(A103,'DATA MASTER'!A:O,4,0)," ")</f>
        <v>GD20</v>
      </c>
      <c r="D103" s="1"/>
      <c r="E103" s="1"/>
      <c r="F103" s="20" t="s">
        <v>44</v>
      </c>
      <c r="G103" s="20" t="s">
        <v>562</v>
      </c>
      <c r="H103" s="20" t="s">
        <v>472</v>
      </c>
      <c r="J103" s="1">
        <v>4</v>
      </c>
      <c r="K103" s="10">
        <v>16.214652000000001</v>
      </c>
      <c r="L103" s="10">
        <f>AKSESORIS[[#This Row],[Total 
(pcs)]]*AKSESORIS[[#This Row],[Berat/pcs
(Kg)]]</f>
        <v>64.858608000000004</v>
      </c>
      <c r="M103" s="44">
        <f>SUMIF(DATA_MASTER[NO. PON],AKSESORIS[[#This Row],[No.PON]],DATA_MASTER[Qty
(Unit)])</f>
        <v>1</v>
      </c>
      <c r="N103" s="10">
        <f>AKSESORIS[[#This Row],[Total 
(pcs)]]*AKSESORIS[[#This Row],[UNIT]]</f>
        <v>4</v>
      </c>
      <c r="O103" s="9"/>
    </row>
    <row r="104" spans="1:15" x14ac:dyDescent="0.3">
      <c r="A104" t="s">
        <v>489</v>
      </c>
      <c r="B104" t="str">
        <f>IFERROR(VLOOKUP(A104,'DATA MASTER'!A:O,2,0)," ")</f>
        <v>Girder</v>
      </c>
      <c r="C104" s="19" t="str">
        <f>IFERROR(VLOOKUP(A104,'DATA MASTER'!A:O,4,0)," ")</f>
        <v>BG25</v>
      </c>
      <c r="D104" s="1"/>
      <c r="E104" s="1"/>
      <c r="F104" s="20" t="s">
        <v>44</v>
      </c>
      <c r="G104" s="20" t="s">
        <v>492</v>
      </c>
      <c r="H104" s="20" t="s">
        <v>497</v>
      </c>
      <c r="J104" s="1">
        <v>10</v>
      </c>
      <c r="K104" s="10">
        <v>17.349612</v>
      </c>
      <c r="L104" s="10">
        <f>AKSESORIS[[#This Row],[Total 
(pcs)]]*AKSESORIS[[#This Row],[Berat/pcs
(Kg)]]</f>
        <v>173.49612000000002</v>
      </c>
      <c r="M104" s="44">
        <f>SUMIF(DATA_MASTER[NO. PON],AKSESORIS[[#This Row],[No.PON]],DATA_MASTER[Qty
(Unit)])</f>
        <v>1</v>
      </c>
      <c r="N104" s="10">
        <f>AKSESORIS[[#This Row],[Total 
(pcs)]]*AKSESORIS[[#This Row],[UNIT]]</f>
        <v>10</v>
      </c>
      <c r="O104" s="9"/>
    </row>
    <row r="105" spans="1:15" x14ac:dyDescent="0.3">
      <c r="A105" t="s">
        <v>489</v>
      </c>
      <c r="B105" t="str">
        <f>IFERROR(VLOOKUP(A105,'DATA MASTER'!A:O,2,0)," ")</f>
        <v>Girder</v>
      </c>
      <c r="C105" s="19" t="str">
        <f>IFERROR(VLOOKUP(A105,'DATA MASTER'!A:O,4,0)," ")</f>
        <v>BG25</v>
      </c>
      <c r="D105" s="1"/>
      <c r="E105" s="1"/>
      <c r="F105" s="20" t="s">
        <v>44</v>
      </c>
      <c r="G105" s="20" t="s">
        <v>493</v>
      </c>
      <c r="H105" s="20" t="s">
        <v>62</v>
      </c>
      <c r="J105" s="1">
        <v>4</v>
      </c>
      <c r="K105" s="10">
        <v>3.438072</v>
      </c>
      <c r="L105" s="10">
        <f>AKSESORIS[[#This Row],[Total 
(pcs)]]*AKSESORIS[[#This Row],[Berat/pcs
(Kg)]]</f>
        <v>13.752288</v>
      </c>
      <c r="M105" s="44">
        <f>SUMIF(DATA_MASTER[NO. PON],AKSESORIS[[#This Row],[No.PON]],DATA_MASTER[Qty
(Unit)])</f>
        <v>1</v>
      </c>
      <c r="N105" s="10">
        <f>AKSESORIS[[#This Row],[Total 
(pcs)]]*AKSESORIS[[#This Row],[UNIT]]</f>
        <v>4</v>
      </c>
      <c r="O105" s="9"/>
    </row>
    <row r="106" spans="1:15" x14ac:dyDescent="0.3">
      <c r="A106" t="s">
        <v>489</v>
      </c>
      <c r="B106" t="str">
        <f>IFERROR(VLOOKUP(A106,'DATA MASTER'!A:O,2,0)," ")</f>
        <v>Girder</v>
      </c>
      <c r="C106" s="19" t="str">
        <f>IFERROR(VLOOKUP(A106,'DATA MASTER'!A:O,4,0)," ")</f>
        <v>BG25</v>
      </c>
      <c r="D106" s="1"/>
      <c r="E106" s="1"/>
      <c r="F106" s="20" t="s">
        <v>904</v>
      </c>
      <c r="G106" s="20" t="s">
        <v>53</v>
      </c>
      <c r="H106" s="20" t="s">
        <v>53</v>
      </c>
      <c r="I106" s="1">
        <v>420</v>
      </c>
      <c r="J106" s="1">
        <v>20</v>
      </c>
      <c r="K106" s="44">
        <v>1.55</v>
      </c>
      <c r="L106" s="10">
        <f>AKSESORIS[[#This Row],[Total 
(pcs)]]*AKSESORIS[[#This Row],[Berat/pcs
(Kg)]]</f>
        <v>31</v>
      </c>
      <c r="M106" s="44">
        <f>SUMIF(DATA_MASTER[NO. PON],AKSESORIS[[#This Row],[No.PON]],DATA_MASTER[Qty
(Unit)])</f>
        <v>1</v>
      </c>
      <c r="N106" s="10">
        <f>AKSESORIS[[#This Row],[Total 
(pcs)]]*AKSESORIS[[#This Row],[UNIT]]</f>
        <v>20</v>
      </c>
      <c r="O106" s="9"/>
    </row>
    <row r="107" spans="1:15" x14ac:dyDescent="0.3">
      <c r="A107" t="s">
        <v>489</v>
      </c>
      <c r="B107" t="str">
        <f>IFERROR(VLOOKUP(A107,'DATA MASTER'!A:O,2,0)," ")</f>
        <v>Girder</v>
      </c>
      <c r="C107" s="19" t="str">
        <f>IFERROR(VLOOKUP(A107,'DATA MASTER'!A:O,4,0)," ")</f>
        <v>BG25</v>
      </c>
      <c r="D107" s="1"/>
      <c r="E107" s="1"/>
      <c r="F107" s="20" t="s">
        <v>54</v>
      </c>
      <c r="G107" s="20" t="s">
        <v>55</v>
      </c>
      <c r="H107" s="20" t="s">
        <v>55</v>
      </c>
      <c r="I107" s="1">
        <v>185</v>
      </c>
      <c r="J107" s="1">
        <v>112</v>
      </c>
      <c r="K107" s="44">
        <v>0.21</v>
      </c>
      <c r="L107" s="10">
        <f>AKSESORIS[[#This Row],[Total 
(pcs)]]*AKSESORIS[[#This Row],[Berat/pcs
(Kg)]]</f>
        <v>23.52</v>
      </c>
      <c r="M107" s="44">
        <f>SUMIF(DATA_MASTER[NO. PON],AKSESORIS[[#This Row],[No.PON]],DATA_MASTER[Qty
(Unit)])</f>
        <v>1</v>
      </c>
      <c r="N107" s="10">
        <f>AKSESORIS[[#This Row],[Total 
(pcs)]]*AKSESORIS[[#This Row],[UNIT]]</f>
        <v>112</v>
      </c>
      <c r="O107" s="9"/>
    </row>
    <row r="108" spans="1:15" x14ac:dyDescent="0.3">
      <c r="A108" t="s">
        <v>489</v>
      </c>
      <c r="B108" t="str">
        <f>IFERROR(VLOOKUP(A108,'DATA MASTER'!A:O,2,0)," ")</f>
        <v>Girder</v>
      </c>
      <c r="C108" s="19" t="str">
        <f>IFERROR(VLOOKUP(A108,'DATA MASTER'!A:O,4,0)," ")</f>
        <v>BG25</v>
      </c>
      <c r="D108" s="1"/>
      <c r="E108" s="1"/>
      <c r="F108" s="20" t="s">
        <v>43</v>
      </c>
      <c r="G108" s="20" t="s">
        <v>494</v>
      </c>
      <c r="H108" s="20" t="s">
        <v>440</v>
      </c>
      <c r="J108" s="1">
        <v>96</v>
      </c>
      <c r="K108" s="10">
        <v>14.29</v>
      </c>
      <c r="L108" s="10">
        <f>AKSESORIS[[#This Row],[Total 
(pcs)]]*AKSESORIS[[#This Row],[Berat/pcs
(Kg)]]</f>
        <v>1371.84</v>
      </c>
      <c r="M108" s="44">
        <f>SUMIF(DATA_MASTER[NO. PON],AKSESORIS[[#This Row],[No.PON]],DATA_MASTER[Qty
(Unit)])</f>
        <v>1</v>
      </c>
      <c r="N108" s="10">
        <f>AKSESORIS[[#This Row],[Total 
(pcs)]]*AKSESORIS[[#This Row],[UNIT]]</f>
        <v>96</v>
      </c>
      <c r="O108" s="9"/>
    </row>
    <row r="109" spans="1:15" x14ac:dyDescent="0.3">
      <c r="A109" t="s">
        <v>489</v>
      </c>
      <c r="B109" t="str">
        <f>IFERROR(VLOOKUP(A109,'DATA MASTER'!A:O,2,0)," ")</f>
        <v>Girder</v>
      </c>
      <c r="C109" s="19" t="str">
        <f>IFERROR(VLOOKUP(A109,'DATA MASTER'!A:O,4,0)," ")</f>
        <v>BG25</v>
      </c>
      <c r="D109" s="1"/>
      <c r="E109" s="1"/>
      <c r="F109" s="20" t="s">
        <v>43</v>
      </c>
      <c r="G109" s="20" t="s">
        <v>495</v>
      </c>
      <c r="H109" s="20" t="s">
        <v>440</v>
      </c>
      <c r="J109" s="1">
        <v>4</v>
      </c>
      <c r="K109" s="44">
        <v>10.01</v>
      </c>
      <c r="L109" s="10">
        <f>AKSESORIS[[#This Row],[Total 
(pcs)]]*AKSESORIS[[#This Row],[Berat/pcs
(Kg)]]</f>
        <v>40.04</v>
      </c>
      <c r="M109" s="44">
        <f>SUMIF(DATA_MASTER[NO. PON],AKSESORIS[[#This Row],[No.PON]],DATA_MASTER[Qty
(Unit)])</f>
        <v>1</v>
      </c>
      <c r="N109" s="10">
        <f>AKSESORIS[[#This Row],[Total 
(pcs)]]*AKSESORIS[[#This Row],[UNIT]]</f>
        <v>4</v>
      </c>
      <c r="O109" s="9"/>
    </row>
    <row r="110" spans="1:15" x14ac:dyDescent="0.3">
      <c r="A110" t="s">
        <v>489</v>
      </c>
      <c r="B110" t="str">
        <f>IFERROR(VLOOKUP(A110,'DATA MASTER'!A:O,2,0)," ")</f>
        <v>Girder</v>
      </c>
      <c r="C110" s="19" t="str">
        <f>IFERROR(VLOOKUP(A110,'DATA MASTER'!A:O,4,0)," ")</f>
        <v>BG25</v>
      </c>
      <c r="D110" s="1"/>
      <c r="E110" s="1"/>
      <c r="F110" s="20" t="s">
        <v>43</v>
      </c>
      <c r="G110" s="20" t="s">
        <v>496</v>
      </c>
      <c r="H110" s="20" t="s">
        <v>440</v>
      </c>
      <c r="J110" s="1">
        <v>4</v>
      </c>
      <c r="K110" s="44">
        <v>10.11</v>
      </c>
      <c r="L110" s="10">
        <f>AKSESORIS[[#This Row],[Total 
(pcs)]]*AKSESORIS[[#This Row],[Berat/pcs
(Kg)]]</f>
        <v>40.44</v>
      </c>
      <c r="M110" s="44">
        <f>SUMIF(DATA_MASTER[NO. PON],AKSESORIS[[#This Row],[No.PON]],DATA_MASTER[Qty
(Unit)])</f>
        <v>1</v>
      </c>
      <c r="N110" s="10">
        <f>AKSESORIS[[#This Row],[Total 
(pcs)]]*AKSESORIS[[#This Row],[UNIT]]</f>
        <v>4</v>
      </c>
      <c r="O110" s="9"/>
    </row>
    <row r="111" spans="1:15" x14ac:dyDescent="0.3">
      <c r="A111" t="s">
        <v>489</v>
      </c>
      <c r="B111" t="str">
        <f>IFERROR(VLOOKUP(A111,'DATA MASTER'!A:O,2,0)," ")</f>
        <v>Girder</v>
      </c>
      <c r="C111" s="19" t="str">
        <f>IFERROR(VLOOKUP(A111,'DATA MASTER'!A:O,4,0)," ")</f>
        <v>BG25</v>
      </c>
      <c r="D111" s="1"/>
      <c r="E111" s="1"/>
      <c r="F111" s="20" t="s">
        <v>56</v>
      </c>
      <c r="G111" s="20" t="s">
        <v>58</v>
      </c>
      <c r="H111" s="20" t="s">
        <v>57</v>
      </c>
      <c r="I111" s="1" t="s">
        <v>903</v>
      </c>
      <c r="J111" s="1">
        <v>112</v>
      </c>
      <c r="K111" s="10">
        <v>0.33</v>
      </c>
      <c r="L111" s="10">
        <f>AKSESORIS[[#This Row],[Total 
(pcs)]]*AKSESORIS[[#This Row],[Berat/pcs
(Kg)]]</f>
        <v>36.96</v>
      </c>
      <c r="M111" s="44">
        <f>SUMIF(DATA_MASTER[NO. PON],AKSESORIS[[#This Row],[No.PON]],DATA_MASTER[Qty
(Unit)])</f>
        <v>1</v>
      </c>
      <c r="N111" s="10">
        <f>AKSESORIS[[#This Row],[Total 
(pcs)]]*AKSESORIS[[#This Row],[UNIT]]</f>
        <v>112</v>
      </c>
      <c r="O111" s="9"/>
    </row>
    <row r="112" spans="1:15" x14ac:dyDescent="0.3">
      <c r="A112" t="s">
        <v>504</v>
      </c>
      <c r="B112" t="str">
        <f>IFERROR(VLOOKUP(A112,'DATA MASTER'!A:O,2,0)," ")</f>
        <v>Girder</v>
      </c>
      <c r="C112" s="19" t="str">
        <f>IFERROR(VLOOKUP(A112,'DATA MASTER'!A:O,4,0)," ")</f>
        <v>BG25</v>
      </c>
      <c r="D112" s="1"/>
      <c r="E112" s="1"/>
      <c r="F112" s="20" t="s">
        <v>44</v>
      </c>
      <c r="G112" s="20" t="s">
        <v>492</v>
      </c>
      <c r="H112" s="20" t="s">
        <v>497</v>
      </c>
      <c r="J112" s="1">
        <v>10</v>
      </c>
      <c r="K112" s="10">
        <v>17.349612</v>
      </c>
      <c r="L112" s="10">
        <f>AKSESORIS[[#This Row],[Total 
(pcs)]]*AKSESORIS[[#This Row],[Berat/pcs
(Kg)]]</f>
        <v>173.49612000000002</v>
      </c>
      <c r="M112" s="44">
        <f>SUMIF(DATA_MASTER[NO. PON],AKSESORIS[[#This Row],[No.PON]],DATA_MASTER[Qty
(Unit)])</f>
        <v>1</v>
      </c>
      <c r="N112" s="10">
        <f>AKSESORIS[[#This Row],[Total 
(pcs)]]*AKSESORIS[[#This Row],[UNIT]]</f>
        <v>10</v>
      </c>
      <c r="O112" s="9"/>
    </row>
    <row r="113" spans="1:15" x14ac:dyDescent="0.3">
      <c r="A113" t="s">
        <v>504</v>
      </c>
      <c r="B113" t="str">
        <f>IFERROR(VLOOKUP(A113,'DATA MASTER'!A:O,2,0)," ")</f>
        <v>Girder</v>
      </c>
      <c r="C113" s="19" t="str">
        <f>IFERROR(VLOOKUP(A113,'DATA MASTER'!A:O,4,0)," ")</f>
        <v>BG25</v>
      </c>
      <c r="D113" s="1"/>
      <c r="E113" s="1"/>
      <c r="F113" s="20" t="s">
        <v>44</v>
      </c>
      <c r="G113" s="20" t="s">
        <v>493</v>
      </c>
      <c r="H113" s="20" t="s">
        <v>62</v>
      </c>
      <c r="J113" s="1">
        <v>4</v>
      </c>
      <c r="K113" s="10">
        <v>3.438072</v>
      </c>
      <c r="L113" s="10">
        <f>AKSESORIS[[#This Row],[Total 
(pcs)]]*AKSESORIS[[#This Row],[Berat/pcs
(Kg)]]</f>
        <v>13.752288</v>
      </c>
      <c r="M113" s="44">
        <f>SUMIF(DATA_MASTER[NO. PON],AKSESORIS[[#This Row],[No.PON]],DATA_MASTER[Qty
(Unit)])</f>
        <v>1</v>
      </c>
      <c r="N113" s="10">
        <f>AKSESORIS[[#This Row],[Total 
(pcs)]]*AKSESORIS[[#This Row],[UNIT]]</f>
        <v>4</v>
      </c>
      <c r="O113" s="9"/>
    </row>
    <row r="114" spans="1:15" x14ac:dyDescent="0.3">
      <c r="A114" t="s">
        <v>504</v>
      </c>
      <c r="B114" t="str">
        <f>IFERROR(VLOOKUP(A114,'DATA MASTER'!A:O,2,0)," ")</f>
        <v>Girder</v>
      </c>
      <c r="C114" s="19" t="str">
        <f>IFERROR(VLOOKUP(A114,'DATA MASTER'!A:O,4,0)," ")</f>
        <v>BG25</v>
      </c>
      <c r="D114" s="1"/>
      <c r="E114" s="1"/>
      <c r="F114" s="20" t="s">
        <v>904</v>
      </c>
      <c r="G114" s="20" t="s">
        <v>53</v>
      </c>
      <c r="H114" s="20" t="s">
        <v>53</v>
      </c>
      <c r="I114" s="1">
        <v>420</v>
      </c>
      <c r="J114" s="1">
        <v>20</v>
      </c>
      <c r="K114" s="44">
        <v>1.55</v>
      </c>
      <c r="L114" s="10">
        <f>AKSESORIS[[#This Row],[Total 
(pcs)]]*AKSESORIS[[#This Row],[Berat/pcs
(Kg)]]</f>
        <v>31</v>
      </c>
      <c r="M114" s="44">
        <f>SUMIF(DATA_MASTER[NO. PON],AKSESORIS[[#This Row],[No.PON]],DATA_MASTER[Qty
(Unit)])</f>
        <v>1</v>
      </c>
      <c r="N114" s="10">
        <f>AKSESORIS[[#This Row],[Total 
(pcs)]]*AKSESORIS[[#This Row],[UNIT]]</f>
        <v>20</v>
      </c>
      <c r="O114" s="9"/>
    </row>
    <row r="115" spans="1:15" x14ac:dyDescent="0.3">
      <c r="A115" t="s">
        <v>504</v>
      </c>
      <c r="B115" t="str">
        <f>IFERROR(VLOOKUP(A115,'DATA MASTER'!A:O,2,0)," ")</f>
        <v>Girder</v>
      </c>
      <c r="C115" s="19" t="str">
        <f>IFERROR(VLOOKUP(A115,'DATA MASTER'!A:O,4,0)," ")</f>
        <v>BG25</v>
      </c>
      <c r="D115" s="1"/>
      <c r="E115" s="1"/>
      <c r="F115" s="20" t="s">
        <v>54</v>
      </c>
      <c r="G115" s="20" t="s">
        <v>55</v>
      </c>
      <c r="H115" s="20" t="s">
        <v>55</v>
      </c>
      <c r="I115" s="1">
        <v>185</v>
      </c>
      <c r="J115" s="1">
        <v>112</v>
      </c>
      <c r="K115" s="44">
        <v>0.21</v>
      </c>
      <c r="L115" s="10">
        <f>AKSESORIS[[#This Row],[Total 
(pcs)]]*AKSESORIS[[#This Row],[Berat/pcs
(Kg)]]</f>
        <v>23.52</v>
      </c>
      <c r="M115" s="44">
        <f>SUMIF(DATA_MASTER[NO. PON],AKSESORIS[[#This Row],[No.PON]],DATA_MASTER[Qty
(Unit)])</f>
        <v>1</v>
      </c>
      <c r="N115" s="10">
        <f>AKSESORIS[[#This Row],[Total 
(pcs)]]*AKSESORIS[[#This Row],[UNIT]]</f>
        <v>112</v>
      </c>
      <c r="O115" s="9"/>
    </row>
    <row r="116" spans="1:15" x14ac:dyDescent="0.3">
      <c r="A116" t="s">
        <v>504</v>
      </c>
      <c r="B116" t="str">
        <f>IFERROR(VLOOKUP(A116,'DATA MASTER'!A:O,2,0)," ")</f>
        <v>Girder</v>
      </c>
      <c r="C116" s="19" t="str">
        <f>IFERROR(VLOOKUP(A116,'DATA MASTER'!A:O,4,0)," ")</f>
        <v>BG25</v>
      </c>
      <c r="D116" s="1"/>
      <c r="E116" s="1"/>
      <c r="F116" s="20" t="s">
        <v>43</v>
      </c>
      <c r="G116" s="20" t="s">
        <v>494</v>
      </c>
      <c r="H116" s="20" t="s">
        <v>440</v>
      </c>
      <c r="J116" s="1">
        <v>4</v>
      </c>
      <c r="K116" s="44">
        <v>8.08</v>
      </c>
      <c r="L116" s="10">
        <f>AKSESORIS[[#This Row],[Total 
(pcs)]]*AKSESORIS[[#This Row],[Berat/pcs
(Kg)]]</f>
        <v>32.32</v>
      </c>
      <c r="M116" s="44">
        <f>SUMIF(DATA_MASTER[NO. PON],AKSESORIS[[#This Row],[No.PON]],DATA_MASTER[Qty
(Unit)])</f>
        <v>1</v>
      </c>
      <c r="N116" s="10">
        <f>AKSESORIS[[#This Row],[Total 
(pcs)]]*AKSESORIS[[#This Row],[UNIT]]</f>
        <v>4</v>
      </c>
      <c r="O116" s="9"/>
    </row>
    <row r="117" spans="1:15" x14ac:dyDescent="0.3">
      <c r="A117" t="s">
        <v>504</v>
      </c>
      <c r="B117" t="str">
        <f>IFERROR(VLOOKUP(A117,'DATA MASTER'!A:O,2,0)," ")</f>
        <v>Girder</v>
      </c>
      <c r="C117" s="19" t="str">
        <f>IFERROR(VLOOKUP(A117,'DATA MASTER'!A:O,4,0)," ")</f>
        <v>BG25</v>
      </c>
      <c r="D117" s="1"/>
      <c r="E117" s="1"/>
      <c r="F117" s="20" t="s">
        <v>43</v>
      </c>
      <c r="G117" s="20" t="s">
        <v>495</v>
      </c>
      <c r="H117" s="20" t="s">
        <v>440</v>
      </c>
      <c r="J117" s="1">
        <v>4</v>
      </c>
      <c r="K117" s="44">
        <v>8.01</v>
      </c>
      <c r="L117" s="10">
        <f>AKSESORIS[[#This Row],[Total 
(pcs)]]*AKSESORIS[[#This Row],[Berat/pcs
(Kg)]]</f>
        <v>32.04</v>
      </c>
      <c r="M117" s="44">
        <f>SUMIF(DATA_MASTER[NO. PON],AKSESORIS[[#This Row],[No.PON]],DATA_MASTER[Qty
(Unit)])</f>
        <v>1</v>
      </c>
      <c r="N117" s="10">
        <f>AKSESORIS[[#This Row],[Total 
(pcs)]]*AKSESORIS[[#This Row],[UNIT]]</f>
        <v>4</v>
      </c>
      <c r="O117" s="9"/>
    </row>
    <row r="118" spans="1:15" x14ac:dyDescent="0.3">
      <c r="A118" t="s">
        <v>504</v>
      </c>
      <c r="B118" t="str">
        <f>IFERROR(VLOOKUP(A118,'DATA MASTER'!A:O,2,0)," ")</f>
        <v>Girder</v>
      </c>
      <c r="C118" s="19" t="str">
        <f>IFERROR(VLOOKUP(A118,'DATA MASTER'!A:O,4,0)," ")</f>
        <v>BG25</v>
      </c>
      <c r="D118" s="1"/>
      <c r="E118" s="1"/>
      <c r="F118" s="20" t="s">
        <v>43</v>
      </c>
      <c r="G118" s="20" t="s">
        <v>496</v>
      </c>
      <c r="H118" s="20" t="s">
        <v>440</v>
      </c>
      <c r="J118" s="1">
        <v>32</v>
      </c>
      <c r="K118" s="44">
        <v>10.76</v>
      </c>
      <c r="L118" s="10">
        <f>AKSESORIS[[#This Row],[Total 
(pcs)]]*AKSESORIS[[#This Row],[Berat/pcs
(Kg)]]</f>
        <v>344.32</v>
      </c>
      <c r="M118" s="44">
        <f>SUMIF(DATA_MASTER[NO. PON],AKSESORIS[[#This Row],[No.PON]],DATA_MASTER[Qty
(Unit)])</f>
        <v>1</v>
      </c>
      <c r="N118" s="10">
        <f>AKSESORIS[[#This Row],[Total 
(pcs)]]*AKSESORIS[[#This Row],[UNIT]]</f>
        <v>32</v>
      </c>
      <c r="O118" s="9"/>
    </row>
    <row r="119" spans="1:15" x14ac:dyDescent="0.3">
      <c r="A119" t="s">
        <v>504</v>
      </c>
      <c r="B119" t="str">
        <f>IFERROR(VLOOKUP(A119,'DATA MASTER'!A:O,2,0)," ")</f>
        <v>Girder</v>
      </c>
      <c r="C119" s="19" t="str">
        <f>IFERROR(VLOOKUP(A119,'DATA MASTER'!A:O,4,0)," ")</f>
        <v>BG25</v>
      </c>
      <c r="D119" s="1"/>
      <c r="E119" s="1"/>
      <c r="F119" s="20" t="s">
        <v>43</v>
      </c>
      <c r="G119" s="20" t="s">
        <v>507</v>
      </c>
      <c r="H119" s="20" t="s">
        <v>440</v>
      </c>
      <c r="J119" s="1">
        <v>64</v>
      </c>
      <c r="K119" s="44">
        <v>11.22</v>
      </c>
      <c r="L119" s="10">
        <f>AKSESORIS[[#This Row],[Total 
(pcs)]]*AKSESORIS[[#This Row],[Berat/pcs
(Kg)]]</f>
        <v>718.08</v>
      </c>
      <c r="M119" s="44">
        <f>SUMIF(DATA_MASTER[NO. PON],AKSESORIS[[#This Row],[No.PON]],DATA_MASTER[Qty
(Unit)])</f>
        <v>1</v>
      </c>
      <c r="N119" s="10">
        <f>AKSESORIS[[#This Row],[Total 
(pcs)]]*AKSESORIS[[#This Row],[UNIT]]</f>
        <v>64</v>
      </c>
      <c r="O119" s="9"/>
    </row>
    <row r="120" spans="1:15" x14ac:dyDescent="0.3">
      <c r="A120" t="s">
        <v>504</v>
      </c>
      <c r="B120" t="str">
        <f>IFERROR(VLOOKUP(A120,'DATA MASTER'!A:O,2,0)," ")</f>
        <v>Girder</v>
      </c>
      <c r="C120" s="19" t="str">
        <f>IFERROR(VLOOKUP(A120,'DATA MASTER'!A:O,4,0)," ")</f>
        <v>BG25</v>
      </c>
      <c r="D120" s="1"/>
      <c r="E120" s="1"/>
      <c r="F120" s="20" t="s">
        <v>56</v>
      </c>
      <c r="G120" s="20" t="s">
        <v>58</v>
      </c>
      <c r="H120" s="20" t="s">
        <v>57</v>
      </c>
      <c r="I120" s="1" t="s">
        <v>903</v>
      </c>
      <c r="J120" s="1">
        <v>112</v>
      </c>
      <c r="K120" s="10">
        <v>0.33</v>
      </c>
      <c r="L120" s="10">
        <f>AKSESORIS[[#This Row],[Total 
(pcs)]]*AKSESORIS[[#This Row],[Berat/pcs
(Kg)]]</f>
        <v>36.96</v>
      </c>
      <c r="M120" s="44">
        <f>SUMIF(DATA_MASTER[NO. PON],AKSESORIS[[#This Row],[No.PON]],DATA_MASTER[Qty
(Unit)])</f>
        <v>1</v>
      </c>
      <c r="N120" s="10">
        <f>AKSESORIS[[#This Row],[Total 
(pcs)]]*AKSESORIS[[#This Row],[UNIT]]</f>
        <v>112</v>
      </c>
      <c r="O120" s="9"/>
    </row>
    <row r="121" spans="1:15" x14ac:dyDescent="0.3">
      <c r="A121" t="s">
        <v>514</v>
      </c>
      <c r="B121" t="str">
        <f>IFERROR(VLOOKUP(A121,'DATA MASTER'!A:O,2,0)," ")</f>
        <v>Girder</v>
      </c>
      <c r="C121" s="19" t="str">
        <f>IFERROR(VLOOKUP(A121,'DATA MASTER'!A:O,4,0)," ")</f>
        <v>BG30</v>
      </c>
      <c r="D121" s="1"/>
      <c r="E121" s="1"/>
      <c r="F121" s="20" t="s">
        <v>44</v>
      </c>
      <c r="G121" s="20" t="s">
        <v>570</v>
      </c>
      <c r="H121" s="20" t="s">
        <v>583</v>
      </c>
      <c r="J121" s="1">
        <v>10</v>
      </c>
      <c r="K121" s="44">
        <v>16.452457000000003</v>
      </c>
      <c r="L121" s="10">
        <f>AKSESORIS[[#This Row],[Total 
(pcs)]]*AKSESORIS[[#This Row],[Berat/pcs
(Kg)]]</f>
        <v>164.52457000000004</v>
      </c>
      <c r="M121" s="44">
        <f>SUMIF(DATA_MASTER[NO. PON],AKSESORIS[[#This Row],[No.PON]],DATA_MASTER[Qty
(Unit)])</f>
        <v>1</v>
      </c>
      <c r="N121" s="10">
        <f>AKSESORIS[[#This Row],[Total 
(pcs)]]*AKSESORIS[[#This Row],[UNIT]]</f>
        <v>10</v>
      </c>
      <c r="O121" s="9"/>
    </row>
    <row r="122" spans="1:15" x14ac:dyDescent="0.3">
      <c r="A122" t="s">
        <v>514</v>
      </c>
      <c r="B122" t="str">
        <f>IFERROR(VLOOKUP(A122,'DATA MASTER'!A:O,2,0)," ")</f>
        <v>Girder</v>
      </c>
      <c r="C122" s="19" t="str">
        <f>IFERROR(VLOOKUP(A122,'DATA MASTER'!A:O,4,0)," ")</f>
        <v>BG30</v>
      </c>
      <c r="D122" s="1"/>
      <c r="E122" s="1"/>
      <c r="F122" s="20" t="s">
        <v>44</v>
      </c>
      <c r="G122" s="20" t="s">
        <v>571</v>
      </c>
      <c r="H122" s="20" t="s">
        <v>62</v>
      </c>
      <c r="J122" s="1">
        <v>4</v>
      </c>
      <c r="K122" s="10">
        <v>3.438072</v>
      </c>
      <c r="L122" s="10">
        <f>AKSESORIS[[#This Row],[Total 
(pcs)]]*AKSESORIS[[#This Row],[Berat/pcs
(Kg)]]</f>
        <v>13.752288</v>
      </c>
      <c r="M122" s="44">
        <f>SUMIF(DATA_MASTER[NO. PON],AKSESORIS[[#This Row],[No.PON]],DATA_MASTER[Qty
(Unit)])</f>
        <v>1</v>
      </c>
      <c r="N122" s="10">
        <f>AKSESORIS[[#This Row],[Total 
(pcs)]]*AKSESORIS[[#This Row],[UNIT]]</f>
        <v>4</v>
      </c>
      <c r="O122" s="9"/>
    </row>
    <row r="123" spans="1:15" x14ac:dyDescent="0.3">
      <c r="A123" t="s">
        <v>514</v>
      </c>
      <c r="B123" t="str">
        <f>IFERROR(VLOOKUP(A123,'DATA MASTER'!A:O,2,0)," ")</f>
        <v>Girder</v>
      </c>
      <c r="C123" s="19" t="str">
        <f>IFERROR(VLOOKUP(A123,'DATA MASTER'!A:O,4,0)," ")</f>
        <v>BG30</v>
      </c>
      <c r="D123" s="1"/>
      <c r="E123" s="1"/>
      <c r="F123" s="20" t="s">
        <v>904</v>
      </c>
      <c r="G123" s="20" t="s">
        <v>53</v>
      </c>
      <c r="H123" s="20" t="s">
        <v>53</v>
      </c>
      <c r="I123" s="1">
        <v>420</v>
      </c>
      <c r="J123" s="1">
        <v>20</v>
      </c>
      <c r="K123" s="44">
        <v>1.55</v>
      </c>
      <c r="L123" s="10">
        <f>AKSESORIS[[#This Row],[Total 
(pcs)]]*AKSESORIS[[#This Row],[Berat/pcs
(Kg)]]</f>
        <v>31</v>
      </c>
      <c r="M123" s="44">
        <f>SUMIF(DATA_MASTER[NO. PON],AKSESORIS[[#This Row],[No.PON]],DATA_MASTER[Qty
(Unit)])</f>
        <v>1</v>
      </c>
      <c r="N123" s="10">
        <f>AKSESORIS[[#This Row],[Total 
(pcs)]]*AKSESORIS[[#This Row],[UNIT]]</f>
        <v>20</v>
      </c>
      <c r="O123" s="9"/>
    </row>
    <row r="124" spans="1:15" x14ac:dyDescent="0.3">
      <c r="A124" t="s">
        <v>514</v>
      </c>
      <c r="B124" t="str">
        <f>IFERROR(VLOOKUP(A124,'DATA MASTER'!A:O,2,0)," ")</f>
        <v>Girder</v>
      </c>
      <c r="C124" s="19" t="str">
        <f>IFERROR(VLOOKUP(A124,'DATA MASTER'!A:O,4,0)," ")</f>
        <v>BG30</v>
      </c>
      <c r="D124" s="1"/>
      <c r="E124" s="1"/>
      <c r="F124" s="20" t="s">
        <v>54</v>
      </c>
      <c r="G124" s="20" t="s">
        <v>55</v>
      </c>
      <c r="H124" s="20" t="s">
        <v>55</v>
      </c>
      <c r="I124" s="1">
        <v>185</v>
      </c>
      <c r="J124" s="1">
        <v>120</v>
      </c>
      <c r="K124" s="44">
        <v>0.21</v>
      </c>
      <c r="L124" s="10">
        <f>AKSESORIS[[#This Row],[Total 
(pcs)]]*AKSESORIS[[#This Row],[Berat/pcs
(Kg)]]</f>
        <v>25.2</v>
      </c>
      <c r="M124" s="44">
        <f>SUMIF(DATA_MASTER[NO. PON],AKSESORIS[[#This Row],[No.PON]],DATA_MASTER[Qty
(Unit)])</f>
        <v>1</v>
      </c>
      <c r="N124" s="10">
        <f>AKSESORIS[[#This Row],[Total 
(pcs)]]*AKSESORIS[[#This Row],[UNIT]]</f>
        <v>120</v>
      </c>
      <c r="O124" s="9"/>
    </row>
    <row r="125" spans="1:15" x14ac:dyDescent="0.3">
      <c r="A125" t="s">
        <v>518</v>
      </c>
      <c r="B125" t="str">
        <f>IFERROR(VLOOKUP(A125,'DATA MASTER'!A:O,2,0)," ")</f>
        <v>Girder</v>
      </c>
      <c r="C125" s="19" t="str">
        <f>IFERROR(VLOOKUP(A125,'DATA MASTER'!A:O,4,0)," ")</f>
        <v>CG30</v>
      </c>
      <c r="D125" s="1"/>
      <c r="E125" s="1"/>
      <c r="F125" s="20" t="s">
        <v>44</v>
      </c>
      <c r="G125" s="20" t="s">
        <v>539</v>
      </c>
      <c r="H125" s="20" t="s">
        <v>540</v>
      </c>
      <c r="J125" s="1">
        <v>8</v>
      </c>
      <c r="K125" s="44">
        <v>17.534727</v>
      </c>
      <c r="L125" s="10">
        <f>AKSESORIS[[#This Row],[Total 
(pcs)]]*AKSESORIS[[#This Row],[Berat/pcs
(Kg)]]</f>
        <v>140.277816</v>
      </c>
      <c r="M125" s="44">
        <f>SUMIF(DATA_MASTER[NO. PON],AKSESORIS[[#This Row],[No.PON]],DATA_MASTER[Qty
(Unit)])</f>
        <v>1</v>
      </c>
      <c r="N125" s="10">
        <f>AKSESORIS[[#This Row],[Total 
(pcs)]]*AKSESORIS[[#This Row],[UNIT]]</f>
        <v>8</v>
      </c>
      <c r="O125" s="9"/>
    </row>
    <row r="126" spans="1:15" x14ac:dyDescent="0.3">
      <c r="A126" t="s">
        <v>518</v>
      </c>
      <c r="B126" t="str">
        <f>IFERROR(VLOOKUP(A126,'DATA MASTER'!A:O,2,0)," ")</f>
        <v>Girder</v>
      </c>
      <c r="C126" s="19" t="str">
        <f>IFERROR(VLOOKUP(A126,'DATA MASTER'!A:O,4,0)," ")</f>
        <v>CG30</v>
      </c>
      <c r="D126" s="1"/>
      <c r="E126" s="1"/>
      <c r="F126" s="20" t="s">
        <v>44</v>
      </c>
      <c r="G126" s="20" t="s">
        <v>541</v>
      </c>
      <c r="H126" s="20" t="s">
        <v>62</v>
      </c>
      <c r="J126" s="1">
        <v>4</v>
      </c>
      <c r="K126" s="10">
        <v>3.438072</v>
      </c>
      <c r="L126" s="10">
        <f>AKSESORIS[[#This Row],[Total 
(pcs)]]*AKSESORIS[[#This Row],[Berat/pcs
(Kg)]]</f>
        <v>13.752288</v>
      </c>
      <c r="M126" s="44">
        <f>SUMIF(DATA_MASTER[NO. PON],AKSESORIS[[#This Row],[No.PON]],DATA_MASTER[Qty
(Unit)])</f>
        <v>1</v>
      </c>
      <c r="N126" s="10">
        <f>AKSESORIS[[#This Row],[Total 
(pcs)]]*AKSESORIS[[#This Row],[UNIT]]</f>
        <v>4</v>
      </c>
      <c r="O126" s="9"/>
    </row>
    <row r="127" spans="1:15" x14ac:dyDescent="0.3">
      <c r="A127" t="s">
        <v>518</v>
      </c>
      <c r="B127" t="str">
        <f>IFERROR(VLOOKUP(A127,'DATA MASTER'!A:O,2,0)," ")</f>
        <v>Girder</v>
      </c>
      <c r="C127" s="19" t="str">
        <f>IFERROR(VLOOKUP(A127,'DATA MASTER'!A:O,4,0)," ")</f>
        <v>CG30</v>
      </c>
      <c r="D127" s="1"/>
      <c r="E127" s="1"/>
      <c r="F127" s="20" t="s">
        <v>904</v>
      </c>
      <c r="G127" s="20" t="s">
        <v>53</v>
      </c>
      <c r="H127" s="20" t="s">
        <v>53</v>
      </c>
      <c r="I127" s="1">
        <v>420</v>
      </c>
      <c r="J127" s="1">
        <v>16</v>
      </c>
      <c r="K127" s="44">
        <v>1.55</v>
      </c>
      <c r="L127" s="10">
        <f>AKSESORIS[[#This Row],[Total 
(pcs)]]*AKSESORIS[[#This Row],[Berat/pcs
(Kg)]]</f>
        <v>24.8</v>
      </c>
      <c r="M127" s="44">
        <f>SUMIF(DATA_MASTER[NO. PON],AKSESORIS[[#This Row],[No.PON]],DATA_MASTER[Qty
(Unit)])</f>
        <v>1</v>
      </c>
      <c r="N127" s="10">
        <f>AKSESORIS[[#This Row],[Total 
(pcs)]]*AKSESORIS[[#This Row],[UNIT]]</f>
        <v>16</v>
      </c>
      <c r="O127" s="9"/>
    </row>
    <row r="128" spans="1:15" x14ac:dyDescent="0.3">
      <c r="A128" t="s">
        <v>518</v>
      </c>
      <c r="B128" t="str">
        <f>IFERROR(VLOOKUP(A128,'DATA MASTER'!A:O,2,0)," ")</f>
        <v>Girder</v>
      </c>
      <c r="C128" s="19" t="str">
        <f>IFERROR(VLOOKUP(A128,'DATA MASTER'!A:O,4,0)," ")</f>
        <v>CG30</v>
      </c>
      <c r="D128" s="1"/>
      <c r="E128" s="1"/>
      <c r="F128" s="20" t="s">
        <v>54</v>
      </c>
      <c r="G128" s="20" t="s">
        <v>55</v>
      </c>
      <c r="H128" s="20" t="s">
        <v>55</v>
      </c>
      <c r="I128" s="1">
        <v>185</v>
      </c>
      <c r="J128" s="1">
        <v>120</v>
      </c>
      <c r="K128" s="44">
        <v>0.21</v>
      </c>
      <c r="L128" s="10">
        <f>AKSESORIS[[#This Row],[Total 
(pcs)]]*AKSESORIS[[#This Row],[Berat/pcs
(Kg)]]</f>
        <v>25.2</v>
      </c>
      <c r="M128" s="44">
        <f>SUMIF(DATA_MASTER[NO. PON],AKSESORIS[[#This Row],[No.PON]],DATA_MASTER[Qty
(Unit)])</f>
        <v>1</v>
      </c>
      <c r="N128" s="10">
        <f>AKSESORIS[[#This Row],[Total 
(pcs)]]*AKSESORIS[[#This Row],[UNIT]]</f>
        <v>120</v>
      </c>
      <c r="O128" s="9"/>
    </row>
    <row r="129" spans="1:15" x14ac:dyDescent="0.3">
      <c r="A129" t="s">
        <v>518</v>
      </c>
      <c r="B129" t="str">
        <f>IFERROR(VLOOKUP(A129,'DATA MASTER'!A:O,2,0)," ")</f>
        <v>Girder</v>
      </c>
      <c r="C129" s="19" t="str">
        <f>IFERROR(VLOOKUP(A129,'DATA MASTER'!A:O,4,0)," ")</f>
        <v>CG30</v>
      </c>
      <c r="D129" s="1"/>
      <c r="E129" s="1"/>
      <c r="F129" s="20" t="s">
        <v>43</v>
      </c>
      <c r="G129" s="20" t="s">
        <v>354</v>
      </c>
      <c r="H129" s="20" t="s">
        <v>440</v>
      </c>
      <c r="J129" s="1">
        <v>3</v>
      </c>
      <c r="K129" s="44">
        <v>10.11</v>
      </c>
      <c r="L129" s="10">
        <f>AKSESORIS[[#This Row],[Total 
(pcs)]]*AKSESORIS[[#This Row],[Berat/pcs
(Kg)]]</f>
        <v>30.33</v>
      </c>
      <c r="M129" s="44">
        <f>SUMIF(DATA_MASTER[NO. PON],AKSESORIS[[#This Row],[No.PON]],DATA_MASTER[Qty
(Unit)])</f>
        <v>1</v>
      </c>
      <c r="N129" s="10">
        <f>AKSESORIS[[#This Row],[Total 
(pcs)]]*AKSESORIS[[#This Row],[UNIT]]</f>
        <v>3</v>
      </c>
      <c r="O129" s="9"/>
    </row>
    <row r="130" spans="1:15" x14ac:dyDescent="0.3">
      <c r="A130" t="s">
        <v>518</v>
      </c>
      <c r="B130" t="str">
        <f>IFERROR(VLOOKUP(A130,'DATA MASTER'!A:O,2,0)," ")</f>
        <v>Girder</v>
      </c>
      <c r="C130" s="19" t="str">
        <f>IFERROR(VLOOKUP(A130,'DATA MASTER'!A:O,4,0)," ")</f>
        <v>CG30</v>
      </c>
      <c r="D130" s="1"/>
      <c r="E130" s="1"/>
      <c r="F130" s="20" t="s">
        <v>43</v>
      </c>
      <c r="G130" s="20" t="s">
        <v>356</v>
      </c>
      <c r="H130" s="20" t="s">
        <v>440</v>
      </c>
      <c r="J130" s="1">
        <v>3</v>
      </c>
      <c r="K130" s="44">
        <v>10.01</v>
      </c>
      <c r="L130" s="10">
        <f>AKSESORIS[[#This Row],[Total 
(pcs)]]*AKSESORIS[[#This Row],[Berat/pcs
(Kg)]]</f>
        <v>30.03</v>
      </c>
      <c r="M130" s="44">
        <f>SUMIF(DATA_MASTER[NO. PON],AKSESORIS[[#This Row],[No.PON]],DATA_MASTER[Qty
(Unit)])</f>
        <v>1</v>
      </c>
      <c r="N130" s="10">
        <f>AKSESORIS[[#This Row],[Total 
(pcs)]]*AKSESORIS[[#This Row],[UNIT]]</f>
        <v>3</v>
      </c>
      <c r="O130" s="9"/>
    </row>
    <row r="131" spans="1:15" x14ac:dyDescent="0.3">
      <c r="A131" t="s">
        <v>518</v>
      </c>
      <c r="B131" t="str">
        <f>IFERROR(VLOOKUP(A131,'DATA MASTER'!A:O,2,0)," ")</f>
        <v>Girder</v>
      </c>
      <c r="C131" s="19" t="str">
        <f>IFERROR(VLOOKUP(A131,'DATA MASTER'!A:O,4,0)," ")</f>
        <v>CG30</v>
      </c>
      <c r="D131" s="1"/>
      <c r="E131" s="1"/>
      <c r="F131" s="20" t="s">
        <v>43</v>
      </c>
      <c r="G131" s="20" t="s">
        <v>542</v>
      </c>
      <c r="H131" s="20" t="s">
        <v>440</v>
      </c>
      <c r="J131" s="1">
        <v>87</v>
      </c>
      <c r="K131" s="44">
        <v>14.29</v>
      </c>
      <c r="L131" s="10">
        <f>AKSESORIS[[#This Row],[Total 
(pcs)]]*AKSESORIS[[#This Row],[Berat/pcs
(Kg)]]</f>
        <v>1243.23</v>
      </c>
      <c r="M131" s="44">
        <f>SUMIF(DATA_MASTER[NO. PON],AKSESORIS[[#This Row],[No.PON]],DATA_MASTER[Qty
(Unit)])</f>
        <v>1</v>
      </c>
      <c r="N131" s="10">
        <f>AKSESORIS[[#This Row],[Total 
(pcs)]]*AKSESORIS[[#This Row],[UNIT]]</f>
        <v>87</v>
      </c>
      <c r="O131" s="9"/>
    </row>
    <row r="132" spans="1:15" x14ac:dyDescent="0.3">
      <c r="A132" t="s">
        <v>518</v>
      </c>
      <c r="B132" t="str">
        <f>IFERROR(VLOOKUP(A132,'DATA MASTER'!A:O,2,0)," ")</f>
        <v>Girder</v>
      </c>
      <c r="C132" s="19" t="str">
        <f>IFERROR(VLOOKUP(A132,'DATA MASTER'!A:O,4,0)," ")</f>
        <v>CG30</v>
      </c>
      <c r="D132" s="1"/>
      <c r="E132" s="1"/>
      <c r="F132" s="20" t="s">
        <v>56</v>
      </c>
      <c r="G132" s="20" t="s">
        <v>58</v>
      </c>
      <c r="H132" s="20" t="s">
        <v>57</v>
      </c>
      <c r="I132" s="1" t="s">
        <v>903</v>
      </c>
      <c r="J132" s="1">
        <v>128</v>
      </c>
      <c r="K132" s="10">
        <v>0.33</v>
      </c>
      <c r="L132" s="10">
        <f>AKSESORIS[[#This Row],[Total 
(pcs)]]*AKSESORIS[[#This Row],[Berat/pcs
(Kg)]]</f>
        <v>42.24</v>
      </c>
      <c r="M132" s="44">
        <f>SUMIF(DATA_MASTER[NO. PON],AKSESORIS[[#This Row],[No.PON]],DATA_MASTER[Qty
(Unit)])</f>
        <v>1</v>
      </c>
      <c r="N132" s="10">
        <f>AKSESORIS[[#This Row],[Total 
(pcs)]]*AKSESORIS[[#This Row],[UNIT]]</f>
        <v>128</v>
      </c>
      <c r="O132" s="9"/>
    </row>
    <row r="133" spans="1:15" x14ac:dyDescent="0.3">
      <c r="A133" t="s">
        <v>548</v>
      </c>
      <c r="B133" t="str">
        <f>IFERROR(VLOOKUP(A133,'DATA MASTER'!A:O,2,0)," ")</f>
        <v>Girder</v>
      </c>
      <c r="C133" s="19" t="str">
        <f>IFERROR(VLOOKUP(A133,'DATA MASTER'!A:O,4,0)," ")</f>
        <v>BG35</v>
      </c>
      <c r="D133" s="1"/>
      <c r="E133" s="1"/>
      <c r="F133" s="20" t="s">
        <v>44</v>
      </c>
      <c r="G133" s="20" t="s">
        <v>608</v>
      </c>
      <c r="H133" s="20" t="s">
        <v>610</v>
      </c>
      <c r="J133" s="1">
        <v>10</v>
      </c>
      <c r="K133" s="44">
        <v>18.237891000000001</v>
      </c>
      <c r="L133" s="10">
        <f>AKSESORIS[[#This Row],[Total 
(pcs)]]*AKSESORIS[[#This Row],[Berat/pcs
(Kg)]]</f>
        <v>182.37891000000002</v>
      </c>
      <c r="M133" s="44">
        <f>SUMIF(DATA_MASTER[NO. PON],AKSESORIS[[#This Row],[No.PON]],DATA_MASTER[Qty
(Unit)])</f>
        <v>1</v>
      </c>
      <c r="N133" s="10">
        <f>AKSESORIS[[#This Row],[Total 
(pcs)]]*AKSESORIS[[#This Row],[UNIT]]</f>
        <v>10</v>
      </c>
      <c r="O133" s="9"/>
    </row>
    <row r="134" spans="1:15" x14ac:dyDescent="0.3">
      <c r="A134" t="s">
        <v>548</v>
      </c>
      <c r="B134" t="str">
        <f>IFERROR(VLOOKUP(A134,'DATA MASTER'!A:O,2,0)," ")</f>
        <v>Girder</v>
      </c>
      <c r="C134" s="19" t="str">
        <f>IFERROR(VLOOKUP(A134,'DATA MASTER'!A:O,4,0)," ")</f>
        <v>BG35</v>
      </c>
      <c r="D134" s="1"/>
      <c r="E134" s="1"/>
      <c r="F134" s="20" t="s">
        <v>44</v>
      </c>
      <c r="G134" s="20" t="s">
        <v>609</v>
      </c>
      <c r="H134" s="20" t="s">
        <v>62</v>
      </c>
      <c r="J134" s="1">
        <v>4</v>
      </c>
      <c r="K134" s="10">
        <v>3.438072</v>
      </c>
      <c r="L134" s="10">
        <f>AKSESORIS[[#This Row],[Total 
(pcs)]]*AKSESORIS[[#This Row],[Berat/pcs
(Kg)]]</f>
        <v>13.752288</v>
      </c>
      <c r="M134" s="44">
        <f>SUMIF(DATA_MASTER[NO. PON],AKSESORIS[[#This Row],[No.PON]],DATA_MASTER[Qty
(Unit)])</f>
        <v>1</v>
      </c>
      <c r="N134" s="10">
        <f>AKSESORIS[[#This Row],[Total 
(pcs)]]*AKSESORIS[[#This Row],[UNIT]]</f>
        <v>4</v>
      </c>
      <c r="O134" s="9"/>
    </row>
    <row r="135" spans="1:15" x14ac:dyDescent="0.3">
      <c r="A135" t="s">
        <v>548</v>
      </c>
      <c r="B135" t="str">
        <f>IFERROR(VLOOKUP(A135,'DATA MASTER'!A:O,2,0)," ")</f>
        <v>Girder</v>
      </c>
      <c r="C135" s="19" t="str">
        <f>IFERROR(VLOOKUP(A135,'DATA MASTER'!A:O,4,0)," ")</f>
        <v>BG35</v>
      </c>
      <c r="D135" s="1"/>
      <c r="E135" s="1"/>
      <c r="F135" s="20" t="s">
        <v>904</v>
      </c>
      <c r="G135" s="20" t="s">
        <v>53</v>
      </c>
      <c r="H135" s="20" t="s">
        <v>53</v>
      </c>
      <c r="I135" s="1">
        <v>420</v>
      </c>
      <c r="J135" s="1">
        <v>20</v>
      </c>
      <c r="K135" s="44">
        <v>1.55</v>
      </c>
      <c r="L135" s="10">
        <f>AKSESORIS[[#This Row],[Total 
(pcs)]]*AKSESORIS[[#This Row],[Berat/pcs
(Kg)]]</f>
        <v>31</v>
      </c>
      <c r="M135" s="44">
        <f>SUMIF(DATA_MASTER[NO. PON],AKSESORIS[[#This Row],[No.PON]],DATA_MASTER[Qty
(Unit)])</f>
        <v>1</v>
      </c>
      <c r="N135" s="10">
        <f>AKSESORIS[[#This Row],[Total 
(pcs)]]*AKSESORIS[[#This Row],[UNIT]]</f>
        <v>20</v>
      </c>
      <c r="O135" s="9"/>
    </row>
    <row r="136" spans="1:15" x14ac:dyDescent="0.3">
      <c r="A136" t="s">
        <v>548</v>
      </c>
      <c r="B136" t="str">
        <f>IFERROR(VLOOKUP(A136,'DATA MASTER'!A:O,2,0)," ")</f>
        <v>Girder</v>
      </c>
      <c r="C136" s="19" t="str">
        <f>IFERROR(VLOOKUP(A136,'DATA MASTER'!A:O,4,0)," ")</f>
        <v>BG35</v>
      </c>
      <c r="D136" s="1"/>
      <c r="E136" s="1"/>
      <c r="F136" s="20" t="s">
        <v>54</v>
      </c>
      <c r="G136" s="20" t="s">
        <v>55</v>
      </c>
      <c r="H136" s="20" t="s">
        <v>55</v>
      </c>
      <c r="I136" s="1">
        <v>185</v>
      </c>
      <c r="J136" s="1">
        <v>154</v>
      </c>
      <c r="K136" s="44">
        <v>0.21</v>
      </c>
      <c r="L136" s="10">
        <f>AKSESORIS[[#This Row],[Total 
(pcs)]]*AKSESORIS[[#This Row],[Berat/pcs
(Kg)]]</f>
        <v>32.339999999999996</v>
      </c>
      <c r="M136" s="44">
        <f>SUMIF(DATA_MASTER[NO. PON],AKSESORIS[[#This Row],[No.PON]],DATA_MASTER[Qty
(Unit)])</f>
        <v>1</v>
      </c>
      <c r="N136" s="10">
        <f>AKSESORIS[[#This Row],[Total 
(pcs)]]*AKSESORIS[[#This Row],[UNIT]]</f>
        <v>154</v>
      </c>
      <c r="O136" s="9"/>
    </row>
    <row r="137" spans="1:15" x14ac:dyDescent="0.3">
      <c r="A137" t="s">
        <v>548</v>
      </c>
      <c r="B137" t="str">
        <f>IFERROR(VLOOKUP(A137,'DATA MASTER'!A:O,2,0)," ")</f>
        <v>Girder</v>
      </c>
      <c r="C137" s="19" t="str">
        <f>IFERROR(VLOOKUP(A137,'DATA MASTER'!A:O,4,0)," ")</f>
        <v>BG35</v>
      </c>
      <c r="D137" s="1"/>
      <c r="E137" s="1"/>
      <c r="F137" s="20" t="s">
        <v>43</v>
      </c>
      <c r="G137" s="20" t="s">
        <v>611</v>
      </c>
      <c r="H137" s="20" t="s">
        <v>440</v>
      </c>
      <c r="J137" s="1">
        <v>4</v>
      </c>
      <c r="K137" s="44">
        <v>10.11</v>
      </c>
      <c r="L137" s="10">
        <f>AKSESORIS[[#This Row],[Total 
(pcs)]]*AKSESORIS[[#This Row],[Berat/pcs
(Kg)]]</f>
        <v>40.44</v>
      </c>
      <c r="M137" s="44">
        <f>SUMIF(DATA_MASTER[NO. PON],AKSESORIS[[#This Row],[No.PON]],DATA_MASTER[Qty
(Unit)])</f>
        <v>1</v>
      </c>
      <c r="N137" s="10">
        <f>AKSESORIS[[#This Row],[Total 
(pcs)]]*AKSESORIS[[#This Row],[UNIT]]</f>
        <v>4</v>
      </c>
      <c r="O137" s="9"/>
    </row>
    <row r="138" spans="1:15" x14ac:dyDescent="0.3">
      <c r="A138" t="s">
        <v>548</v>
      </c>
      <c r="B138" t="str">
        <f>IFERROR(VLOOKUP(A138,'DATA MASTER'!A:O,2,0)," ")</f>
        <v>Girder</v>
      </c>
      <c r="C138" s="19" t="str">
        <f>IFERROR(VLOOKUP(A138,'DATA MASTER'!A:O,4,0)," ")</f>
        <v>BG35</v>
      </c>
      <c r="D138" s="1"/>
      <c r="E138" s="1"/>
      <c r="F138" s="20" t="s">
        <v>43</v>
      </c>
      <c r="G138" s="20" t="s">
        <v>612</v>
      </c>
      <c r="H138" s="20" t="s">
        <v>440</v>
      </c>
      <c r="J138" s="1">
        <v>136</v>
      </c>
      <c r="K138" s="44">
        <v>14.29</v>
      </c>
      <c r="L138" s="10">
        <f>AKSESORIS[[#This Row],[Total 
(pcs)]]*AKSESORIS[[#This Row],[Berat/pcs
(Kg)]]</f>
        <v>1943.4399999999998</v>
      </c>
      <c r="M138" s="44">
        <f>SUMIF(DATA_MASTER[NO. PON],AKSESORIS[[#This Row],[No.PON]],DATA_MASTER[Qty
(Unit)])</f>
        <v>1</v>
      </c>
      <c r="N138" s="10">
        <f>AKSESORIS[[#This Row],[Total 
(pcs)]]*AKSESORIS[[#This Row],[UNIT]]</f>
        <v>136</v>
      </c>
      <c r="O138" s="9"/>
    </row>
    <row r="139" spans="1:15" x14ac:dyDescent="0.3">
      <c r="A139" t="s">
        <v>548</v>
      </c>
      <c r="B139" t="str">
        <f>IFERROR(VLOOKUP(A139,'DATA MASTER'!A:O,2,0)," ")</f>
        <v>Girder</v>
      </c>
      <c r="C139" s="19" t="str">
        <f>IFERROR(VLOOKUP(A139,'DATA MASTER'!A:O,4,0)," ")</f>
        <v>BG35</v>
      </c>
      <c r="D139" s="1"/>
      <c r="E139" s="1"/>
      <c r="F139" s="20" t="s">
        <v>43</v>
      </c>
      <c r="G139" s="20" t="s">
        <v>613</v>
      </c>
      <c r="H139" s="20" t="s">
        <v>440</v>
      </c>
      <c r="J139" s="1">
        <v>4</v>
      </c>
      <c r="K139" s="44">
        <v>10.11</v>
      </c>
      <c r="L139" s="10">
        <f>AKSESORIS[[#This Row],[Total 
(pcs)]]*AKSESORIS[[#This Row],[Berat/pcs
(Kg)]]</f>
        <v>40.44</v>
      </c>
      <c r="M139" s="44">
        <f>SUMIF(DATA_MASTER[NO. PON],AKSESORIS[[#This Row],[No.PON]],DATA_MASTER[Qty
(Unit)])</f>
        <v>1</v>
      </c>
      <c r="N139" s="10">
        <f>AKSESORIS[[#This Row],[Total 
(pcs)]]*AKSESORIS[[#This Row],[UNIT]]</f>
        <v>4</v>
      </c>
      <c r="O139" s="9"/>
    </row>
    <row r="140" spans="1:15" x14ac:dyDescent="0.3">
      <c r="A140" t="s">
        <v>548</v>
      </c>
      <c r="B140" t="str">
        <f>IFERROR(VLOOKUP(A140,'DATA MASTER'!A:O,2,0)," ")</f>
        <v>Girder</v>
      </c>
      <c r="C140" s="19" t="str">
        <f>IFERROR(VLOOKUP(A140,'DATA MASTER'!A:O,4,0)," ")</f>
        <v>BG35</v>
      </c>
      <c r="D140" s="1"/>
      <c r="E140" s="1"/>
      <c r="F140" s="20" t="s">
        <v>56</v>
      </c>
      <c r="G140" s="20" t="s">
        <v>58</v>
      </c>
      <c r="H140" s="20" t="s">
        <v>57</v>
      </c>
      <c r="I140" s="1" t="s">
        <v>903</v>
      </c>
      <c r="J140" s="1">
        <v>154</v>
      </c>
      <c r="K140" s="10">
        <v>0.33</v>
      </c>
      <c r="L140" s="10">
        <f>AKSESORIS[[#This Row],[Total 
(pcs)]]*AKSESORIS[[#This Row],[Berat/pcs
(Kg)]]</f>
        <v>50.82</v>
      </c>
      <c r="M140" s="44">
        <f>SUMIF(DATA_MASTER[NO. PON],AKSESORIS[[#This Row],[No.PON]],DATA_MASTER[Qty
(Unit)])</f>
        <v>1</v>
      </c>
      <c r="N140" s="10">
        <f>AKSESORIS[[#This Row],[Total 
(pcs)]]*AKSESORIS[[#This Row],[UNIT]]</f>
        <v>154</v>
      </c>
      <c r="O140" s="9"/>
    </row>
    <row r="141" spans="1:15" x14ac:dyDescent="0.3">
      <c r="A141" t="s">
        <v>552</v>
      </c>
      <c r="B141" t="str">
        <f>IFERROR(VLOOKUP(A141,'DATA MASTER'!A:O,2,0)," ")</f>
        <v>Girder</v>
      </c>
      <c r="C141" s="19" t="str">
        <f>IFERROR(VLOOKUP(A141,'DATA MASTER'!A:O,4,0)," ")</f>
        <v>BG20</v>
      </c>
      <c r="D141" s="1"/>
      <c r="E141" s="1"/>
      <c r="F141" s="20" t="s">
        <v>44</v>
      </c>
      <c r="G141" s="20" t="s">
        <v>614</v>
      </c>
      <c r="H141" s="20" t="s">
        <v>610</v>
      </c>
      <c r="J141" s="1">
        <v>10</v>
      </c>
      <c r="K141" s="44">
        <v>18.237891000000001</v>
      </c>
      <c r="L141" s="10">
        <f>AKSESORIS[[#This Row],[Total 
(pcs)]]*AKSESORIS[[#This Row],[Berat/pcs
(Kg)]]</f>
        <v>182.37891000000002</v>
      </c>
      <c r="M141" s="44">
        <f>SUMIF(DATA_MASTER[NO. PON],AKSESORIS[[#This Row],[No.PON]],DATA_MASTER[Qty
(Unit)])</f>
        <v>1</v>
      </c>
      <c r="N141" s="10">
        <f>AKSESORIS[[#This Row],[Total 
(pcs)]]*AKSESORIS[[#This Row],[UNIT]]</f>
        <v>10</v>
      </c>
      <c r="O141" s="9"/>
    </row>
    <row r="142" spans="1:15" x14ac:dyDescent="0.3">
      <c r="A142" t="s">
        <v>552</v>
      </c>
      <c r="B142" t="str">
        <f>IFERROR(VLOOKUP(A142,'DATA MASTER'!A:O,2,0)," ")</f>
        <v>Girder</v>
      </c>
      <c r="C142" s="19" t="str">
        <f>IFERROR(VLOOKUP(A142,'DATA MASTER'!A:O,4,0)," ")</f>
        <v>BG20</v>
      </c>
      <c r="D142" s="1"/>
      <c r="E142" s="1"/>
      <c r="F142" s="20" t="s">
        <v>44</v>
      </c>
      <c r="G142" s="20" t="s">
        <v>615</v>
      </c>
      <c r="H142" s="20" t="s">
        <v>62</v>
      </c>
      <c r="J142" s="1">
        <v>4</v>
      </c>
      <c r="K142" s="10">
        <v>3.438072</v>
      </c>
      <c r="L142" s="10">
        <f>AKSESORIS[[#This Row],[Total 
(pcs)]]*AKSESORIS[[#This Row],[Berat/pcs
(Kg)]]</f>
        <v>13.752288</v>
      </c>
      <c r="M142" s="44">
        <f>SUMIF(DATA_MASTER[NO. PON],AKSESORIS[[#This Row],[No.PON]],DATA_MASTER[Qty
(Unit)])</f>
        <v>1</v>
      </c>
      <c r="N142" s="10">
        <f>AKSESORIS[[#This Row],[Total 
(pcs)]]*AKSESORIS[[#This Row],[UNIT]]</f>
        <v>4</v>
      </c>
      <c r="O142" s="9"/>
    </row>
    <row r="143" spans="1:15" x14ac:dyDescent="0.3">
      <c r="A143" t="s">
        <v>552</v>
      </c>
      <c r="B143" t="str">
        <f>IFERROR(VLOOKUP(A143,'DATA MASTER'!A:O,2,0)," ")</f>
        <v>Girder</v>
      </c>
      <c r="C143" s="19" t="str">
        <f>IFERROR(VLOOKUP(A143,'DATA MASTER'!A:O,4,0)," ")</f>
        <v>BG20</v>
      </c>
      <c r="D143" s="1"/>
      <c r="E143" s="1"/>
      <c r="F143" s="20" t="s">
        <v>904</v>
      </c>
      <c r="G143" s="20" t="s">
        <v>53</v>
      </c>
      <c r="H143" s="20" t="s">
        <v>53</v>
      </c>
      <c r="I143" s="1">
        <v>420</v>
      </c>
      <c r="J143" s="1">
        <v>20</v>
      </c>
      <c r="K143" s="44">
        <v>1.55</v>
      </c>
      <c r="L143" s="10">
        <f>AKSESORIS[[#This Row],[Total 
(pcs)]]*AKSESORIS[[#This Row],[Berat/pcs
(Kg)]]</f>
        <v>31</v>
      </c>
      <c r="M143" s="44">
        <f>SUMIF(DATA_MASTER[NO. PON],AKSESORIS[[#This Row],[No.PON]],DATA_MASTER[Qty
(Unit)])</f>
        <v>1</v>
      </c>
      <c r="N143" s="10">
        <f>AKSESORIS[[#This Row],[Total 
(pcs)]]*AKSESORIS[[#This Row],[UNIT]]</f>
        <v>20</v>
      </c>
      <c r="O143" s="9"/>
    </row>
    <row r="144" spans="1:15" x14ac:dyDescent="0.3">
      <c r="A144" t="s">
        <v>552</v>
      </c>
      <c r="B144" t="str">
        <f>IFERROR(VLOOKUP(A144,'DATA MASTER'!A:O,2,0)," ")</f>
        <v>Girder</v>
      </c>
      <c r="C144" s="19" t="str">
        <f>IFERROR(VLOOKUP(A144,'DATA MASTER'!A:O,4,0)," ")</f>
        <v>BG20</v>
      </c>
      <c r="D144" s="1"/>
      <c r="E144" s="1"/>
      <c r="F144" s="20" t="s">
        <v>54</v>
      </c>
      <c r="G144" s="20" t="s">
        <v>55</v>
      </c>
      <c r="H144" s="20" t="s">
        <v>55</v>
      </c>
      <c r="I144" s="1">
        <v>185</v>
      </c>
      <c r="J144" s="1">
        <v>88</v>
      </c>
      <c r="K144" s="44">
        <v>0.21</v>
      </c>
      <c r="L144" s="10">
        <f>AKSESORIS[[#This Row],[Total 
(pcs)]]*AKSESORIS[[#This Row],[Berat/pcs
(Kg)]]</f>
        <v>18.48</v>
      </c>
      <c r="M144" s="44">
        <f>SUMIF(DATA_MASTER[NO. PON],AKSESORIS[[#This Row],[No.PON]],DATA_MASTER[Qty
(Unit)])</f>
        <v>1</v>
      </c>
      <c r="N144" s="10">
        <f>AKSESORIS[[#This Row],[Total 
(pcs)]]*AKSESORIS[[#This Row],[UNIT]]</f>
        <v>88</v>
      </c>
      <c r="O144" s="9"/>
    </row>
    <row r="145" spans="1:15" x14ac:dyDescent="0.3">
      <c r="A145" t="s">
        <v>552</v>
      </c>
      <c r="B145" t="str">
        <f>IFERROR(VLOOKUP(A145,'DATA MASTER'!A:O,2,0)," ")</f>
        <v>Girder</v>
      </c>
      <c r="C145" s="19" t="str">
        <f>IFERROR(VLOOKUP(A145,'DATA MASTER'!A:O,4,0)," ")</f>
        <v>BG20</v>
      </c>
      <c r="D145" s="1"/>
      <c r="E145" s="1"/>
      <c r="F145" s="20" t="s">
        <v>43</v>
      </c>
      <c r="G145" s="20" t="s">
        <v>616</v>
      </c>
      <c r="H145" s="20" t="s">
        <v>619</v>
      </c>
      <c r="J145" s="1">
        <v>76</v>
      </c>
      <c r="K145" s="44">
        <v>14.29</v>
      </c>
      <c r="L145" s="10">
        <f>AKSESORIS[[#This Row],[Total 
(pcs)]]*AKSESORIS[[#This Row],[Berat/pcs
(Kg)]]</f>
        <v>1086.04</v>
      </c>
      <c r="M145" s="44">
        <f>SUMIF(DATA_MASTER[NO. PON],AKSESORIS[[#This Row],[No.PON]],DATA_MASTER[Qty
(Unit)])</f>
        <v>1</v>
      </c>
      <c r="N145" s="10">
        <f>AKSESORIS[[#This Row],[Total 
(pcs)]]*AKSESORIS[[#This Row],[UNIT]]</f>
        <v>76</v>
      </c>
      <c r="O145" s="9"/>
    </row>
    <row r="146" spans="1:15" x14ac:dyDescent="0.3">
      <c r="A146" t="s">
        <v>552</v>
      </c>
      <c r="B146" t="str">
        <f>IFERROR(VLOOKUP(A146,'DATA MASTER'!A:O,2,0)," ")</f>
        <v>Girder</v>
      </c>
      <c r="C146" s="19" t="str">
        <f>IFERROR(VLOOKUP(A146,'DATA MASTER'!A:O,4,0)," ")</f>
        <v>BG20</v>
      </c>
      <c r="D146" s="1"/>
      <c r="E146" s="1"/>
      <c r="F146" s="20" t="s">
        <v>43</v>
      </c>
      <c r="G146" s="20" t="s">
        <v>617</v>
      </c>
      <c r="H146" s="20" t="s">
        <v>620</v>
      </c>
      <c r="J146" s="1">
        <v>4</v>
      </c>
      <c r="K146" s="44">
        <v>10.02</v>
      </c>
      <c r="L146" s="10">
        <f>AKSESORIS[[#This Row],[Total 
(pcs)]]*AKSESORIS[[#This Row],[Berat/pcs
(Kg)]]</f>
        <v>40.08</v>
      </c>
      <c r="M146" s="44">
        <f>SUMIF(DATA_MASTER[NO. PON],AKSESORIS[[#This Row],[No.PON]],DATA_MASTER[Qty
(Unit)])</f>
        <v>1</v>
      </c>
      <c r="N146" s="10">
        <f>AKSESORIS[[#This Row],[Total 
(pcs)]]*AKSESORIS[[#This Row],[UNIT]]</f>
        <v>4</v>
      </c>
      <c r="O146" s="9"/>
    </row>
    <row r="147" spans="1:15" x14ac:dyDescent="0.3">
      <c r="A147" t="s">
        <v>552</v>
      </c>
      <c r="B147" t="str">
        <f>IFERROR(VLOOKUP(A147,'DATA MASTER'!A:O,2,0)," ")</f>
        <v>Girder</v>
      </c>
      <c r="C147" s="19" t="str">
        <f>IFERROR(VLOOKUP(A147,'DATA MASTER'!A:O,4,0)," ")</f>
        <v>BG20</v>
      </c>
      <c r="D147" s="1"/>
      <c r="E147" s="1"/>
      <c r="F147" s="20" t="s">
        <v>43</v>
      </c>
      <c r="G147" s="20" t="s">
        <v>618</v>
      </c>
      <c r="H147" s="20" t="s">
        <v>621</v>
      </c>
      <c r="J147" s="1">
        <v>4</v>
      </c>
      <c r="K147" s="44">
        <v>9.93</v>
      </c>
      <c r="L147" s="10">
        <f>AKSESORIS[[#This Row],[Total 
(pcs)]]*AKSESORIS[[#This Row],[Berat/pcs
(Kg)]]</f>
        <v>39.72</v>
      </c>
      <c r="M147" s="44">
        <f>SUMIF(DATA_MASTER[NO. PON],AKSESORIS[[#This Row],[No.PON]],DATA_MASTER[Qty
(Unit)])</f>
        <v>1</v>
      </c>
      <c r="N147" s="10">
        <f>AKSESORIS[[#This Row],[Total 
(pcs)]]*AKSESORIS[[#This Row],[UNIT]]</f>
        <v>4</v>
      </c>
      <c r="O147" s="9"/>
    </row>
    <row r="148" spans="1:15" x14ac:dyDescent="0.3">
      <c r="A148" t="s">
        <v>552</v>
      </c>
      <c r="B148" t="str">
        <f>IFERROR(VLOOKUP(A148,'DATA MASTER'!A:O,2,0)," ")</f>
        <v>Girder</v>
      </c>
      <c r="C148" s="19" t="str">
        <f>IFERROR(VLOOKUP(A148,'DATA MASTER'!A:O,4,0)," ")</f>
        <v>BG20</v>
      </c>
      <c r="D148" s="1"/>
      <c r="E148" s="1"/>
      <c r="F148" s="20" t="s">
        <v>56</v>
      </c>
      <c r="G148" s="20" t="s">
        <v>58</v>
      </c>
      <c r="H148" s="20" t="s">
        <v>57</v>
      </c>
      <c r="I148" s="1" t="s">
        <v>903</v>
      </c>
      <c r="J148" s="1">
        <v>88</v>
      </c>
      <c r="K148" s="10">
        <v>0.33</v>
      </c>
      <c r="L148" s="10">
        <f>AKSESORIS[[#This Row],[Total 
(pcs)]]*AKSESORIS[[#This Row],[Berat/pcs
(Kg)]]</f>
        <v>29.040000000000003</v>
      </c>
      <c r="M148" s="44">
        <f>SUMIF(DATA_MASTER[NO. PON],AKSESORIS[[#This Row],[No.PON]],DATA_MASTER[Qty
(Unit)])</f>
        <v>1</v>
      </c>
      <c r="N148" s="10">
        <f>AKSESORIS[[#This Row],[Total 
(pcs)]]*AKSESORIS[[#This Row],[UNIT]]</f>
        <v>88</v>
      </c>
      <c r="O148" s="9"/>
    </row>
    <row r="149" spans="1:15" x14ac:dyDescent="0.3">
      <c r="A149" t="s">
        <v>566</v>
      </c>
      <c r="B149" t="str">
        <f>IFERROR(VLOOKUP(A149,'DATA MASTER'!A:O,2,0)," ")</f>
        <v>Truss Modullar</v>
      </c>
      <c r="C149" s="19" t="str">
        <f>IFERROR(VLOOKUP(A149,'DATA MASTER'!A:O,4,0)," ")</f>
        <v>RB50</v>
      </c>
      <c r="D149" s="1"/>
      <c r="E149" s="1"/>
      <c r="F149" s="20" t="s">
        <v>44</v>
      </c>
      <c r="G149" s="20" t="s">
        <v>572</v>
      </c>
      <c r="H149" s="20" t="s">
        <v>595</v>
      </c>
      <c r="J149" s="1">
        <v>4</v>
      </c>
      <c r="K149" s="44">
        <v>48.664292000000003</v>
      </c>
      <c r="L149" s="10">
        <f>AKSESORIS[[#This Row],[Total 
(pcs)]]*AKSESORIS[[#This Row],[Berat/pcs
(Kg)]]</f>
        <v>194.65716800000001</v>
      </c>
      <c r="M149" s="44">
        <f>SUMIF(DATA_MASTER[NO. PON],AKSESORIS[[#This Row],[No.PON]],DATA_MASTER[Qty
(Unit)])</f>
        <v>2</v>
      </c>
      <c r="N149" s="10">
        <f>AKSESORIS[[#This Row],[Total 
(pcs)]]*AKSESORIS[[#This Row],[UNIT]]</f>
        <v>8</v>
      </c>
      <c r="O149" s="9"/>
    </row>
    <row r="150" spans="1:15" x14ac:dyDescent="0.3">
      <c r="A150" t="s">
        <v>566</v>
      </c>
      <c r="B150" t="str">
        <f>IFERROR(VLOOKUP(A150,'DATA MASTER'!A:O,2,0)," ")</f>
        <v>Truss Modullar</v>
      </c>
      <c r="C150" s="19" t="str">
        <f>IFERROR(VLOOKUP(A150,'DATA MASTER'!A:O,4,0)," ")</f>
        <v>RB50</v>
      </c>
      <c r="D150" s="1"/>
      <c r="E150" s="1"/>
      <c r="F150" s="20" t="s">
        <v>44</v>
      </c>
      <c r="G150" s="20" t="s">
        <v>573</v>
      </c>
      <c r="H150" s="20" t="s">
        <v>593</v>
      </c>
      <c r="J150" s="1">
        <v>4</v>
      </c>
      <c r="K150" s="44">
        <v>14.146872</v>
      </c>
      <c r="L150" s="10">
        <f>AKSESORIS[[#This Row],[Total 
(pcs)]]*AKSESORIS[[#This Row],[Berat/pcs
(Kg)]]</f>
        <v>56.587488</v>
      </c>
      <c r="M150" s="44">
        <f>SUMIF(DATA_MASTER[NO. PON],AKSESORIS[[#This Row],[No.PON]],DATA_MASTER[Qty
(Unit)])</f>
        <v>2</v>
      </c>
      <c r="N150" s="10">
        <f>AKSESORIS[[#This Row],[Total 
(pcs)]]*AKSESORIS[[#This Row],[UNIT]]</f>
        <v>8</v>
      </c>
      <c r="O150" s="9"/>
    </row>
    <row r="151" spans="1:15" x14ac:dyDescent="0.3">
      <c r="A151" t="s">
        <v>566</v>
      </c>
      <c r="B151" t="str">
        <f>IFERROR(VLOOKUP(A151,'DATA MASTER'!A:O,2,0)," ")</f>
        <v>Truss Modullar</v>
      </c>
      <c r="C151" s="19" t="str">
        <f>IFERROR(VLOOKUP(A151,'DATA MASTER'!A:O,4,0)," ")</f>
        <v>RB50</v>
      </c>
      <c r="D151" s="1"/>
      <c r="E151" s="1"/>
      <c r="F151" s="20" t="s">
        <v>44</v>
      </c>
      <c r="G151" s="20" t="s">
        <v>574</v>
      </c>
      <c r="H151" s="20" t="s">
        <v>594</v>
      </c>
      <c r="J151" s="1">
        <v>4</v>
      </c>
      <c r="K151" s="44">
        <v>5.9226919999999996</v>
      </c>
      <c r="L151" s="10">
        <f>AKSESORIS[[#This Row],[Total 
(pcs)]]*AKSESORIS[[#This Row],[Berat/pcs
(Kg)]]</f>
        <v>23.690767999999998</v>
      </c>
      <c r="M151" s="44">
        <f>SUMIF(DATA_MASTER[NO. PON],AKSESORIS[[#This Row],[No.PON]],DATA_MASTER[Qty
(Unit)])</f>
        <v>2</v>
      </c>
      <c r="N151" s="10">
        <f>AKSESORIS[[#This Row],[Total 
(pcs)]]*AKSESORIS[[#This Row],[UNIT]]</f>
        <v>8</v>
      </c>
      <c r="O151" s="9"/>
    </row>
    <row r="152" spans="1:15" x14ac:dyDescent="0.3">
      <c r="A152" t="s">
        <v>566</v>
      </c>
      <c r="B152" t="str">
        <f>IFERROR(VLOOKUP(A152,'DATA MASTER'!A:O,2,0)," ")</f>
        <v>Truss Modullar</v>
      </c>
      <c r="C152" s="19" t="str">
        <f>IFERROR(VLOOKUP(A152,'DATA MASTER'!A:O,4,0)," ")</f>
        <v>RB50</v>
      </c>
      <c r="D152" s="1"/>
      <c r="E152" s="1"/>
      <c r="F152" s="20" t="s">
        <v>904</v>
      </c>
      <c r="G152" s="20" t="s">
        <v>575</v>
      </c>
      <c r="H152" s="20" t="s">
        <v>576</v>
      </c>
      <c r="I152" s="1">
        <v>1000</v>
      </c>
      <c r="J152" s="1">
        <v>4</v>
      </c>
      <c r="K152" s="44">
        <v>6.03</v>
      </c>
      <c r="L152" s="10">
        <f>AKSESORIS[[#This Row],[Total 
(pcs)]]*AKSESORIS[[#This Row],[Berat/pcs
(Kg)]]</f>
        <v>24.12</v>
      </c>
      <c r="M152" s="44">
        <f>SUMIF(DATA_MASTER[NO. PON],AKSESORIS[[#This Row],[No.PON]],DATA_MASTER[Qty
(Unit)])</f>
        <v>2</v>
      </c>
      <c r="N152" s="10">
        <f>AKSESORIS[[#This Row],[Total 
(pcs)]]*AKSESORIS[[#This Row],[UNIT]]</f>
        <v>8</v>
      </c>
      <c r="O152" s="9"/>
    </row>
    <row r="153" spans="1:15" x14ac:dyDescent="0.3">
      <c r="A153" t="s">
        <v>566</v>
      </c>
      <c r="B153" t="str">
        <f>IFERROR(VLOOKUP(A153,'DATA MASTER'!A:O,2,0)," ")</f>
        <v>Truss Modullar</v>
      </c>
      <c r="C153" s="19" t="str">
        <f>IFERROR(VLOOKUP(A153,'DATA MASTER'!A:O,4,0)," ")</f>
        <v>RB50</v>
      </c>
      <c r="D153" s="1"/>
      <c r="E153" s="1"/>
      <c r="F153" s="20" t="s">
        <v>43</v>
      </c>
      <c r="G153" s="20" t="s">
        <v>577</v>
      </c>
      <c r="H153" s="20" t="s">
        <v>581</v>
      </c>
      <c r="J153" s="1">
        <v>60</v>
      </c>
      <c r="K153" s="44">
        <v>11.65</v>
      </c>
      <c r="L153" s="10">
        <f>AKSESORIS[[#This Row],[Total 
(pcs)]]*AKSESORIS[[#This Row],[Berat/pcs
(Kg)]]</f>
        <v>699</v>
      </c>
      <c r="M153" s="44">
        <f>SUMIF(DATA_MASTER[NO. PON],AKSESORIS[[#This Row],[No.PON]],DATA_MASTER[Qty
(Unit)])</f>
        <v>2</v>
      </c>
      <c r="N153" s="10">
        <f>AKSESORIS[[#This Row],[Total 
(pcs)]]*AKSESORIS[[#This Row],[UNIT]]</f>
        <v>120</v>
      </c>
      <c r="O153" s="155" t="s">
        <v>597</v>
      </c>
    </row>
    <row r="154" spans="1:15" x14ac:dyDescent="0.3">
      <c r="A154" t="s">
        <v>566</v>
      </c>
      <c r="B154" t="str">
        <f>IFERROR(VLOOKUP(A154,'DATA MASTER'!A:O,2,0)," ")</f>
        <v>Truss Modullar</v>
      </c>
      <c r="C154" s="19" t="str">
        <f>IFERROR(VLOOKUP(A154,'DATA MASTER'!A:O,4,0)," ")</f>
        <v>RB50</v>
      </c>
      <c r="D154" s="1"/>
      <c r="E154" s="1"/>
      <c r="F154" s="20" t="s">
        <v>43</v>
      </c>
      <c r="G154" s="20" t="s">
        <v>578</v>
      </c>
      <c r="H154" s="20" t="s">
        <v>582</v>
      </c>
      <c r="J154" s="1">
        <v>120</v>
      </c>
      <c r="K154" s="44">
        <v>10.15</v>
      </c>
      <c r="L154" s="10">
        <f>AKSESORIS[[#This Row],[Total 
(pcs)]]*AKSESORIS[[#This Row],[Berat/pcs
(Kg)]]</f>
        <v>1218</v>
      </c>
      <c r="M154" s="44">
        <f>SUMIF(DATA_MASTER[NO. PON],AKSESORIS[[#This Row],[No.PON]],DATA_MASTER[Qty
(Unit)])</f>
        <v>2</v>
      </c>
      <c r="N154" s="10">
        <f>AKSESORIS[[#This Row],[Total 
(pcs)]]*AKSESORIS[[#This Row],[UNIT]]</f>
        <v>240</v>
      </c>
      <c r="O154" s="155" t="s">
        <v>597</v>
      </c>
    </row>
    <row r="155" spans="1:15" x14ac:dyDescent="0.3">
      <c r="A155" t="s">
        <v>566</v>
      </c>
      <c r="B155" t="str">
        <f>IFERROR(VLOOKUP(A155,'DATA MASTER'!A:O,2,0)," ")</f>
        <v>Truss Modullar</v>
      </c>
      <c r="C155" s="19" t="str">
        <f>IFERROR(VLOOKUP(A155,'DATA MASTER'!A:O,4,0)," ")</f>
        <v>RB50</v>
      </c>
      <c r="D155" s="1"/>
      <c r="E155" s="1"/>
      <c r="F155" s="20" t="s">
        <v>43</v>
      </c>
      <c r="G155" s="20" t="s">
        <v>579</v>
      </c>
      <c r="H155" s="20" t="s">
        <v>582</v>
      </c>
      <c r="J155" s="1">
        <v>80</v>
      </c>
      <c r="K155" s="44">
        <v>9.3000000000000007</v>
      </c>
      <c r="L155" s="10">
        <f>AKSESORIS[[#This Row],[Total 
(pcs)]]*AKSESORIS[[#This Row],[Berat/pcs
(Kg)]]</f>
        <v>744</v>
      </c>
      <c r="M155" s="44">
        <f>SUMIF(DATA_MASTER[NO. PON],AKSESORIS[[#This Row],[No.PON]],DATA_MASTER[Qty
(Unit)])</f>
        <v>2</v>
      </c>
      <c r="N155" s="10">
        <f>AKSESORIS[[#This Row],[Total 
(pcs)]]*AKSESORIS[[#This Row],[UNIT]]</f>
        <v>160</v>
      </c>
      <c r="O155" s="155" t="s">
        <v>597</v>
      </c>
    </row>
    <row r="156" spans="1:15" x14ac:dyDescent="0.3">
      <c r="A156" t="s">
        <v>566</v>
      </c>
      <c r="B156" t="str">
        <f>IFERROR(VLOOKUP(A156,'DATA MASTER'!A:O,2,0)," ")</f>
        <v>Truss Modullar</v>
      </c>
      <c r="C156" s="19" t="str">
        <f>IFERROR(VLOOKUP(A156,'DATA MASTER'!A:O,4,0)," ")</f>
        <v>RB50</v>
      </c>
      <c r="D156" s="1"/>
      <c r="E156" s="1"/>
      <c r="F156" s="20" t="s">
        <v>43</v>
      </c>
      <c r="G156" s="20" t="s">
        <v>580</v>
      </c>
      <c r="H156" s="20" t="s">
        <v>581</v>
      </c>
      <c r="J156" s="1">
        <v>40</v>
      </c>
      <c r="K156" s="44">
        <v>10.67</v>
      </c>
      <c r="L156" s="10">
        <f>AKSESORIS[[#This Row],[Total 
(pcs)]]*AKSESORIS[[#This Row],[Berat/pcs
(Kg)]]</f>
        <v>426.8</v>
      </c>
      <c r="M156" s="44">
        <f>SUMIF(DATA_MASTER[NO. PON],AKSESORIS[[#This Row],[No.PON]],DATA_MASTER[Qty
(Unit)])</f>
        <v>2</v>
      </c>
      <c r="N156" s="10">
        <f>AKSESORIS[[#This Row],[Total 
(pcs)]]*AKSESORIS[[#This Row],[UNIT]]</f>
        <v>80</v>
      </c>
      <c r="O156" s="155" t="s">
        <v>597</v>
      </c>
    </row>
    <row r="157" spans="1:15" x14ac:dyDescent="0.3">
      <c r="A157" t="s">
        <v>839</v>
      </c>
      <c r="B157" t="str">
        <f>IFERROR(VLOOKUP(A157,'DATA MASTER'!A:O,2,0)," ")</f>
        <v>Jembatan Gantung</v>
      </c>
      <c r="C157" s="19" t="str">
        <f>IFERROR(VLOOKUP(A157,'DATA MASTER'!A:O,4,0)," ")</f>
        <v>JG154</v>
      </c>
      <c r="D157" s="1"/>
      <c r="E157" s="1"/>
      <c r="F157" s="20" t="s">
        <v>883</v>
      </c>
      <c r="G157" s="20" t="s">
        <v>930</v>
      </c>
      <c r="H157" s="20" t="s">
        <v>776</v>
      </c>
      <c r="I157" s="1">
        <v>1090</v>
      </c>
      <c r="J157" s="1">
        <v>152</v>
      </c>
      <c r="K157" s="10">
        <v>3.1400000000000006</v>
      </c>
      <c r="L157" s="10">
        <f>AKSESORIS[[#This Row],[Total 
(pcs)]]*AKSESORIS[[#This Row],[Berat/pcs
(Kg)]]</f>
        <v>477.28000000000009</v>
      </c>
      <c r="M157" s="44">
        <f>SUMIF(DATA_MASTER[NO. PON],AKSESORIS[[#This Row],[No.PON]],DATA_MASTER[Qty
(Unit)])</f>
        <v>1</v>
      </c>
      <c r="N157" s="10">
        <f>AKSESORIS[[#This Row],[Total 
(pcs)]]*AKSESORIS[[#This Row],[UNIT]]</f>
        <v>152</v>
      </c>
      <c r="O157" s="9"/>
    </row>
    <row r="158" spans="1:15" x14ac:dyDescent="0.3">
      <c r="A158" t="s">
        <v>585</v>
      </c>
      <c r="B158" t="str">
        <f>IFERROR(VLOOKUP(A158,'DATA MASTER'!A:O,2,0)," ")</f>
        <v>Girder</v>
      </c>
      <c r="C158" s="19" t="str">
        <f>IFERROR(VLOOKUP(A158,'DATA MASTER'!A:O,4,0)," ")</f>
        <v>CG15_6 Line</v>
      </c>
      <c r="D158" s="1"/>
      <c r="E158" s="1"/>
      <c r="F158" s="20" t="s">
        <v>904</v>
      </c>
      <c r="G158" s="20" t="s">
        <v>53</v>
      </c>
      <c r="H158" s="20" t="s">
        <v>53</v>
      </c>
      <c r="I158" s="1">
        <v>420</v>
      </c>
      <c r="J158" s="1">
        <v>48</v>
      </c>
      <c r="K158" s="44">
        <v>1.55</v>
      </c>
      <c r="L158" s="10">
        <f>AKSESORIS[[#This Row],[Total 
(pcs)]]*AKSESORIS[[#This Row],[Berat/pcs
(Kg)]]</f>
        <v>74.400000000000006</v>
      </c>
      <c r="M158" s="44">
        <f>SUMIF(DATA_MASTER[NO. PON],AKSESORIS[[#This Row],[No.PON]],DATA_MASTER[Qty
(Unit)])</f>
        <v>1</v>
      </c>
      <c r="N158" s="10">
        <f>AKSESORIS[[#This Row],[Total 
(pcs)]]*AKSESORIS[[#This Row],[UNIT]]</f>
        <v>48</v>
      </c>
      <c r="O158" s="9"/>
    </row>
    <row r="159" spans="1:15" x14ac:dyDescent="0.3">
      <c r="A159" t="s">
        <v>585</v>
      </c>
      <c r="B159" t="str">
        <f>IFERROR(VLOOKUP(A159,'DATA MASTER'!A:O,2,0)," ")</f>
        <v>Girder</v>
      </c>
      <c r="C159" s="19" t="str">
        <f>IFERROR(VLOOKUP(A159,'DATA MASTER'!A:O,4,0)," ")</f>
        <v>CG15_6 Line</v>
      </c>
      <c r="D159" s="1"/>
      <c r="E159" s="1"/>
      <c r="F159" s="20" t="s">
        <v>44</v>
      </c>
      <c r="G159" s="20" t="s">
        <v>592</v>
      </c>
      <c r="H159" s="20" t="s">
        <v>60</v>
      </c>
      <c r="J159" s="1">
        <v>12</v>
      </c>
      <c r="K159" s="44">
        <v>14.9933</v>
      </c>
      <c r="L159" s="10">
        <f>AKSESORIS[[#This Row],[Total 
(pcs)]]*AKSESORIS[[#This Row],[Berat/pcs
(Kg)]]</f>
        <v>179.9196</v>
      </c>
      <c r="M159" s="44">
        <f>SUMIF(DATA_MASTER[NO. PON],AKSESORIS[[#This Row],[No.PON]],DATA_MASTER[Qty
(Unit)])</f>
        <v>1</v>
      </c>
      <c r="N159" s="10">
        <f>AKSESORIS[[#This Row],[Total 
(pcs)]]*AKSESORIS[[#This Row],[UNIT]]</f>
        <v>12</v>
      </c>
      <c r="O159" s="9"/>
    </row>
    <row r="160" spans="1:15" x14ac:dyDescent="0.3">
      <c r="A160" t="s">
        <v>589</v>
      </c>
      <c r="B160" t="str">
        <f>IFERROR(VLOOKUP(A160,'DATA MASTER'!A:O,2,0)," ")</f>
        <v>Girder</v>
      </c>
      <c r="C160" s="19" t="str">
        <f>IFERROR(VLOOKUP(A160,'DATA MASTER'!A:O,4,0)," ")</f>
        <v>BG30</v>
      </c>
      <c r="D160" s="1"/>
      <c r="E160" s="1"/>
      <c r="F160" s="20" t="s">
        <v>44</v>
      </c>
      <c r="G160" s="20" t="s">
        <v>570</v>
      </c>
      <c r="H160" s="20" t="s">
        <v>598</v>
      </c>
      <c r="J160" s="1">
        <v>10</v>
      </c>
      <c r="K160" s="44">
        <v>17.938690000000001</v>
      </c>
      <c r="L160" s="10">
        <f>AKSESORIS[[#This Row],[Total 
(pcs)]]*AKSESORIS[[#This Row],[Berat/pcs
(Kg)]]</f>
        <v>179.38690000000003</v>
      </c>
      <c r="M160" s="44">
        <f>SUMIF(DATA_MASTER[NO. PON],AKSESORIS[[#This Row],[No.PON]],DATA_MASTER[Qty
(Unit)])</f>
        <v>1</v>
      </c>
      <c r="N160" s="10">
        <f>AKSESORIS[[#This Row],[Total 
(pcs)]]*AKSESORIS[[#This Row],[UNIT]]</f>
        <v>10</v>
      </c>
      <c r="O160" s="9"/>
    </row>
    <row r="161" spans="1:15" x14ac:dyDescent="0.3">
      <c r="A161" t="s">
        <v>589</v>
      </c>
      <c r="B161" t="str">
        <f>IFERROR(VLOOKUP(A161,'DATA MASTER'!A:O,2,0)," ")</f>
        <v>Girder</v>
      </c>
      <c r="C161" s="19" t="str">
        <f>IFERROR(VLOOKUP(A161,'DATA MASTER'!A:O,4,0)," ")</f>
        <v>BG30</v>
      </c>
      <c r="D161" s="1"/>
      <c r="E161" s="1"/>
      <c r="F161" s="20" t="s">
        <v>44</v>
      </c>
      <c r="G161" s="20" t="s">
        <v>571</v>
      </c>
      <c r="H161" s="20" t="s">
        <v>62</v>
      </c>
      <c r="J161" s="1">
        <v>4</v>
      </c>
      <c r="K161" s="10">
        <v>3.438072</v>
      </c>
      <c r="L161" s="10">
        <f>AKSESORIS[[#This Row],[Total 
(pcs)]]*AKSESORIS[[#This Row],[Berat/pcs
(Kg)]]</f>
        <v>13.752288</v>
      </c>
      <c r="M161" s="44">
        <f>SUMIF(DATA_MASTER[NO. PON],AKSESORIS[[#This Row],[No.PON]],DATA_MASTER[Qty
(Unit)])</f>
        <v>1</v>
      </c>
      <c r="N161" s="10">
        <f>AKSESORIS[[#This Row],[Total 
(pcs)]]*AKSESORIS[[#This Row],[UNIT]]</f>
        <v>4</v>
      </c>
      <c r="O161" s="9"/>
    </row>
    <row r="162" spans="1:15" x14ac:dyDescent="0.3">
      <c r="A162" t="s">
        <v>589</v>
      </c>
      <c r="B162" t="str">
        <f>IFERROR(VLOOKUP(A162,'DATA MASTER'!A:O,2,0)," ")</f>
        <v>Girder</v>
      </c>
      <c r="C162" s="19" t="str">
        <f>IFERROR(VLOOKUP(A162,'DATA MASTER'!A:O,4,0)," ")</f>
        <v>BG30</v>
      </c>
      <c r="D162" s="1"/>
      <c r="E162" s="1"/>
      <c r="F162" s="20" t="s">
        <v>904</v>
      </c>
      <c r="G162" s="20" t="s">
        <v>53</v>
      </c>
      <c r="H162" s="20" t="s">
        <v>53</v>
      </c>
      <c r="I162" s="1">
        <v>420</v>
      </c>
      <c r="J162" s="1">
        <v>20</v>
      </c>
      <c r="K162" s="44">
        <v>1.55</v>
      </c>
      <c r="L162" s="10">
        <f>AKSESORIS[[#This Row],[Total 
(pcs)]]*AKSESORIS[[#This Row],[Berat/pcs
(Kg)]]</f>
        <v>31</v>
      </c>
      <c r="M162" s="44">
        <f>SUMIF(DATA_MASTER[NO. PON],AKSESORIS[[#This Row],[No.PON]],DATA_MASTER[Qty
(Unit)])</f>
        <v>1</v>
      </c>
      <c r="N162" s="10">
        <f>AKSESORIS[[#This Row],[Total 
(pcs)]]*AKSESORIS[[#This Row],[UNIT]]</f>
        <v>20</v>
      </c>
      <c r="O162" s="9"/>
    </row>
    <row r="163" spans="1:15" x14ac:dyDescent="0.3">
      <c r="A163" t="s">
        <v>589</v>
      </c>
      <c r="B163" t="str">
        <f>IFERROR(VLOOKUP(A163,'DATA MASTER'!A:O,2,0)," ")</f>
        <v>Girder</v>
      </c>
      <c r="C163" s="19" t="str">
        <f>IFERROR(VLOOKUP(A163,'DATA MASTER'!A:O,4,0)," ")</f>
        <v>BG30</v>
      </c>
      <c r="D163" s="1"/>
      <c r="E163" s="1"/>
      <c r="F163" s="20" t="s">
        <v>54</v>
      </c>
      <c r="G163" s="20" t="s">
        <v>55</v>
      </c>
      <c r="H163" s="20" t="s">
        <v>55</v>
      </c>
      <c r="I163" s="1">
        <v>185</v>
      </c>
      <c r="J163" s="1">
        <v>120</v>
      </c>
      <c r="K163" s="44">
        <v>0.21</v>
      </c>
      <c r="L163" s="10">
        <f>AKSESORIS[[#This Row],[Total 
(pcs)]]*AKSESORIS[[#This Row],[Berat/pcs
(Kg)]]</f>
        <v>25.2</v>
      </c>
      <c r="M163" s="44">
        <f>SUMIF(DATA_MASTER[NO. PON],AKSESORIS[[#This Row],[No.PON]],DATA_MASTER[Qty
(Unit)])</f>
        <v>1</v>
      </c>
      <c r="N163" s="10">
        <f>AKSESORIS[[#This Row],[Total 
(pcs)]]*AKSESORIS[[#This Row],[UNIT]]</f>
        <v>120</v>
      </c>
      <c r="O163" s="9"/>
    </row>
    <row r="164" spans="1:15" x14ac:dyDescent="0.3">
      <c r="A164" t="s">
        <v>589</v>
      </c>
      <c r="B164" t="str">
        <f>IFERROR(VLOOKUP(A164,'DATA MASTER'!A:O,2,0)," ")</f>
        <v>Girder</v>
      </c>
      <c r="C164" s="19" t="str">
        <f>IFERROR(VLOOKUP(A164,'DATA MASTER'!A:O,4,0)," ")</f>
        <v>BG30</v>
      </c>
      <c r="D164" s="1"/>
      <c r="E164" s="1"/>
      <c r="F164" s="20" t="s">
        <v>56</v>
      </c>
      <c r="G164" s="20" t="s">
        <v>58</v>
      </c>
      <c r="H164" s="20" t="s">
        <v>57</v>
      </c>
      <c r="I164" s="1" t="s">
        <v>903</v>
      </c>
      <c r="J164" s="1">
        <v>120</v>
      </c>
      <c r="K164" s="10">
        <v>0.33</v>
      </c>
      <c r="L164" s="10">
        <f>AKSESORIS[[#This Row],[Total 
(pcs)]]*AKSESORIS[[#This Row],[Berat/pcs
(Kg)]]</f>
        <v>39.6</v>
      </c>
      <c r="M164" s="44">
        <f>SUMIF(DATA_MASTER[NO. PON],AKSESORIS[[#This Row],[No.PON]],DATA_MASTER[Qty
(Unit)])</f>
        <v>1</v>
      </c>
      <c r="N164" s="10">
        <f>AKSESORIS[[#This Row],[Total 
(pcs)]]*AKSESORIS[[#This Row],[UNIT]]</f>
        <v>120</v>
      </c>
      <c r="O164" s="9"/>
    </row>
    <row r="165" spans="1:15" x14ac:dyDescent="0.3">
      <c r="A165" t="s">
        <v>669</v>
      </c>
      <c r="B165" t="str">
        <f>IFERROR(VLOOKUP(A165,'DATA MASTER'!A:O,2,0)," ")</f>
        <v>ORNAMEN PIPA</v>
      </c>
      <c r="C165" s="19" t="str">
        <f>IFERROR(VLOOKUP(A165,'DATA MASTER'!A:O,4,0)," ")</f>
        <v>GB30-ARCH</v>
      </c>
      <c r="D165" s="1"/>
      <c r="E165" s="1"/>
      <c r="F165" s="20" t="s">
        <v>904</v>
      </c>
      <c r="G165" s="20" t="s">
        <v>656</v>
      </c>
      <c r="H165" s="20" t="s">
        <v>145</v>
      </c>
      <c r="I165" s="1">
        <v>420</v>
      </c>
      <c r="J165" s="1">
        <v>32</v>
      </c>
      <c r="K165" s="44">
        <v>1.55</v>
      </c>
      <c r="L165" s="10">
        <f>AKSESORIS[[#This Row],[Total 
(pcs)]]*AKSESORIS[[#This Row],[Berat/pcs
(Kg)]]</f>
        <v>49.6</v>
      </c>
      <c r="M165" s="44">
        <f>SUMIF(DATA_MASTER[NO. PON],AKSESORIS[[#This Row],[No.PON]],DATA_MASTER[Qty
(Unit)])</f>
        <v>1</v>
      </c>
      <c r="N165" s="10">
        <f>AKSESORIS[[#This Row],[Total 
(pcs)]]*AKSESORIS[[#This Row],[UNIT]]</f>
        <v>32</v>
      </c>
      <c r="O165" s="9"/>
    </row>
    <row r="166" spans="1:15" x14ac:dyDescent="0.3">
      <c r="A166" t="s">
        <v>730</v>
      </c>
      <c r="B166" t="str">
        <f>IFERROR(VLOOKUP(A166,'DATA MASTER'!A:O,2,0)," ")</f>
        <v>Jembatan Gantung</v>
      </c>
      <c r="C166" s="19" t="str">
        <f>IFERROR(VLOOKUP(A166,'DATA MASTER'!A:O,4,0)," ")</f>
        <v>JG120</v>
      </c>
      <c r="D166" s="1" t="s">
        <v>168</v>
      </c>
      <c r="E166" s="1"/>
      <c r="F166" s="20" t="s">
        <v>888</v>
      </c>
      <c r="G166" s="20" t="s">
        <v>803</v>
      </c>
      <c r="H166" s="20" t="s">
        <v>813</v>
      </c>
      <c r="J166" s="1">
        <v>8</v>
      </c>
      <c r="K166" s="10">
        <v>47.019999999999996</v>
      </c>
      <c r="L166" s="10">
        <f>AKSESORIS[[#This Row],[Total 
(pcs)]]*AKSESORIS[[#This Row],[Berat/pcs
(Kg)]]</f>
        <v>376.15999999999997</v>
      </c>
      <c r="M166" s="44">
        <f>SUMIF(DATA_MASTER[NO. PON],AKSESORIS[[#This Row],[No.PON]],DATA_MASTER[Qty
(Unit)])</f>
        <v>1</v>
      </c>
      <c r="N166" s="10">
        <f>AKSESORIS[[#This Row],[Total 
(pcs)]]*AKSESORIS[[#This Row],[UNIT]]</f>
        <v>8</v>
      </c>
      <c r="O166" s="213">
        <f>AKSESORIS[[#This Row],[Total Berat
Aksesories
(Kg)]]+L167+L168+L169+L170+L171+L172+L173+L174+L175+L176+FABRIKASI[[#Totals],[Berat Fabrikasi]]</f>
        <v>2322192.0652378276</v>
      </c>
    </row>
    <row r="167" spans="1:15" x14ac:dyDescent="0.3">
      <c r="A167" t="s">
        <v>730</v>
      </c>
      <c r="B167" t="str">
        <f>IFERROR(VLOOKUP(A167,'DATA MASTER'!A:O,2,0)," ")</f>
        <v>Jembatan Gantung</v>
      </c>
      <c r="C167" s="19" t="str">
        <f>IFERROR(VLOOKUP(A167,'DATA MASTER'!A:O,4,0)," ")</f>
        <v>JG120</v>
      </c>
      <c r="D167" s="1" t="s">
        <v>168</v>
      </c>
      <c r="E167" s="1"/>
      <c r="F167" s="20" t="s">
        <v>881</v>
      </c>
      <c r="G167" s="20" t="s">
        <v>804</v>
      </c>
      <c r="H167" s="20" t="s">
        <v>776</v>
      </c>
      <c r="J167" s="1">
        <v>16</v>
      </c>
      <c r="K167" s="10">
        <v>0.44</v>
      </c>
      <c r="L167" s="10">
        <f>AKSESORIS[[#This Row],[Total 
(pcs)]]*AKSESORIS[[#This Row],[Berat/pcs
(Kg)]]</f>
        <v>7.04</v>
      </c>
      <c r="M167" s="44">
        <f>SUMIF(DATA_MASTER[NO. PON],AKSESORIS[[#This Row],[No.PON]],DATA_MASTER[Qty
(Unit)])</f>
        <v>1</v>
      </c>
      <c r="N167" s="10">
        <f>AKSESORIS[[#This Row],[Total 
(pcs)]]*AKSESORIS[[#This Row],[UNIT]]</f>
        <v>16</v>
      </c>
      <c r="O167" s="9"/>
    </row>
    <row r="168" spans="1:15" x14ac:dyDescent="0.3">
      <c r="A168" t="s">
        <v>730</v>
      </c>
      <c r="B168" t="str">
        <f>IFERROR(VLOOKUP(A168,'DATA MASTER'!A:O,2,0)," ")</f>
        <v>Jembatan Gantung</v>
      </c>
      <c r="C168" s="19" t="str">
        <f>IFERROR(VLOOKUP(A168,'DATA MASTER'!A:O,4,0)," ")</f>
        <v>JG120</v>
      </c>
      <c r="D168" s="1" t="s">
        <v>168</v>
      </c>
      <c r="E168" s="1"/>
      <c r="F168" s="20" t="s">
        <v>882</v>
      </c>
      <c r="G168" s="20" t="s">
        <v>805</v>
      </c>
      <c r="H168" s="20" t="s">
        <v>814</v>
      </c>
      <c r="J168" s="1">
        <v>8</v>
      </c>
      <c r="K168" s="10">
        <v>1.1100000000000001</v>
      </c>
      <c r="L168" s="10">
        <f>AKSESORIS[[#This Row],[Total 
(pcs)]]*AKSESORIS[[#This Row],[Berat/pcs
(Kg)]]</f>
        <v>8.8800000000000008</v>
      </c>
      <c r="M168" s="44">
        <f>SUMIF(DATA_MASTER[NO. PON],AKSESORIS[[#This Row],[No.PON]],DATA_MASTER[Qty
(Unit)])</f>
        <v>1</v>
      </c>
      <c r="N168" s="10">
        <f>AKSESORIS[[#This Row],[Total 
(pcs)]]*AKSESORIS[[#This Row],[UNIT]]</f>
        <v>8</v>
      </c>
      <c r="O168" s="9"/>
    </row>
    <row r="169" spans="1:15" x14ac:dyDescent="0.3">
      <c r="A169" t="s">
        <v>730</v>
      </c>
      <c r="B169" t="str">
        <f>IFERROR(VLOOKUP(A169,'DATA MASTER'!A:O,2,0)," ")</f>
        <v>Jembatan Gantung</v>
      </c>
      <c r="C169" s="19" t="str">
        <f>IFERROR(VLOOKUP(A169,'DATA MASTER'!A:O,4,0)," ")</f>
        <v>JG120</v>
      </c>
      <c r="D169" s="1" t="s">
        <v>168</v>
      </c>
      <c r="E169" s="1"/>
      <c r="F169" s="20" t="s">
        <v>883</v>
      </c>
      <c r="G169" s="20" t="s">
        <v>806</v>
      </c>
      <c r="H169" s="20" t="s">
        <v>815</v>
      </c>
      <c r="J169" s="1">
        <v>118</v>
      </c>
      <c r="K169" s="10">
        <v>4.149</v>
      </c>
      <c r="L169" s="10">
        <f>AKSESORIS[[#This Row],[Total 
(pcs)]]*AKSESORIS[[#This Row],[Berat/pcs
(Kg)]]</f>
        <v>489.58199999999999</v>
      </c>
      <c r="M169" s="44">
        <f>SUMIF(DATA_MASTER[NO. PON],AKSESORIS[[#This Row],[No.PON]],DATA_MASTER[Qty
(Unit)])</f>
        <v>1</v>
      </c>
      <c r="N169" s="10">
        <f>AKSESORIS[[#This Row],[Total 
(pcs)]]*AKSESORIS[[#This Row],[UNIT]]</f>
        <v>118</v>
      </c>
      <c r="O169" s="9"/>
    </row>
    <row r="170" spans="1:15" x14ac:dyDescent="0.3">
      <c r="A170" t="s">
        <v>730</v>
      </c>
      <c r="B170" t="str">
        <f>IFERROR(VLOOKUP(A170,'DATA MASTER'!A:O,2,0)," ")</f>
        <v>Jembatan Gantung</v>
      </c>
      <c r="C170" s="19" t="str">
        <f>IFERROR(VLOOKUP(A170,'DATA MASTER'!A:O,4,0)," ")</f>
        <v>JG120</v>
      </c>
      <c r="D170" s="1" t="s">
        <v>168</v>
      </c>
      <c r="E170" s="1"/>
      <c r="F170" s="20" t="s">
        <v>101</v>
      </c>
      <c r="G170" s="20" t="s">
        <v>807</v>
      </c>
      <c r="H170" s="20" t="s">
        <v>816</v>
      </c>
      <c r="J170" s="1">
        <v>8</v>
      </c>
      <c r="K170" s="10">
        <v>4.04</v>
      </c>
      <c r="L170" s="10">
        <f>AKSESORIS[[#This Row],[Total 
(pcs)]]*AKSESORIS[[#This Row],[Berat/pcs
(Kg)]]</f>
        <v>32.32</v>
      </c>
      <c r="M170" s="44">
        <f>SUMIF(DATA_MASTER[NO. PON],AKSESORIS[[#This Row],[No.PON]],DATA_MASTER[Qty
(Unit)])</f>
        <v>1</v>
      </c>
      <c r="N170" s="10">
        <f>AKSESORIS[[#This Row],[Total 
(pcs)]]*AKSESORIS[[#This Row],[UNIT]]</f>
        <v>8</v>
      </c>
      <c r="O170" s="9"/>
    </row>
    <row r="171" spans="1:15" x14ac:dyDescent="0.3">
      <c r="A171" t="s">
        <v>730</v>
      </c>
      <c r="B171" t="str">
        <f>IFERROR(VLOOKUP(A171,'DATA MASTER'!A:O,2,0)," ")</f>
        <v>Jembatan Gantung</v>
      </c>
      <c r="C171" s="19" t="str">
        <f>IFERROR(VLOOKUP(A171,'DATA MASTER'!A:O,4,0)," ")</f>
        <v>JG120</v>
      </c>
      <c r="D171" s="1" t="s">
        <v>168</v>
      </c>
      <c r="E171" s="1"/>
      <c r="F171" s="20" t="s">
        <v>101</v>
      </c>
      <c r="G171" s="20" t="s">
        <v>808</v>
      </c>
      <c r="H171" s="20" t="s">
        <v>817</v>
      </c>
      <c r="J171" s="1">
        <v>4</v>
      </c>
      <c r="K171" s="10">
        <v>7.9</v>
      </c>
      <c r="L171" s="10">
        <f>AKSESORIS[[#This Row],[Total 
(pcs)]]*AKSESORIS[[#This Row],[Berat/pcs
(Kg)]]</f>
        <v>31.6</v>
      </c>
      <c r="M171" s="44">
        <f>SUMIF(DATA_MASTER[NO. PON],AKSESORIS[[#This Row],[No.PON]],DATA_MASTER[Qty
(Unit)])</f>
        <v>1</v>
      </c>
      <c r="N171" s="10">
        <f>AKSESORIS[[#This Row],[Total 
(pcs)]]*AKSESORIS[[#This Row],[UNIT]]</f>
        <v>4</v>
      </c>
      <c r="O171" s="9"/>
    </row>
    <row r="172" spans="1:15" x14ac:dyDescent="0.3">
      <c r="A172" t="s">
        <v>730</v>
      </c>
      <c r="B172" t="str">
        <f>IFERROR(VLOOKUP(A172,'DATA MASTER'!A:O,2,0)," ")</f>
        <v>Jembatan Gantung</v>
      </c>
      <c r="C172" s="19" t="str">
        <f>IFERROR(VLOOKUP(A172,'DATA MASTER'!A:O,4,0)," ")</f>
        <v>JG120</v>
      </c>
      <c r="D172" s="1" t="s">
        <v>168</v>
      </c>
      <c r="E172" s="1"/>
      <c r="F172" s="20" t="s">
        <v>884</v>
      </c>
      <c r="G172" s="20" t="s">
        <v>809</v>
      </c>
      <c r="H172" s="20" t="s">
        <v>779</v>
      </c>
      <c r="J172" s="1">
        <v>118</v>
      </c>
      <c r="K172" s="10">
        <v>0.55999999999999994</v>
      </c>
      <c r="L172" s="10">
        <f>AKSESORIS[[#This Row],[Total 
(pcs)]]*AKSESORIS[[#This Row],[Berat/pcs
(Kg)]]</f>
        <v>66.08</v>
      </c>
      <c r="M172" s="44">
        <f>SUMIF(DATA_MASTER[NO. PON],AKSESORIS[[#This Row],[No.PON]],DATA_MASTER[Qty
(Unit)])</f>
        <v>1</v>
      </c>
      <c r="N172" s="10">
        <f>AKSESORIS[[#This Row],[Total 
(pcs)]]*AKSESORIS[[#This Row],[UNIT]]</f>
        <v>118</v>
      </c>
      <c r="O172" s="9"/>
    </row>
    <row r="173" spans="1:15" x14ac:dyDescent="0.3">
      <c r="A173" t="s">
        <v>730</v>
      </c>
      <c r="B173" t="str">
        <f>IFERROR(VLOOKUP(A173,'DATA MASTER'!A:O,2,0)," ")</f>
        <v>Jembatan Gantung</v>
      </c>
      <c r="C173" s="19" t="str">
        <f>IFERROR(VLOOKUP(A173,'DATA MASTER'!A:O,4,0)," ")</f>
        <v>JG120</v>
      </c>
      <c r="D173" s="1" t="s">
        <v>168</v>
      </c>
      <c r="E173" s="1"/>
      <c r="F173" s="20" t="s">
        <v>889</v>
      </c>
      <c r="G173" s="20" t="s">
        <v>810</v>
      </c>
      <c r="H173" s="20" t="s">
        <v>818</v>
      </c>
      <c r="J173" s="1">
        <v>4</v>
      </c>
      <c r="K173" s="10">
        <v>75.12</v>
      </c>
      <c r="L173" s="10">
        <f>AKSESORIS[[#This Row],[Total 
(pcs)]]*AKSESORIS[[#This Row],[Berat/pcs
(Kg)]]</f>
        <v>300.48</v>
      </c>
      <c r="M173" s="44">
        <f>SUMIF(DATA_MASTER[NO. PON],AKSESORIS[[#This Row],[No.PON]],DATA_MASTER[Qty
(Unit)])</f>
        <v>1</v>
      </c>
      <c r="N173" s="10">
        <f>AKSESORIS[[#This Row],[Total 
(pcs)]]*AKSESORIS[[#This Row],[UNIT]]</f>
        <v>4</v>
      </c>
      <c r="O173" s="9"/>
    </row>
    <row r="174" spans="1:15" x14ac:dyDescent="0.3">
      <c r="A174" t="s">
        <v>730</v>
      </c>
      <c r="B174" t="str">
        <f>IFERROR(VLOOKUP(A174,'DATA MASTER'!A:O,2,0)," ")</f>
        <v>Jembatan Gantung</v>
      </c>
      <c r="C174" s="19" t="str">
        <f>IFERROR(VLOOKUP(A174,'DATA MASTER'!A:O,4,0)," ")</f>
        <v>JG120</v>
      </c>
      <c r="D174" s="1" t="s">
        <v>168</v>
      </c>
      <c r="E174" s="1"/>
      <c r="F174" s="20" t="s">
        <v>881</v>
      </c>
      <c r="G174" s="20" t="s">
        <v>811</v>
      </c>
      <c r="H174" s="20" t="s">
        <v>819</v>
      </c>
      <c r="J174" s="1">
        <v>4</v>
      </c>
      <c r="K174" s="10">
        <v>11.82</v>
      </c>
      <c r="L174" s="10">
        <f>AKSESORIS[[#This Row],[Total 
(pcs)]]*AKSESORIS[[#This Row],[Berat/pcs
(Kg)]]</f>
        <v>47.28</v>
      </c>
      <c r="M174" s="44">
        <f>SUMIF(DATA_MASTER[NO. PON],AKSESORIS[[#This Row],[No.PON]],DATA_MASTER[Qty
(Unit)])</f>
        <v>1</v>
      </c>
      <c r="N174" s="10">
        <f>AKSESORIS[[#This Row],[Total 
(pcs)]]*AKSESORIS[[#This Row],[UNIT]]</f>
        <v>4</v>
      </c>
      <c r="O174" s="9"/>
    </row>
    <row r="175" spans="1:15" x14ac:dyDescent="0.3">
      <c r="A175" t="s">
        <v>730</v>
      </c>
      <c r="B175" t="str">
        <f>IFERROR(VLOOKUP(A175,'DATA MASTER'!A:O,2,0)," ")</f>
        <v>Jembatan Gantung</v>
      </c>
      <c r="C175" s="19" t="str">
        <f>IFERROR(VLOOKUP(A175,'DATA MASTER'!A:O,4,0)," ")</f>
        <v>JG120</v>
      </c>
      <c r="D175" s="1" t="s">
        <v>168</v>
      </c>
      <c r="E175" s="1"/>
      <c r="F175" s="20" t="s">
        <v>882</v>
      </c>
      <c r="G175" s="20" t="s">
        <v>812</v>
      </c>
      <c r="H175" s="20" t="s">
        <v>820</v>
      </c>
      <c r="J175" s="1">
        <v>4</v>
      </c>
      <c r="K175" s="10">
        <v>6.5</v>
      </c>
      <c r="L175" s="10">
        <f>AKSESORIS[[#This Row],[Total 
(pcs)]]*AKSESORIS[[#This Row],[Berat/pcs
(Kg)]]</f>
        <v>26</v>
      </c>
      <c r="M175" s="44">
        <f>SUMIF(DATA_MASTER[NO. PON],AKSESORIS[[#This Row],[No.PON]],DATA_MASTER[Qty
(Unit)])</f>
        <v>1</v>
      </c>
      <c r="N175" s="10">
        <f>AKSESORIS[[#This Row],[Total 
(pcs)]]*AKSESORIS[[#This Row],[UNIT]]</f>
        <v>4</v>
      </c>
      <c r="O175" s="9"/>
    </row>
    <row r="176" spans="1:15" x14ac:dyDescent="0.3">
      <c r="A176" t="s">
        <v>730</v>
      </c>
      <c r="B176" t="str">
        <f>IFERROR(VLOOKUP(A176,'DATA MASTER'!A:O,2,0)," ")</f>
        <v>Jembatan Gantung</v>
      </c>
      <c r="C176" s="19" t="str">
        <f>IFERROR(VLOOKUP(A176,'DATA MASTER'!A:O,4,0)," ")</f>
        <v>JG120</v>
      </c>
      <c r="D176" s="1" t="s">
        <v>168</v>
      </c>
      <c r="E176" s="1"/>
      <c r="F176" s="20" t="s">
        <v>44</v>
      </c>
      <c r="G176" s="20" t="s">
        <v>821</v>
      </c>
      <c r="H176" s="20" t="s">
        <v>835</v>
      </c>
      <c r="J176" s="1">
        <v>4</v>
      </c>
      <c r="K176" s="10">
        <v>14.146872</v>
      </c>
      <c r="L176" s="10">
        <f>AKSESORIS[[#This Row],[Total 
(pcs)]]*AKSESORIS[[#This Row],[Berat/pcs
(Kg)]]</f>
        <v>56.587488</v>
      </c>
      <c r="M176" s="44">
        <f>SUMIF(DATA_MASTER[NO. PON],AKSESORIS[[#This Row],[No.PON]],DATA_MASTER[Qty
(Unit)])</f>
        <v>1</v>
      </c>
      <c r="N176" s="10">
        <f>AKSESORIS[[#This Row],[Total 
(pcs)]]*AKSESORIS[[#This Row],[UNIT]]</f>
        <v>4</v>
      </c>
      <c r="O176" s="9"/>
    </row>
    <row r="177" spans="1:15" x14ac:dyDescent="0.3">
      <c r="A177" t="s">
        <v>730</v>
      </c>
      <c r="B177" t="str">
        <f>IFERROR(VLOOKUP(A177,'DATA MASTER'!A:O,2,0)," ")</f>
        <v>Jembatan Gantung</v>
      </c>
      <c r="C177" s="19" t="str">
        <f>IFERROR(VLOOKUP(A177,'DATA MASTER'!A:O,4,0)," ")</f>
        <v>JG120</v>
      </c>
      <c r="D177" s="1" t="s">
        <v>999</v>
      </c>
      <c r="E177" s="1"/>
      <c r="F177" s="20" t="s">
        <v>885</v>
      </c>
      <c r="G177" s="20" t="s">
        <v>822</v>
      </c>
      <c r="H177" s="20" t="s">
        <v>836</v>
      </c>
      <c r="J177" s="1">
        <v>2</v>
      </c>
      <c r="K177" s="10">
        <v>3541.9695668154372</v>
      </c>
      <c r="L177" s="10">
        <f>AKSESORIS[[#This Row],[Total 
(pcs)]]*AKSESORIS[[#This Row],[Berat/pcs
(Kg)]]</f>
        <v>7083.9391336308745</v>
      </c>
      <c r="M177" s="44">
        <f>SUMIF(DATA_MASTER[NO. PON],AKSESORIS[[#This Row],[No.PON]],DATA_MASTER[Qty
(Unit)])</f>
        <v>1</v>
      </c>
      <c r="N177" s="10">
        <f>AKSESORIS[[#This Row],[Total 
(pcs)]]*AKSESORIS[[#This Row],[UNIT]]</f>
        <v>2</v>
      </c>
      <c r="O177" s="9"/>
    </row>
    <row r="178" spans="1:15" x14ac:dyDescent="0.3">
      <c r="A178" t="s">
        <v>730</v>
      </c>
      <c r="B178" t="str">
        <f>IFERROR(VLOOKUP(A178,'DATA MASTER'!A:O,2,0)," ")</f>
        <v>Jembatan Gantung</v>
      </c>
      <c r="C178" s="19" t="str">
        <f>IFERROR(VLOOKUP(A178,'DATA MASTER'!A:O,4,0)," ")</f>
        <v>JG120</v>
      </c>
      <c r="D178" s="1" t="s">
        <v>999</v>
      </c>
      <c r="E178" s="1"/>
      <c r="F178" s="20" t="s">
        <v>885</v>
      </c>
      <c r="G178" s="20" t="s">
        <v>823</v>
      </c>
      <c r="H178" s="20" t="s">
        <v>181</v>
      </c>
      <c r="J178" s="1">
        <v>1</v>
      </c>
      <c r="K178" s="10">
        <v>58.86</v>
      </c>
      <c r="L178" s="10">
        <f>AKSESORIS[[#This Row],[Total 
(pcs)]]*AKSESORIS[[#This Row],[Berat/pcs
(Kg)]]</f>
        <v>58.86</v>
      </c>
      <c r="M178" s="44">
        <f>SUMIF(DATA_MASTER[NO. PON],AKSESORIS[[#This Row],[No.PON]],DATA_MASTER[Qty
(Unit)])</f>
        <v>1</v>
      </c>
      <c r="N178" s="10">
        <f>AKSESORIS[[#This Row],[Total 
(pcs)]]*AKSESORIS[[#This Row],[UNIT]]</f>
        <v>1</v>
      </c>
      <c r="O178" s="9"/>
    </row>
    <row r="179" spans="1:15" x14ac:dyDescent="0.3">
      <c r="A179" t="s">
        <v>730</v>
      </c>
      <c r="B179" t="str">
        <f>IFERROR(VLOOKUP(A179,'DATA MASTER'!A:O,2,0)," ")</f>
        <v>Jembatan Gantung</v>
      </c>
      <c r="C179" s="19" t="str">
        <f>IFERROR(VLOOKUP(A179,'DATA MASTER'!A:O,4,0)," ")</f>
        <v>JG120</v>
      </c>
      <c r="D179" s="1" t="s">
        <v>999</v>
      </c>
      <c r="E179" s="1"/>
      <c r="F179" s="20" t="s">
        <v>885</v>
      </c>
      <c r="G179" s="20" t="s">
        <v>824</v>
      </c>
      <c r="H179" s="20" t="s">
        <v>181</v>
      </c>
      <c r="J179" s="1">
        <v>3</v>
      </c>
      <c r="K179" s="10">
        <v>3.4500000000000006</v>
      </c>
      <c r="L179" s="10">
        <f>AKSESORIS[[#This Row],[Total 
(pcs)]]*AKSESORIS[[#This Row],[Berat/pcs
(Kg)]]</f>
        <v>10.350000000000001</v>
      </c>
      <c r="M179" s="44">
        <f>SUMIF(DATA_MASTER[NO. PON],AKSESORIS[[#This Row],[No.PON]],DATA_MASTER[Qty
(Unit)])</f>
        <v>1</v>
      </c>
      <c r="N179" s="10">
        <f>AKSESORIS[[#This Row],[Total 
(pcs)]]*AKSESORIS[[#This Row],[UNIT]]</f>
        <v>3</v>
      </c>
      <c r="O179" s="9"/>
    </row>
    <row r="180" spans="1:15" x14ac:dyDescent="0.3">
      <c r="A180" t="s">
        <v>730</v>
      </c>
      <c r="B180" t="str">
        <f>IFERROR(VLOOKUP(A180,'DATA MASTER'!A:O,2,0)," ")</f>
        <v>Jembatan Gantung</v>
      </c>
      <c r="C180" s="19" t="str">
        <f>IFERROR(VLOOKUP(A180,'DATA MASTER'!A:O,4,0)," ")</f>
        <v>JG120</v>
      </c>
      <c r="D180" s="1" t="s">
        <v>999</v>
      </c>
      <c r="E180" s="1"/>
      <c r="F180" s="20" t="s">
        <v>885</v>
      </c>
      <c r="G180" s="20" t="s">
        <v>825</v>
      </c>
      <c r="H180" s="20" t="s">
        <v>181</v>
      </c>
      <c r="J180" s="1">
        <v>3</v>
      </c>
      <c r="K180" s="10">
        <v>13.61</v>
      </c>
      <c r="L180" s="10">
        <f>AKSESORIS[[#This Row],[Total 
(pcs)]]*AKSESORIS[[#This Row],[Berat/pcs
(Kg)]]</f>
        <v>40.83</v>
      </c>
      <c r="M180" s="44">
        <f>SUMIF(DATA_MASTER[NO. PON],AKSESORIS[[#This Row],[No.PON]],DATA_MASTER[Qty
(Unit)])</f>
        <v>1</v>
      </c>
      <c r="N180" s="10">
        <f>AKSESORIS[[#This Row],[Total 
(pcs)]]*AKSESORIS[[#This Row],[UNIT]]</f>
        <v>3</v>
      </c>
      <c r="O180" s="9"/>
    </row>
    <row r="181" spans="1:15" x14ac:dyDescent="0.3">
      <c r="A181" t="s">
        <v>730</v>
      </c>
      <c r="B181" t="str">
        <f>IFERROR(VLOOKUP(A181,'DATA MASTER'!A:O,2,0)," ")</f>
        <v>Jembatan Gantung</v>
      </c>
      <c r="C181" s="19" t="str">
        <f>IFERROR(VLOOKUP(A181,'DATA MASTER'!A:O,4,0)," ")</f>
        <v>JG120</v>
      </c>
      <c r="D181" s="1" t="s">
        <v>999</v>
      </c>
      <c r="E181" s="1"/>
      <c r="F181" s="20" t="s">
        <v>885</v>
      </c>
      <c r="G181" s="20" t="s">
        <v>826</v>
      </c>
      <c r="H181" s="20" t="s">
        <v>181</v>
      </c>
      <c r="J181" s="1">
        <v>3</v>
      </c>
      <c r="K181" s="10">
        <v>10.19</v>
      </c>
      <c r="L181" s="10">
        <f>AKSESORIS[[#This Row],[Total 
(pcs)]]*AKSESORIS[[#This Row],[Berat/pcs
(Kg)]]</f>
        <v>30.57</v>
      </c>
      <c r="M181" s="44">
        <f>SUMIF(DATA_MASTER[NO. PON],AKSESORIS[[#This Row],[No.PON]],DATA_MASTER[Qty
(Unit)])</f>
        <v>1</v>
      </c>
      <c r="N181" s="10">
        <f>AKSESORIS[[#This Row],[Total 
(pcs)]]*AKSESORIS[[#This Row],[UNIT]]</f>
        <v>3</v>
      </c>
      <c r="O181" s="9"/>
    </row>
    <row r="182" spans="1:15" x14ac:dyDescent="0.3">
      <c r="A182" t="s">
        <v>730</v>
      </c>
      <c r="B182" t="str">
        <f>IFERROR(VLOOKUP(A182,'DATA MASTER'!A:O,2,0)," ")</f>
        <v>Jembatan Gantung</v>
      </c>
      <c r="C182" s="19" t="str">
        <f>IFERROR(VLOOKUP(A182,'DATA MASTER'!A:O,4,0)," ")</f>
        <v>JG120</v>
      </c>
      <c r="D182" s="1" t="s">
        <v>999</v>
      </c>
      <c r="E182" s="1"/>
      <c r="F182" s="20" t="s">
        <v>885</v>
      </c>
      <c r="G182" s="20" t="s">
        <v>827</v>
      </c>
      <c r="H182" s="20" t="s">
        <v>181</v>
      </c>
      <c r="J182" s="1">
        <v>3</v>
      </c>
      <c r="K182" s="10">
        <v>6.87</v>
      </c>
      <c r="L182" s="10">
        <f>AKSESORIS[[#This Row],[Total 
(pcs)]]*AKSESORIS[[#This Row],[Berat/pcs
(Kg)]]</f>
        <v>20.61</v>
      </c>
      <c r="M182" s="44">
        <f>SUMIF(DATA_MASTER[NO. PON],AKSESORIS[[#This Row],[No.PON]],DATA_MASTER[Qty
(Unit)])</f>
        <v>1</v>
      </c>
      <c r="N182" s="10">
        <f>AKSESORIS[[#This Row],[Total 
(pcs)]]*AKSESORIS[[#This Row],[UNIT]]</f>
        <v>3</v>
      </c>
      <c r="O182" s="9"/>
    </row>
    <row r="183" spans="1:15" x14ac:dyDescent="0.3">
      <c r="A183" t="s">
        <v>730</v>
      </c>
      <c r="B183" t="str">
        <f>IFERROR(VLOOKUP(A183,'DATA MASTER'!A:O,2,0)," ")</f>
        <v>Jembatan Gantung</v>
      </c>
      <c r="C183" s="19" t="str">
        <f>IFERROR(VLOOKUP(A183,'DATA MASTER'!A:O,4,0)," ")</f>
        <v>JG120</v>
      </c>
      <c r="D183" s="1" t="s">
        <v>999</v>
      </c>
      <c r="E183" s="1"/>
      <c r="F183" s="20" t="s">
        <v>885</v>
      </c>
      <c r="G183" s="20" t="s">
        <v>828</v>
      </c>
      <c r="H183" s="20" t="s">
        <v>181</v>
      </c>
      <c r="J183" s="1">
        <v>1</v>
      </c>
      <c r="K183" s="10">
        <v>74.72</v>
      </c>
      <c r="L183" s="10">
        <f>AKSESORIS[[#This Row],[Total 
(pcs)]]*AKSESORIS[[#This Row],[Berat/pcs
(Kg)]]</f>
        <v>74.72</v>
      </c>
      <c r="M183" s="44">
        <f>SUMIF(DATA_MASTER[NO. PON],AKSESORIS[[#This Row],[No.PON]],DATA_MASTER[Qty
(Unit)])</f>
        <v>1</v>
      </c>
      <c r="N183" s="10">
        <f>AKSESORIS[[#This Row],[Total 
(pcs)]]*AKSESORIS[[#This Row],[UNIT]]</f>
        <v>1</v>
      </c>
      <c r="O183" s="9"/>
    </row>
    <row r="184" spans="1:15" x14ac:dyDescent="0.3">
      <c r="A184" t="s">
        <v>730</v>
      </c>
      <c r="B184" t="str">
        <f>IFERROR(VLOOKUP(A184,'DATA MASTER'!A:O,2,0)," ")</f>
        <v>Jembatan Gantung</v>
      </c>
      <c r="C184" s="19" t="str">
        <f>IFERROR(VLOOKUP(A184,'DATA MASTER'!A:O,4,0)," ")</f>
        <v>JG120</v>
      </c>
      <c r="D184" s="1" t="s">
        <v>999</v>
      </c>
      <c r="E184" s="1"/>
      <c r="F184" s="20" t="s">
        <v>885</v>
      </c>
      <c r="G184" s="20" t="s">
        <v>829</v>
      </c>
      <c r="H184" s="20" t="s">
        <v>181</v>
      </c>
      <c r="J184" s="1">
        <v>1</v>
      </c>
      <c r="K184" s="10">
        <v>3.6</v>
      </c>
      <c r="L184" s="10">
        <f>AKSESORIS[[#This Row],[Total 
(pcs)]]*AKSESORIS[[#This Row],[Berat/pcs
(Kg)]]</f>
        <v>3.6</v>
      </c>
      <c r="M184" s="44">
        <f>SUMIF(DATA_MASTER[NO. PON],AKSESORIS[[#This Row],[No.PON]],DATA_MASTER[Qty
(Unit)])</f>
        <v>1</v>
      </c>
      <c r="N184" s="10">
        <f>AKSESORIS[[#This Row],[Total 
(pcs)]]*AKSESORIS[[#This Row],[UNIT]]</f>
        <v>1</v>
      </c>
      <c r="O184" s="9"/>
    </row>
    <row r="185" spans="1:15" x14ac:dyDescent="0.3">
      <c r="A185" t="s">
        <v>730</v>
      </c>
      <c r="B185" t="str">
        <f>IFERROR(VLOOKUP(A185,'DATA MASTER'!A:O,2,0)," ")</f>
        <v>Jembatan Gantung</v>
      </c>
      <c r="C185" s="19" t="str">
        <f>IFERROR(VLOOKUP(A185,'DATA MASTER'!A:O,4,0)," ")</f>
        <v>JG120</v>
      </c>
      <c r="D185" s="1" t="s">
        <v>999</v>
      </c>
      <c r="E185" s="1"/>
      <c r="F185" s="20" t="s">
        <v>885</v>
      </c>
      <c r="G185" s="20" t="s">
        <v>830</v>
      </c>
      <c r="H185" s="20" t="s">
        <v>181</v>
      </c>
      <c r="J185" s="1">
        <v>1</v>
      </c>
      <c r="K185" s="10">
        <v>14.32</v>
      </c>
      <c r="L185" s="10">
        <f>AKSESORIS[[#This Row],[Total 
(pcs)]]*AKSESORIS[[#This Row],[Berat/pcs
(Kg)]]</f>
        <v>14.32</v>
      </c>
      <c r="M185" s="44">
        <f>SUMIF(DATA_MASTER[NO. PON],AKSESORIS[[#This Row],[No.PON]],DATA_MASTER[Qty
(Unit)])</f>
        <v>1</v>
      </c>
      <c r="N185" s="10">
        <f>AKSESORIS[[#This Row],[Total 
(pcs)]]*AKSESORIS[[#This Row],[UNIT]]</f>
        <v>1</v>
      </c>
      <c r="O185" s="9"/>
    </row>
    <row r="186" spans="1:15" x14ac:dyDescent="0.3">
      <c r="A186" t="s">
        <v>730</v>
      </c>
      <c r="B186" t="str">
        <f>IFERROR(VLOOKUP(A186,'DATA MASTER'!A:O,2,0)," ")</f>
        <v>Jembatan Gantung</v>
      </c>
      <c r="C186" s="19" t="str">
        <f>IFERROR(VLOOKUP(A186,'DATA MASTER'!A:O,4,0)," ")</f>
        <v>JG120</v>
      </c>
      <c r="D186" s="1" t="s">
        <v>999</v>
      </c>
      <c r="E186" s="1"/>
      <c r="F186" s="20" t="s">
        <v>885</v>
      </c>
      <c r="G186" s="20" t="s">
        <v>831</v>
      </c>
      <c r="H186" s="20" t="s">
        <v>181</v>
      </c>
      <c r="J186" s="1">
        <v>1</v>
      </c>
      <c r="K186" s="10">
        <v>10.6</v>
      </c>
      <c r="L186" s="10">
        <f>AKSESORIS[[#This Row],[Total 
(pcs)]]*AKSESORIS[[#This Row],[Berat/pcs
(Kg)]]</f>
        <v>10.6</v>
      </c>
      <c r="M186" s="44">
        <f>SUMIF(DATA_MASTER[NO. PON],AKSESORIS[[#This Row],[No.PON]],DATA_MASTER[Qty
(Unit)])</f>
        <v>1</v>
      </c>
      <c r="N186" s="10">
        <f>AKSESORIS[[#This Row],[Total 
(pcs)]]*AKSESORIS[[#This Row],[UNIT]]</f>
        <v>1</v>
      </c>
      <c r="O186" s="9"/>
    </row>
    <row r="187" spans="1:15" x14ac:dyDescent="0.3">
      <c r="A187" t="s">
        <v>730</v>
      </c>
      <c r="B187" t="str">
        <f>IFERROR(VLOOKUP(A187,'DATA MASTER'!A:O,2,0)," ")</f>
        <v>Jembatan Gantung</v>
      </c>
      <c r="C187" s="19" t="str">
        <f>IFERROR(VLOOKUP(A187,'DATA MASTER'!A:O,4,0)," ")</f>
        <v>JG120</v>
      </c>
      <c r="D187" s="1" t="s">
        <v>999</v>
      </c>
      <c r="E187" s="1"/>
      <c r="F187" s="20" t="s">
        <v>885</v>
      </c>
      <c r="G187" s="20" t="s">
        <v>832</v>
      </c>
      <c r="H187" s="20" t="s">
        <v>181</v>
      </c>
      <c r="J187" s="1">
        <v>1</v>
      </c>
      <c r="K187" s="10">
        <v>7.18</v>
      </c>
      <c r="L187" s="10">
        <f>AKSESORIS[[#This Row],[Total 
(pcs)]]*AKSESORIS[[#This Row],[Berat/pcs
(Kg)]]</f>
        <v>7.18</v>
      </c>
      <c r="M187" s="44">
        <f>SUMIF(DATA_MASTER[NO. PON],AKSESORIS[[#This Row],[No.PON]],DATA_MASTER[Qty
(Unit)])</f>
        <v>1</v>
      </c>
      <c r="N187" s="10">
        <f>AKSESORIS[[#This Row],[Total 
(pcs)]]*AKSESORIS[[#This Row],[UNIT]]</f>
        <v>1</v>
      </c>
      <c r="O187" s="9"/>
    </row>
    <row r="188" spans="1:15" x14ac:dyDescent="0.3">
      <c r="A188" t="s">
        <v>730</v>
      </c>
      <c r="B188" t="str">
        <f>IFERROR(VLOOKUP(A188,'DATA MASTER'!A:O,2,0)," ")</f>
        <v>Jembatan Gantung</v>
      </c>
      <c r="C188" s="19" t="str">
        <f>IFERROR(VLOOKUP(A188,'DATA MASTER'!A:O,4,0)," ")</f>
        <v>JG120</v>
      </c>
      <c r="D188" s="1" t="s">
        <v>999</v>
      </c>
      <c r="E188" s="1"/>
      <c r="F188" s="20" t="s">
        <v>885</v>
      </c>
      <c r="G188" s="20" t="s">
        <v>833</v>
      </c>
      <c r="H188" s="20" t="s">
        <v>181</v>
      </c>
      <c r="J188" s="1">
        <v>2</v>
      </c>
      <c r="K188" s="10">
        <v>58.48</v>
      </c>
      <c r="L188" s="10">
        <f>AKSESORIS[[#This Row],[Total 
(pcs)]]*AKSESORIS[[#This Row],[Berat/pcs
(Kg)]]</f>
        <v>116.96</v>
      </c>
      <c r="M188" s="44">
        <f>SUMIF(DATA_MASTER[NO. PON],AKSESORIS[[#This Row],[No.PON]],DATA_MASTER[Qty
(Unit)])</f>
        <v>1</v>
      </c>
      <c r="N188" s="10">
        <f>AKSESORIS[[#This Row],[Total 
(pcs)]]*AKSESORIS[[#This Row],[UNIT]]</f>
        <v>2</v>
      </c>
      <c r="O188" s="9"/>
    </row>
    <row r="189" spans="1:15" x14ac:dyDescent="0.3">
      <c r="A189" t="s">
        <v>730</v>
      </c>
      <c r="B189" t="str">
        <f>IFERROR(VLOOKUP(A189,'DATA MASTER'!A:O,2,0)," ")</f>
        <v>Jembatan Gantung</v>
      </c>
      <c r="C189" s="19" t="str">
        <f>IFERROR(VLOOKUP(A189,'DATA MASTER'!A:O,4,0)," ")</f>
        <v>JG120</v>
      </c>
      <c r="D189" s="1" t="s">
        <v>168</v>
      </c>
      <c r="E189" s="1"/>
      <c r="F189" s="20" t="s">
        <v>890</v>
      </c>
      <c r="G189" s="20" t="s">
        <v>834</v>
      </c>
      <c r="H189" s="20" t="s">
        <v>837</v>
      </c>
      <c r="J189" s="1">
        <v>4</v>
      </c>
      <c r="K189" s="10">
        <v>1.53</v>
      </c>
      <c r="L189" s="10">
        <f>AKSESORIS[[#This Row],[Total 
(pcs)]]*AKSESORIS[[#This Row],[Berat/pcs
(Kg)]]</f>
        <v>6.12</v>
      </c>
      <c r="M189" s="44">
        <f>SUMIF(DATA_MASTER[NO. PON],AKSESORIS[[#This Row],[No.PON]],DATA_MASTER[Qty
(Unit)])</f>
        <v>1</v>
      </c>
      <c r="N189" s="10">
        <f>AKSESORIS[[#This Row],[Total 
(pcs)]]*AKSESORIS[[#This Row],[UNIT]]</f>
        <v>4</v>
      </c>
      <c r="O189" s="9"/>
    </row>
    <row r="190" spans="1:15" x14ac:dyDescent="0.3">
      <c r="A190" t="s">
        <v>730</v>
      </c>
      <c r="B190" t="str">
        <f>IFERROR(VLOOKUP(A190,'DATA MASTER'!A:O,2,0)," ")</f>
        <v>Jembatan Gantung</v>
      </c>
      <c r="C190" s="19" t="str">
        <f>IFERROR(VLOOKUP(A190,'DATA MASTER'!A:O,4,0)," ")</f>
        <v>JG120</v>
      </c>
      <c r="D190" s="1"/>
      <c r="E190" s="1"/>
      <c r="F190" s="20" t="s">
        <v>891</v>
      </c>
      <c r="G190" s="20" t="s">
        <v>775</v>
      </c>
      <c r="H190" s="20" t="s">
        <v>838</v>
      </c>
      <c r="J190" s="1">
        <v>16</v>
      </c>
      <c r="K190" s="10">
        <v>0.14000000000000001</v>
      </c>
      <c r="L190" s="10">
        <f>AKSESORIS[[#This Row],[Total 
(pcs)]]*AKSESORIS[[#This Row],[Berat/pcs
(Kg)]]</f>
        <v>2.2400000000000002</v>
      </c>
      <c r="M190" s="44">
        <f>SUMIF(DATA_MASTER[NO. PON],AKSESORIS[[#This Row],[No.PON]],DATA_MASTER[Qty
(Unit)])</f>
        <v>1</v>
      </c>
      <c r="N190" s="10">
        <f>AKSESORIS[[#This Row],[Total 
(pcs)]]*AKSESORIS[[#This Row],[UNIT]]</f>
        <v>16</v>
      </c>
      <c r="O190" s="9"/>
    </row>
    <row r="191" spans="1:15" x14ac:dyDescent="0.3">
      <c r="A191" t="s">
        <v>730</v>
      </c>
      <c r="B191" t="str">
        <f>IFERROR(VLOOKUP(A191,'DATA MASTER'!A:O,2,0)," ")</f>
        <v>Jembatan Gantung</v>
      </c>
      <c r="C191" s="19" t="str">
        <f>IFERROR(VLOOKUP(A191,'DATA MASTER'!A:O,4,0)," ")</f>
        <v>JG120</v>
      </c>
      <c r="D191" s="1"/>
      <c r="E191" s="1"/>
      <c r="F191" s="20" t="s">
        <v>933</v>
      </c>
      <c r="G191" s="20" t="s">
        <v>934</v>
      </c>
      <c r="H191" s="20" t="s">
        <v>934</v>
      </c>
      <c r="J191" s="1">
        <f>24+12</f>
        <v>36</v>
      </c>
      <c r="K191" s="44">
        <v>0.62</v>
      </c>
      <c r="L191" s="16">
        <f>AKSESORIS[[#This Row],[Total 
(pcs)]]*AKSESORIS[[#This Row],[Berat/pcs
(Kg)]]</f>
        <v>22.32</v>
      </c>
      <c r="M191" s="44">
        <f>SUMIF(DATA_MASTER[NO. PON],AKSESORIS[[#This Row],[No.PON]],DATA_MASTER[Qty
(Unit)])</f>
        <v>1</v>
      </c>
      <c r="N191" s="10">
        <f>AKSESORIS[[#This Row],[Total 
(pcs)]]*AKSESORIS[[#This Row],[UNIT]]</f>
        <v>36</v>
      </c>
      <c r="O191" s="9"/>
    </row>
    <row r="192" spans="1:15" x14ac:dyDescent="0.3">
      <c r="A192" t="s">
        <v>718</v>
      </c>
      <c r="B192" t="str">
        <f>IFERROR(VLOOKUP(A192,'DATA MASTER'!A:O,2,0)," ")</f>
        <v>Girder</v>
      </c>
      <c r="C192" s="19" t="str">
        <f>IFERROR(VLOOKUP(A192,'DATA MASTER'!A:O,4,0)," ")</f>
        <v>AG20</v>
      </c>
      <c r="D192" s="1"/>
      <c r="E192" s="1"/>
      <c r="F192" s="20" t="s">
        <v>43</v>
      </c>
      <c r="G192" s="20" t="s">
        <v>722</v>
      </c>
      <c r="H192" s="20" t="s">
        <v>725</v>
      </c>
      <c r="J192" s="1">
        <v>95</v>
      </c>
      <c r="K192" s="44">
        <v>10.79</v>
      </c>
      <c r="L192" s="10">
        <f>AKSESORIS[[#This Row],[Total 
(pcs)]]*AKSESORIS[[#This Row],[Berat/pcs
(Kg)]]</f>
        <v>1025.05</v>
      </c>
      <c r="M192" s="44">
        <f>SUMIF(DATA_MASTER[NO. PON],AKSESORIS[[#This Row],[No.PON]],DATA_MASTER[Qty
(Unit)])</f>
        <v>1</v>
      </c>
      <c r="N192" s="10">
        <f>AKSESORIS[[#This Row],[Total 
(pcs)]]*AKSESORIS[[#This Row],[UNIT]]</f>
        <v>95</v>
      </c>
      <c r="O192" s="9"/>
    </row>
    <row r="193" spans="1:15" x14ac:dyDescent="0.3">
      <c r="A193" t="s">
        <v>718</v>
      </c>
      <c r="B193" t="str">
        <f>IFERROR(VLOOKUP(A193,'DATA MASTER'!A:O,2,0)," ")</f>
        <v>Girder</v>
      </c>
      <c r="C193" s="19" t="str">
        <f>IFERROR(VLOOKUP(A193,'DATA MASTER'!A:O,4,0)," ")</f>
        <v>AG20</v>
      </c>
      <c r="D193" s="1"/>
      <c r="E193" s="1"/>
      <c r="F193" s="20" t="s">
        <v>43</v>
      </c>
      <c r="G193" s="20" t="s">
        <v>723</v>
      </c>
      <c r="H193" s="20" t="s">
        <v>725</v>
      </c>
      <c r="J193" s="1">
        <v>5</v>
      </c>
      <c r="K193" s="44">
        <v>7.45</v>
      </c>
      <c r="L193" s="10">
        <f>AKSESORIS[[#This Row],[Total 
(pcs)]]*AKSESORIS[[#This Row],[Berat/pcs
(Kg)]]</f>
        <v>37.25</v>
      </c>
      <c r="M193" s="44">
        <f>SUMIF(DATA_MASTER[NO. PON],AKSESORIS[[#This Row],[No.PON]],DATA_MASTER[Qty
(Unit)])</f>
        <v>1</v>
      </c>
      <c r="N193" s="10">
        <f>AKSESORIS[[#This Row],[Total 
(pcs)]]*AKSESORIS[[#This Row],[UNIT]]</f>
        <v>5</v>
      </c>
      <c r="O193" s="9"/>
    </row>
    <row r="194" spans="1:15" x14ac:dyDescent="0.3">
      <c r="A194" t="s">
        <v>718</v>
      </c>
      <c r="B194" t="str">
        <f>IFERROR(VLOOKUP(A194,'DATA MASTER'!A:O,2,0)," ")</f>
        <v>Girder</v>
      </c>
      <c r="C194" s="19" t="str">
        <f>IFERROR(VLOOKUP(A194,'DATA MASTER'!A:O,4,0)," ")</f>
        <v>AG20</v>
      </c>
      <c r="D194" s="1"/>
      <c r="E194" s="1"/>
      <c r="F194" s="20" t="s">
        <v>43</v>
      </c>
      <c r="G194" s="20" t="s">
        <v>724</v>
      </c>
      <c r="H194" s="20" t="s">
        <v>725</v>
      </c>
      <c r="J194" s="1">
        <v>5</v>
      </c>
      <c r="K194" s="44">
        <v>7.37</v>
      </c>
      <c r="L194" s="10">
        <f>AKSESORIS[[#This Row],[Total 
(pcs)]]*AKSESORIS[[#This Row],[Berat/pcs
(Kg)]]</f>
        <v>36.85</v>
      </c>
      <c r="M194" s="44">
        <f>SUMIF(DATA_MASTER[NO. PON],AKSESORIS[[#This Row],[No.PON]],DATA_MASTER[Qty
(Unit)])</f>
        <v>1</v>
      </c>
      <c r="N194" s="10">
        <f>AKSESORIS[[#This Row],[Total 
(pcs)]]*AKSESORIS[[#This Row],[UNIT]]</f>
        <v>5</v>
      </c>
      <c r="O194" s="9"/>
    </row>
    <row r="195" spans="1:15" x14ac:dyDescent="0.3">
      <c r="A195" t="s">
        <v>718</v>
      </c>
      <c r="B195" t="str">
        <f>IFERROR(VLOOKUP(A195,'DATA MASTER'!A:O,2,0)," ")</f>
        <v>Girder</v>
      </c>
      <c r="C195" s="19" t="str">
        <f>IFERROR(VLOOKUP(A195,'DATA MASTER'!A:O,4,0)," ")</f>
        <v>AG20</v>
      </c>
      <c r="D195" s="1"/>
      <c r="E195" s="1"/>
      <c r="F195" s="20" t="s">
        <v>44</v>
      </c>
      <c r="G195" s="20" t="s">
        <v>726</v>
      </c>
      <c r="H195" s="20" t="s">
        <v>60</v>
      </c>
      <c r="J195" s="1">
        <v>12</v>
      </c>
      <c r="K195" s="44">
        <v>14.9933</v>
      </c>
      <c r="L195" s="10">
        <f>AKSESORIS[[#This Row],[Total 
(pcs)]]*AKSESORIS[[#This Row],[Berat/pcs
(Kg)]]</f>
        <v>179.9196</v>
      </c>
      <c r="M195" s="44">
        <f>SUMIF(DATA_MASTER[NO. PON],AKSESORIS[[#This Row],[No.PON]],DATA_MASTER[Qty
(Unit)])</f>
        <v>1</v>
      </c>
      <c r="N195" s="10">
        <f>AKSESORIS[[#This Row],[Total 
(pcs)]]*AKSESORIS[[#This Row],[UNIT]]</f>
        <v>12</v>
      </c>
      <c r="O195" s="9"/>
    </row>
    <row r="196" spans="1:15" x14ac:dyDescent="0.3">
      <c r="A196" t="s">
        <v>718</v>
      </c>
      <c r="B196" t="str">
        <f>IFERROR(VLOOKUP(A196,'DATA MASTER'!A:O,2,0)," ")</f>
        <v>Girder</v>
      </c>
      <c r="C196" s="19" t="str">
        <f>IFERROR(VLOOKUP(A196,'DATA MASTER'!A:O,4,0)," ")</f>
        <v>AG20</v>
      </c>
      <c r="D196" s="1"/>
      <c r="E196" s="1"/>
      <c r="F196" s="20" t="s">
        <v>44</v>
      </c>
      <c r="G196" s="20" t="s">
        <v>727</v>
      </c>
      <c r="H196" s="20" t="s">
        <v>62</v>
      </c>
      <c r="J196" s="1">
        <v>4</v>
      </c>
      <c r="K196" s="44">
        <v>3.438072</v>
      </c>
      <c r="L196" s="10">
        <f>AKSESORIS[[#This Row],[Total 
(pcs)]]*AKSESORIS[[#This Row],[Berat/pcs
(Kg)]]</f>
        <v>13.752288</v>
      </c>
      <c r="M196" s="44">
        <f>SUMIF(DATA_MASTER[NO. PON],AKSESORIS[[#This Row],[No.PON]],DATA_MASTER[Qty
(Unit)])</f>
        <v>1</v>
      </c>
      <c r="N196" s="10">
        <f>AKSESORIS[[#This Row],[Total 
(pcs)]]*AKSESORIS[[#This Row],[UNIT]]</f>
        <v>4</v>
      </c>
      <c r="O196" s="9"/>
    </row>
    <row r="197" spans="1:15" x14ac:dyDescent="0.3">
      <c r="A197" t="s">
        <v>718</v>
      </c>
      <c r="B197" t="str">
        <f>IFERROR(VLOOKUP(A197,'DATA MASTER'!A:O,2,0)," ")</f>
        <v>Girder</v>
      </c>
      <c r="C197" s="19" t="str">
        <f>IFERROR(VLOOKUP(A197,'DATA MASTER'!A:O,4,0)," ")</f>
        <v>AG20</v>
      </c>
      <c r="D197" s="1"/>
      <c r="E197" s="1"/>
      <c r="F197" s="20" t="s">
        <v>904</v>
      </c>
      <c r="G197" s="20" t="s">
        <v>53</v>
      </c>
      <c r="H197" s="20" t="s">
        <v>53</v>
      </c>
      <c r="I197" s="1">
        <v>420</v>
      </c>
      <c r="J197" s="1">
        <v>24</v>
      </c>
      <c r="K197" s="44">
        <v>1.55</v>
      </c>
      <c r="L197" s="10">
        <f>AKSESORIS[[#This Row],[Total 
(pcs)]]*AKSESORIS[[#This Row],[Berat/pcs
(Kg)]]</f>
        <v>37.200000000000003</v>
      </c>
      <c r="M197" s="44">
        <f>SUMIF(DATA_MASTER[NO. PON],AKSESORIS[[#This Row],[No.PON]],DATA_MASTER[Qty
(Unit)])</f>
        <v>1</v>
      </c>
      <c r="N197" s="10">
        <f>AKSESORIS[[#This Row],[Total 
(pcs)]]*AKSESORIS[[#This Row],[UNIT]]</f>
        <v>24</v>
      </c>
      <c r="O197" s="9"/>
    </row>
    <row r="198" spans="1:15" x14ac:dyDescent="0.3">
      <c r="A198" t="s">
        <v>718</v>
      </c>
      <c r="B198" t="str">
        <f>IFERROR(VLOOKUP(A198,'DATA MASTER'!A:O,2,0)," ")</f>
        <v>Girder</v>
      </c>
      <c r="C198" s="19" t="str">
        <f>IFERROR(VLOOKUP(A198,'DATA MASTER'!A:O,4,0)," ")</f>
        <v>AG20</v>
      </c>
      <c r="D198" s="1"/>
      <c r="E198" s="1"/>
      <c r="F198" s="20" t="s">
        <v>54</v>
      </c>
      <c r="G198" s="20" t="s">
        <v>55</v>
      </c>
      <c r="H198" s="20" t="s">
        <v>55</v>
      </c>
      <c r="I198" s="1">
        <v>185</v>
      </c>
      <c r="J198" s="1">
        <v>88</v>
      </c>
      <c r="K198" s="44">
        <v>0.21</v>
      </c>
      <c r="L198" s="10">
        <f>AKSESORIS[[#This Row],[Total 
(pcs)]]*AKSESORIS[[#This Row],[Berat/pcs
(Kg)]]</f>
        <v>18.48</v>
      </c>
      <c r="M198" s="44">
        <f>SUMIF(DATA_MASTER[NO. PON],AKSESORIS[[#This Row],[No.PON]],DATA_MASTER[Qty
(Unit)])</f>
        <v>1</v>
      </c>
      <c r="N198" s="10">
        <f>AKSESORIS[[#This Row],[Total 
(pcs)]]*AKSESORIS[[#This Row],[UNIT]]</f>
        <v>88</v>
      </c>
      <c r="O198" s="9"/>
    </row>
    <row r="199" spans="1:15" x14ac:dyDescent="0.3">
      <c r="A199" t="s">
        <v>753</v>
      </c>
      <c r="B199" t="str">
        <f>IFERROR(VLOOKUP(A199,'DATA MASTER'!A:O,2,0)," ")</f>
        <v>Jembatan Gantung</v>
      </c>
      <c r="C199" s="19" t="str">
        <f>IFERROR(VLOOKUP(A199,'DATA MASTER'!A:O,4,0)," ")</f>
        <v>JG80</v>
      </c>
      <c r="D199" s="1" t="s">
        <v>168</v>
      </c>
      <c r="E199" s="1"/>
      <c r="F199" s="20" t="s">
        <v>921</v>
      </c>
      <c r="G199" s="20" t="s">
        <v>914</v>
      </c>
      <c r="H199" s="20" t="s">
        <v>183</v>
      </c>
      <c r="J199" s="1">
        <v>48</v>
      </c>
      <c r="K199" s="10">
        <v>7.34</v>
      </c>
      <c r="L199" s="10">
        <f>AKSESORIS[[#This Row],[Total 
(pcs)]]*AKSESORIS[[#This Row],[Berat/pcs
(Kg)]]</f>
        <v>352.32</v>
      </c>
      <c r="M199" s="44">
        <f>SUMIF(DATA_MASTER[NO. PON],AKSESORIS[[#This Row],[No.PON]],DATA_MASTER[Qty
(Unit)])</f>
        <v>1</v>
      </c>
      <c r="N199" s="10">
        <f>AKSESORIS[[#This Row],[Total 
(pcs)]]*AKSESORIS[[#This Row],[UNIT]]</f>
        <v>48</v>
      </c>
      <c r="O199" s="9"/>
    </row>
    <row r="200" spans="1:15" x14ac:dyDescent="0.3">
      <c r="A200" t="s">
        <v>753</v>
      </c>
      <c r="B200" t="str">
        <f>IFERROR(VLOOKUP(A200,'DATA MASTER'!A:O,2,0)," ")</f>
        <v>Jembatan Gantung</v>
      </c>
      <c r="C200" s="19" t="str">
        <f>IFERROR(VLOOKUP(A200,'DATA MASTER'!A:O,4,0)," ")</f>
        <v>JG80</v>
      </c>
      <c r="D200" s="1" t="s">
        <v>168</v>
      </c>
      <c r="E200" s="1"/>
      <c r="F200" s="20" t="s">
        <v>888</v>
      </c>
      <c r="G200" s="20" t="s">
        <v>915</v>
      </c>
      <c r="H200" s="20" t="s">
        <v>184</v>
      </c>
      <c r="J200" s="1">
        <v>16</v>
      </c>
      <c r="K200" s="10">
        <v>32.05086</v>
      </c>
      <c r="L200" s="10">
        <f>AKSESORIS[[#This Row],[Total 
(pcs)]]*AKSESORIS[[#This Row],[Berat/pcs
(Kg)]]</f>
        <v>512.81376</v>
      </c>
      <c r="M200" s="44">
        <f>SUMIF(DATA_MASTER[NO. PON],AKSESORIS[[#This Row],[No.PON]],DATA_MASTER[Qty
(Unit)])</f>
        <v>1</v>
      </c>
      <c r="N200" s="10">
        <f>AKSESORIS[[#This Row],[Total 
(pcs)]]*AKSESORIS[[#This Row],[UNIT]]</f>
        <v>16</v>
      </c>
      <c r="O200" s="9"/>
    </row>
    <row r="201" spans="1:15" x14ac:dyDescent="0.3">
      <c r="A201" t="s">
        <v>753</v>
      </c>
      <c r="B201" t="str">
        <f>IFERROR(VLOOKUP(A201,'DATA MASTER'!A:O,2,0)," ")</f>
        <v>Jembatan Gantung</v>
      </c>
      <c r="C201" s="19" t="str">
        <f>IFERROR(VLOOKUP(A201,'DATA MASTER'!A:O,4,0)," ")</f>
        <v>JG80</v>
      </c>
      <c r="D201" s="1" t="s">
        <v>168</v>
      </c>
      <c r="E201" s="1"/>
      <c r="F201" s="20" t="s">
        <v>883</v>
      </c>
      <c r="G201" s="20" t="s">
        <v>916</v>
      </c>
      <c r="H201" s="20" t="s">
        <v>815</v>
      </c>
      <c r="J201" s="1">
        <v>78</v>
      </c>
      <c r="K201" s="10">
        <v>4.05</v>
      </c>
      <c r="L201" s="10">
        <f>AKSESORIS[[#This Row],[Total 
(pcs)]]*AKSESORIS[[#This Row],[Berat/pcs
(Kg)]]</f>
        <v>315.89999999999998</v>
      </c>
      <c r="M201" s="44">
        <f>SUMIF(DATA_MASTER[NO. PON],AKSESORIS[[#This Row],[No.PON]],DATA_MASTER[Qty
(Unit)])</f>
        <v>1</v>
      </c>
      <c r="N201" s="10">
        <f>AKSESORIS[[#This Row],[Total 
(pcs)]]*AKSESORIS[[#This Row],[UNIT]]</f>
        <v>78</v>
      </c>
      <c r="O201" s="9"/>
    </row>
    <row r="202" spans="1:15" x14ac:dyDescent="0.3">
      <c r="A202" t="s">
        <v>753</v>
      </c>
      <c r="B202" t="str">
        <f>IFERROR(VLOOKUP(A202,'DATA MASTER'!A:O,2,0)," ")</f>
        <v>Jembatan Gantung</v>
      </c>
      <c r="C202" s="19" t="str">
        <f>IFERROR(VLOOKUP(A202,'DATA MASTER'!A:O,4,0)," ")</f>
        <v>JG80</v>
      </c>
      <c r="D202" s="1" t="s">
        <v>168</v>
      </c>
      <c r="E202" s="1"/>
      <c r="F202" s="20" t="s">
        <v>101</v>
      </c>
      <c r="G202" s="20" t="s">
        <v>917</v>
      </c>
      <c r="H202" s="20" t="s">
        <v>922</v>
      </c>
      <c r="J202" s="1">
        <v>16</v>
      </c>
      <c r="K202" s="10">
        <v>2.0499999999999998</v>
      </c>
      <c r="L202" s="10">
        <f>AKSESORIS[[#This Row],[Total 
(pcs)]]*AKSESORIS[[#This Row],[Berat/pcs
(Kg)]]</f>
        <v>32.799999999999997</v>
      </c>
      <c r="M202" s="44">
        <f>SUMIF(DATA_MASTER[NO. PON],AKSESORIS[[#This Row],[No.PON]],DATA_MASTER[Qty
(Unit)])</f>
        <v>1</v>
      </c>
      <c r="N202" s="10">
        <f>AKSESORIS[[#This Row],[Total 
(pcs)]]*AKSESORIS[[#This Row],[UNIT]]</f>
        <v>16</v>
      </c>
      <c r="O202" s="9"/>
    </row>
    <row r="203" spans="1:15" x14ac:dyDescent="0.3">
      <c r="A203" t="s">
        <v>753</v>
      </c>
      <c r="B203" t="str">
        <f>IFERROR(VLOOKUP(A203,'DATA MASTER'!A:O,2,0)," ")</f>
        <v>Jembatan Gantung</v>
      </c>
      <c r="C203" s="19" t="str">
        <f>IFERROR(VLOOKUP(A203,'DATA MASTER'!A:O,4,0)," ")</f>
        <v>JG80</v>
      </c>
      <c r="D203" s="1" t="s">
        <v>168</v>
      </c>
      <c r="E203" s="1"/>
      <c r="F203" s="20" t="s">
        <v>884</v>
      </c>
      <c r="G203" s="20" t="s">
        <v>918</v>
      </c>
      <c r="H203" s="20" t="s">
        <v>779</v>
      </c>
      <c r="J203" s="1">
        <v>78</v>
      </c>
      <c r="K203" s="10">
        <v>0.58499999999999996</v>
      </c>
      <c r="L203" s="10">
        <f>AKSESORIS[[#This Row],[Total 
(pcs)]]*AKSESORIS[[#This Row],[Berat/pcs
(Kg)]]</f>
        <v>45.629999999999995</v>
      </c>
      <c r="M203" s="44">
        <f>SUMIF(DATA_MASTER[NO. PON],AKSESORIS[[#This Row],[No.PON]],DATA_MASTER[Qty
(Unit)])</f>
        <v>1</v>
      </c>
      <c r="N203" s="10">
        <f>AKSESORIS[[#This Row],[Total 
(pcs)]]*AKSESORIS[[#This Row],[UNIT]]</f>
        <v>78</v>
      </c>
      <c r="O203" s="9"/>
    </row>
    <row r="204" spans="1:15" x14ac:dyDescent="0.3">
      <c r="A204" t="s">
        <v>753</v>
      </c>
      <c r="B204" t="str">
        <f>IFERROR(VLOOKUP(A204,'DATA MASTER'!A:O,2,0)," ")</f>
        <v>Jembatan Gantung</v>
      </c>
      <c r="C204" s="19" t="str">
        <f>IFERROR(VLOOKUP(A204,'DATA MASTER'!A:O,4,0)," ")</f>
        <v>JG80</v>
      </c>
      <c r="D204" s="1" t="s">
        <v>168</v>
      </c>
      <c r="E204" s="1"/>
      <c r="F204" s="20" t="s">
        <v>745</v>
      </c>
      <c r="G204" s="20" t="s">
        <v>919</v>
      </c>
      <c r="H204" s="20" t="s">
        <v>923</v>
      </c>
      <c r="J204" s="1">
        <v>4</v>
      </c>
      <c r="K204" s="10">
        <v>103.1</v>
      </c>
      <c r="L204" s="10">
        <f>AKSESORIS[[#This Row],[Total 
(pcs)]]*AKSESORIS[[#This Row],[Berat/pcs
(Kg)]]</f>
        <v>412.4</v>
      </c>
      <c r="M204" s="44">
        <f>SUMIF(DATA_MASTER[NO. PON],AKSESORIS[[#This Row],[No.PON]],DATA_MASTER[Qty
(Unit)])</f>
        <v>1</v>
      </c>
      <c r="N204" s="10">
        <f>AKSESORIS[[#This Row],[Total 
(pcs)]]*AKSESORIS[[#This Row],[UNIT]]</f>
        <v>4</v>
      </c>
      <c r="O204" s="9"/>
    </row>
    <row r="205" spans="1:15" x14ac:dyDescent="0.3">
      <c r="A205" t="s">
        <v>753</v>
      </c>
      <c r="B205" t="str">
        <f>IFERROR(VLOOKUP(A205,'DATA MASTER'!A:O,2,0)," ")</f>
        <v>Jembatan Gantung</v>
      </c>
      <c r="C205" s="19" t="str">
        <f>IFERROR(VLOOKUP(A205,'DATA MASTER'!A:O,4,0)," ")</f>
        <v>JG80</v>
      </c>
      <c r="D205" s="1" t="s">
        <v>168</v>
      </c>
      <c r="E205" s="1"/>
      <c r="F205" s="20" t="s">
        <v>889</v>
      </c>
      <c r="G205" s="20" t="s">
        <v>920</v>
      </c>
      <c r="H205" s="20" t="s">
        <v>924</v>
      </c>
      <c r="J205" s="1">
        <v>8</v>
      </c>
      <c r="K205" s="10">
        <v>56.56</v>
      </c>
      <c r="L205" s="10">
        <f>AKSESORIS[[#This Row],[Total 
(pcs)]]*AKSESORIS[[#This Row],[Berat/pcs
(Kg)]]</f>
        <v>452.48</v>
      </c>
      <c r="M205" s="44">
        <f>SUMIF(DATA_MASTER[NO. PON],AKSESORIS[[#This Row],[No.PON]],DATA_MASTER[Qty
(Unit)])</f>
        <v>1</v>
      </c>
      <c r="N205" s="10">
        <f>AKSESORIS[[#This Row],[Total 
(pcs)]]*AKSESORIS[[#This Row],[UNIT]]</f>
        <v>8</v>
      </c>
      <c r="O205" s="9"/>
    </row>
    <row r="206" spans="1:15" x14ac:dyDescent="0.3">
      <c r="A206" t="s">
        <v>753</v>
      </c>
      <c r="B206" t="str">
        <f>IFERROR(VLOOKUP(A206,'DATA MASTER'!A:O,2,0)," ")</f>
        <v>Jembatan Gantung</v>
      </c>
      <c r="C206" s="19" t="str">
        <f>IFERROR(VLOOKUP(A206,'DATA MASTER'!A:O,4,0)," ")</f>
        <v>JG80</v>
      </c>
      <c r="D206" s="1" t="s">
        <v>999</v>
      </c>
      <c r="E206" s="1"/>
      <c r="F206" s="20" t="s">
        <v>885</v>
      </c>
      <c r="G206" s="20" t="s">
        <v>925</v>
      </c>
      <c r="H206" s="20" t="s">
        <v>926</v>
      </c>
      <c r="I206" s="1">
        <v>150000</v>
      </c>
      <c r="J206" s="1">
        <v>4</v>
      </c>
      <c r="K206" s="10">
        <v>1785</v>
      </c>
      <c r="L206" s="10">
        <f>AKSESORIS[[#This Row],[Total 
(pcs)]]*AKSESORIS[[#This Row],[Berat/pcs
(Kg)]]</f>
        <v>7140</v>
      </c>
      <c r="M206" s="44">
        <f>SUMIF(DATA_MASTER[NO. PON],AKSESORIS[[#This Row],[No.PON]],DATA_MASTER[Qty
(Unit)])</f>
        <v>1</v>
      </c>
      <c r="N206" s="10">
        <f>AKSESORIS[[#This Row],[Total 
(pcs)]]*AKSESORIS[[#This Row],[UNIT]]</f>
        <v>4</v>
      </c>
      <c r="O206" s="9"/>
    </row>
    <row r="207" spans="1:15" x14ac:dyDescent="0.3">
      <c r="A207" t="s">
        <v>672</v>
      </c>
      <c r="B207" t="str">
        <f>IFERROR(VLOOKUP(A207,'DATA MASTER'!A:O,2,0)," ")</f>
        <v>Girder</v>
      </c>
      <c r="C207" s="19" t="str">
        <f>IFERROR(VLOOKUP(A207,'DATA MASTER'!A:O,4,0)," ")</f>
        <v>CG30</v>
      </c>
      <c r="D207" s="1"/>
      <c r="E207" s="1"/>
      <c r="F207" s="20" t="s">
        <v>44</v>
      </c>
      <c r="G207" s="20" t="s">
        <v>539</v>
      </c>
      <c r="H207" s="20" t="s">
        <v>540</v>
      </c>
      <c r="J207" s="1">
        <v>8</v>
      </c>
      <c r="K207" s="44">
        <v>17.534727</v>
      </c>
      <c r="L207" s="10">
        <f>AKSESORIS[[#This Row],[Total 
(pcs)]]*AKSESORIS[[#This Row],[Berat/pcs
(Kg)]]</f>
        <v>140.277816</v>
      </c>
      <c r="M207" s="44">
        <f>SUMIF(DATA_MASTER[NO. PON],AKSESORIS[[#This Row],[No.PON]],DATA_MASTER[Qty
(Unit)])</f>
        <v>1</v>
      </c>
      <c r="N207" s="10">
        <f>AKSESORIS[[#This Row],[Total 
(pcs)]]*AKSESORIS[[#This Row],[UNIT]]</f>
        <v>8</v>
      </c>
      <c r="O207" s="9"/>
    </row>
    <row r="208" spans="1:15" x14ac:dyDescent="0.3">
      <c r="A208" t="s">
        <v>672</v>
      </c>
      <c r="B208" t="str">
        <f>IFERROR(VLOOKUP(A208,'DATA MASTER'!A:O,2,0)," ")</f>
        <v>Girder</v>
      </c>
      <c r="C208" s="19" t="str">
        <f>IFERROR(VLOOKUP(A208,'DATA MASTER'!A:O,4,0)," ")</f>
        <v>CG30</v>
      </c>
      <c r="D208" s="1"/>
      <c r="E208" s="1"/>
      <c r="F208" s="20" t="s">
        <v>44</v>
      </c>
      <c r="G208" s="20" t="s">
        <v>541</v>
      </c>
      <c r="H208" s="20" t="s">
        <v>62</v>
      </c>
      <c r="J208" s="1">
        <v>4</v>
      </c>
      <c r="K208" s="44">
        <v>3.438072</v>
      </c>
      <c r="L208" s="10">
        <f>AKSESORIS[[#This Row],[Total 
(pcs)]]*AKSESORIS[[#This Row],[Berat/pcs
(Kg)]]</f>
        <v>13.752288</v>
      </c>
      <c r="M208" s="44">
        <f>SUMIF(DATA_MASTER[NO. PON],AKSESORIS[[#This Row],[No.PON]],DATA_MASTER[Qty
(Unit)])</f>
        <v>1</v>
      </c>
      <c r="N208" s="10">
        <f>AKSESORIS[[#This Row],[Total 
(pcs)]]*AKSESORIS[[#This Row],[UNIT]]</f>
        <v>4</v>
      </c>
      <c r="O208" s="9"/>
    </row>
    <row r="209" spans="1:15" x14ac:dyDescent="0.3">
      <c r="A209" t="s">
        <v>672</v>
      </c>
      <c r="B209" t="str">
        <f>IFERROR(VLOOKUP(A209,'DATA MASTER'!A:O,2,0)," ")</f>
        <v>Girder</v>
      </c>
      <c r="C209" s="19" t="str">
        <f>IFERROR(VLOOKUP(A209,'DATA MASTER'!A:O,4,0)," ")</f>
        <v>CG30</v>
      </c>
      <c r="D209" s="1"/>
      <c r="E209" s="1"/>
      <c r="F209" s="20" t="s">
        <v>904</v>
      </c>
      <c r="G209" s="20" t="s">
        <v>53</v>
      </c>
      <c r="H209" s="20" t="s">
        <v>53</v>
      </c>
      <c r="I209" s="1">
        <v>420</v>
      </c>
      <c r="J209" s="1">
        <v>16</v>
      </c>
      <c r="K209" s="44">
        <v>1.55</v>
      </c>
      <c r="L209" s="10">
        <f>AKSESORIS[[#This Row],[Total 
(pcs)]]*AKSESORIS[[#This Row],[Berat/pcs
(Kg)]]</f>
        <v>24.8</v>
      </c>
      <c r="M209" s="44">
        <f>SUMIF(DATA_MASTER[NO. PON],AKSESORIS[[#This Row],[No.PON]],DATA_MASTER[Qty
(Unit)])</f>
        <v>1</v>
      </c>
      <c r="N209" s="10">
        <f>AKSESORIS[[#This Row],[Total 
(pcs)]]*AKSESORIS[[#This Row],[UNIT]]</f>
        <v>16</v>
      </c>
      <c r="O209" s="9"/>
    </row>
    <row r="210" spans="1:15" x14ac:dyDescent="0.3">
      <c r="A210" t="s">
        <v>672</v>
      </c>
      <c r="B210" t="str">
        <f>IFERROR(VLOOKUP(A210,'DATA MASTER'!A:O,2,0)," ")</f>
        <v>Girder</v>
      </c>
      <c r="C210" s="19" t="str">
        <f>IFERROR(VLOOKUP(A210,'DATA MASTER'!A:O,4,0)," ")</f>
        <v>CG30</v>
      </c>
      <c r="D210" s="1"/>
      <c r="E210" s="1"/>
      <c r="F210" s="20" t="s">
        <v>54</v>
      </c>
      <c r="G210" s="20" t="s">
        <v>55</v>
      </c>
      <c r="H210" s="20" t="s">
        <v>55</v>
      </c>
      <c r="I210" s="1">
        <v>185</v>
      </c>
      <c r="J210" s="1">
        <v>120</v>
      </c>
      <c r="K210" s="44">
        <v>0.21</v>
      </c>
      <c r="L210" s="10">
        <f>AKSESORIS[[#This Row],[Total 
(pcs)]]*AKSESORIS[[#This Row],[Berat/pcs
(Kg)]]</f>
        <v>25.2</v>
      </c>
      <c r="M210" s="44">
        <f>SUMIF(DATA_MASTER[NO. PON],AKSESORIS[[#This Row],[No.PON]],DATA_MASTER[Qty
(Unit)])</f>
        <v>1</v>
      </c>
      <c r="N210" s="10">
        <f>AKSESORIS[[#This Row],[Total 
(pcs)]]*AKSESORIS[[#This Row],[UNIT]]</f>
        <v>120</v>
      </c>
      <c r="O210" s="9"/>
    </row>
    <row r="211" spans="1:15" x14ac:dyDescent="0.3">
      <c r="A211" t="s">
        <v>672</v>
      </c>
      <c r="B211" t="str">
        <f>IFERROR(VLOOKUP(A211,'DATA MASTER'!A:O,2,0)," ")</f>
        <v>Girder</v>
      </c>
      <c r="C211" s="19" t="str">
        <f>IFERROR(VLOOKUP(A211,'DATA MASTER'!A:O,4,0)," ")</f>
        <v>CG30</v>
      </c>
      <c r="D211" s="1"/>
      <c r="E211" s="1"/>
      <c r="F211" s="20" t="s">
        <v>43</v>
      </c>
      <c r="G211" s="20" t="s">
        <v>354</v>
      </c>
      <c r="H211" s="20" t="s">
        <v>440</v>
      </c>
      <c r="J211" s="1">
        <v>3</v>
      </c>
      <c r="K211" s="44">
        <v>10.11</v>
      </c>
      <c r="L211" s="10">
        <f>AKSESORIS[[#This Row],[Total 
(pcs)]]*AKSESORIS[[#This Row],[Berat/pcs
(Kg)]]</f>
        <v>30.33</v>
      </c>
      <c r="M211" s="44">
        <f>SUMIF(DATA_MASTER[NO. PON],AKSESORIS[[#This Row],[No.PON]],DATA_MASTER[Qty
(Unit)])</f>
        <v>1</v>
      </c>
      <c r="N211" s="10">
        <f>AKSESORIS[[#This Row],[Total 
(pcs)]]*AKSESORIS[[#This Row],[UNIT]]</f>
        <v>3</v>
      </c>
      <c r="O211" s="9"/>
    </row>
    <row r="212" spans="1:15" x14ac:dyDescent="0.3">
      <c r="A212" t="s">
        <v>672</v>
      </c>
      <c r="B212" t="str">
        <f>IFERROR(VLOOKUP(A212,'DATA MASTER'!A:O,2,0)," ")</f>
        <v>Girder</v>
      </c>
      <c r="C212" s="19" t="str">
        <f>IFERROR(VLOOKUP(A212,'DATA MASTER'!A:O,4,0)," ")</f>
        <v>CG30</v>
      </c>
      <c r="D212" s="1"/>
      <c r="E212" s="1"/>
      <c r="F212" s="20" t="s">
        <v>43</v>
      </c>
      <c r="G212" s="20" t="s">
        <v>356</v>
      </c>
      <c r="H212" s="20" t="s">
        <v>440</v>
      </c>
      <c r="J212" s="1">
        <v>3</v>
      </c>
      <c r="K212" s="44">
        <v>10.01</v>
      </c>
      <c r="L212" s="10">
        <f>AKSESORIS[[#This Row],[Total 
(pcs)]]*AKSESORIS[[#This Row],[Berat/pcs
(Kg)]]</f>
        <v>30.03</v>
      </c>
      <c r="M212" s="44">
        <f>SUMIF(DATA_MASTER[NO. PON],AKSESORIS[[#This Row],[No.PON]],DATA_MASTER[Qty
(Unit)])</f>
        <v>1</v>
      </c>
      <c r="N212" s="10">
        <f>AKSESORIS[[#This Row],[Total 
(pcs)]]*AKSESORIS[[#This Row],[UNIT]]</f>
        <v>3</v>
      </c>
      <c r="O212" s="9"/>
    </row>
    <row r="213" spans="1:15" x14ac:dyDescent="0.3">
      <c r="A213" t="s">
        <v>672</v>
      </c>
      <c r="B213" t="str">
        <f>IFERROR(VLOOKUP(A213,'DATA MASTER'!A:O,2,0)," ")</f>
        <v>Girder</v>
      </c>
      <c r="C213" s="19" t="str">
        <f>IFERROR(VLOOKUP(A213,'DATA MASTER'!A:O,4,0)," ")</f>
        <v>CG30</v>
      </c>
      <c r="D213" s="1"/>
      <c r="E213" s="1"/>
      <c r="F213" s="20" t="s">
        <v>43</v>
      </c>
      <c r="G213" s="20" t="s">
        <v>542</v>
      </c>
      <c r="H213" s="20" t="s">
        <v>440</v>
      </c>
      <c r="J213" s="1">
        <v>87</v>
      </c>
      <c r="K213" s="44">
        <v>14.29</v>
      </c>
      <c r="L213" s="10">
        <f>AKSESORIS[[#This Row],[Total 
(pcs)]]*AKSESORIS[[#This Row],[Berat/pcs
(Kg)]]</f>
        <v>1243.23</v>
      </c>
      <c r="M213" s="44">
        <f>SUMIF(DATA_MASTER[NO. PON],AKSESORIS[[#This Row],[No.PON]],DATA_MASTER[Qty
(Unit)])</f>
        <v>1</v>
      </c>
      <c r="N213" s="10">
        <f>AKSESORIS[[#This Row],[Total 
(pcs)]]*AKSESORIS[[#This Row],[UNIT]]</f>
        <v>87</v>
      </c>
      <c r="O213" s="9"/>
    </row>
    <row r="214" spans="1:15" ht="13.8" customHeight="1" x14ac:dyDescent="0.3">
      <c r="A214" t="s">
        <v>627</v>
      </c>
      <c r="B214" t="str">
        <f>IFERROR(VLOOKUP(A214,'DATA MASTER'!A:O,2,0)," ")</f>
        <v>Panel Bailey</v>
      </c>
      <c r="C214" s="19" t="str">
        <f>IFERROR(VLOOKUP(A214,'DATA MASTER'!A:O,4,0)," ")</f>
        <v>30 SSR-EW</v>
      </c>
      <c r="D214" s="1"/>
      <c r="E214" s="1"/>
      <c r="F214" s="20" t="s">
        <v>101</v>
      </c>
      <c r="G214" s="20" t="s">
        <v>102</v>
      </c>
      <c r="H214" s="20" t="s">
        <v>143</v>
      </c>
      <c r="I214" s="1">
        <v>213</v>
      </c>
      <c r="J214" s="1">
        <v>88</v>
      </c>
      <c r="K214" s="10">
        <v>3.1</v>
      </c>
      <c r="L214" s="10">
        <f>AKSESORIS[[#This Row],[Total 
(pcs)]]*AKSESORIS[[#This Row],[Berat/pcs
(Kg)]]</f>
        <v>272.8</v>
      </c>
      <c r="M214" s="44">
        <f>SUMIF(DATA_MASTER[NO. PON],AKSESORIS[[#This Row],[No.PON]],DATA_MASTER[Qty
(Unit)])</f>
        <v>3</v>
      </c>
      <c r="N214" s="10">
        <f>AKSESORIS[[#This Row],[Total 
(pcs)]]*AKSESORIS[[#This Row],[UNIT]]</f>
        <v>264</v>
      </c>
      <c r="O214" s="9"/>
    </row>
    <row r="215" spans="1:15" x14ac:dyDescent="0.3">
      <c r="A215" t="s">
        <v>627</v>
      </c>
      <c r="B215" t="str">
        <f>IFERROR(VLOOKUP(A215,'DATA MASTER'!A:O,2,0)," ")</f>
        <v>Panel Bailey</v>
      </c>
      <c r="C215" s="19" t="str">
        <f>IFERROR(VLOOKUP(A215,'DATA MASTER'!A:O,4,0)," ")</f>
        <v>30 SSR-EW</v>
      </c>
      <c r="D215" s="1"/>
      <c r="E215" s="1"/>
      <c r="F215" s="20" t="s">
        <v>904</v>
      </c>
      <c r="G215" s="20" t="s">
        <v>145</v>
      </c>
      <c r="H215" s="20" t="s">
        <v>145</v>
      </c>
      <c r="I215" s="1">
        <v>420</v>
      </c>
      <c r="J215" s="1">
        <v>16</v>
      </c>
      <c r="K215" s="44">
        <v>1.55</v>
      </c>
      <c r="L215" s="10">
        <f>AKSESORIS[[#This Row],[Total 
(pcs)]]*AKSESORIS[[#This Row],[Berat/pcs
(Kg)]]</f>
        <v>24.8</v>
      </c>
      <c r="M215" s="44">
        <f>SUMIF(DATA_MASTER[NO. PON],AKSESORIS[[#This Row],[No.PON]],DATA_MASTER[Qty
(Unit)])</f>
        <v>3</v>
      </c>
      <c r="N215" s="10">
        <f>AKSESORIS[[#This Row],[Total 
(pcs)]]*AKSESORIS[[#This Row],[UNIT]]</f>
        <v>48</v>
      </c>
      <c r="O215" s="9"/>
    </row>
    <row r="216" spans="1:15" x14ac:dyDescent="0.3">
      <c r="A216" t="s">
        <v>697</v>
      </c>
      <c r="B216" t="str">
        <f>IFERROR(VLOOKUP(A216,'DATA MASTER'!A:O,2,0)," ")</f>
        <v>Truss Modullar</v>
      </c>
      <c r="C216" s="19" t="str">
        <f>IFERROR(VLOOKUP(A216,'DATA MASTER'!A:O,4,0)," ")</f>
        <v>RB60</v>
      </c>
      <c r="D216" s="1"/>
      <c r="E216" s="1"/>
      <c r="F216" s="20" t="s">
        <v>904</v>
      </c>
      <c r="G216" s="20" t="s">
        <v>656</v>
      </c>
      <c r="H216" s="20" t="s">
        <v>576</v>
      </c>
      <c r="I216" s="1">
        <v>1000</v>
      </c>
      <c r="J216" s="1">
        <v>4</v>
      </c>
      <c r="K216" s="44">
        <v>6.03</v>
      </c>
      <c r="L216" s="10">
        <f>AKSESORIS[[#This Row],[Total 
(pcs)]]*AKSESORIS[[#This Row],[Berat/pcs
(Kg)]]</f>
        <v>24.12</v>
      </c>
      <c r="M216" s="44">
        <f>SUMIF(DATA_MASTER[NO. PON],AKSESORIS[[#This Row],[No.PON]],DATA_MASTER[Qty
(Unit)])</f>
        <v>1</v>
      </c>
      <c r="N216" s="10">
        <f>AKSESORIS[[#This Row],[Total 
(pcs)]]*AKSESORIS[[#This Row],[UNIT]]</f>
        <v>4</v>
      </c>
      <c r="O216" s="9"/>
    </row>
    <row r="217" spans="1:15" x14ac:dyDescent="0.3">
      <c r="A217" t="s">
        <v>697</v>
      </c>
      <c r="B217" t="str">
        <f>IFERROR(VLOOKUP(A217,'DATA MASTER'!A:O,2,0)," ")</f>
        <v>Truss Modullar</v>
      </c>
      <c r="C217" s="19" t="str">
        <f>IFERROR(VLOOKUP(A217,'DATA MASTER'!A:O,4,0)," ")</f>
        <v>RB60</v>
      </c>
      <c r="D217" s="1"/>
      <c r="E217" s="1"/>
      <c r="F217" s="20" t="s">
        <v>43</v>
      </c>
      <c r="G217" s="20" t="s">
        <v>703</v>
      </c>
      <c r="H217" s="20" t="s">
        <v>707</v>
      </c>
      <c r="J217" s="1">
        <v>72</v>
      </c>
      <c r="K217" s="44">
        <v>10.96</v>
      </c>
      <c r="L217" s="10">
        <f>AKSESORIS[[#This Row],[Total 
(pcs)]]*AKSESORIS[[#This Row],[Berat/pcs
(Kg)]]</f>
        <v>789.12000000000012</v>
      </c>
      <c r="M217" s="44">
        <f>SUMIF(DATA_MASTER[NO. PON],AKSESORIS[[#This Row],[No.PON]],DATA_MASTER[Qty
(Unit)])</f>
        <v>1</v>
      </c>
      <c r="N217" s="10">
        <f>AKSESORIS[[#This Row],[Total 
(pcs)]]*AKSESORIS[[#This Row],[UNIT]]</f>
        <v>72</v>
      </c>
      <c r="O217" s="9"/>
    </row>
    <row r="218" spans="1:15" x14ac:dyDescent="0.3">
      <c r="A218" t="s">
        <v>697</v>
      </c>
      <c r="B218" t="str">
        <f>IFERROR(VLOOKUP(A218,'DATA MASTER'!A:O,2,0)," ")</f>
        <v>Truss Modullar</v>
      </c>
      <c r="C218" s="19" t="str">
        <f>IFERROR(VLOOKUP(A218,'DATA MASTER'!A:O,4,0)," ")</f>
        <v>RB60</v>
      </c>
      <c r="D218" s="1"/>
      <c r="E218" s="1"/>
      <c r="F218" s="20" t="s">
        <v>43</v>
      </c>
      <c r="G218" s="20" t="s">
        <v>704</v>
      </c>
      <c r="H218" s="20" t="s">
        <v>708</v>
      </c>
      <c r="J218" s="1">
        <v>144</v>
      </c>
      <c r="K218" s="44">
        <v>10.66</v>
      </c>
      <c r="L218" s="10">
        <f>AKSESORIS[[#This Row],[Total 
(pcs)]]*AKSESORIS[[#This Row],[Berat/pcs
(Kg)]]</f>
        <v>1535.04</v>
      </c>
      <c r="M218" s="44">
        <f>SUMIF(DATA_MASTER[NO. PON],AKSESORIS[[#This Row],[No.PON]],DATA_MASTER[Qty
(Unit)])</f>
        <v>1</v>
      </c>
      <c r="N218" s="10">
        <f>AKSESORIS[[#This Row],[Total 
(pcs)]]*AKSESORIS[[#This Row],[UNIT]]</f>
        <v>144</v>
      </c>
      <c r="O218" s="9"/>
    </row>
    <row r="219" spans="1:15" x14ac:dyDescent="0.3">
      <c r="A219" t="s">
        <v>697</v>
      </c>
      <c r="B219" t="str">
        <f>IFERROR(VLOOKUP(A219,'DATA MASTER'!A:O,2,0)," ")</f>
        <v>Truss Modullar</v>
      </c>
      <c r="C219" s="19" t="str">
        <f>IFERROR(VLOOKUP(A219,'DATA MASTER'!A:O,4,0)," ")</f>
        <v>RB60</v>
      </c>
      <c r="D219" s="1"/>
      <c r="E219" s="1"/>
      <c r="F219" s="20" t="s">
        <v>43</v>
      </c>
      <c r="G219" s="20" t="s">
        <v>705</v>
      </c>
      <c r="H219" s="20" t="s">
        <v>707</v>
      </c>
      <c r="J219" s="1">
        <v>48</v>
      </c>
      <c r="K219" s="44">
        <v>10.17</v>
      </c>
      <c r="L219" s="10">
        <f>AKSESORIS[[#This Row],[Total 
(pcs)]]*AKSESORIS[[#This Row],[Berat/pcs
(Kg)]]</f>
        <v>488.15999999999997</v>
      </c>
      <c r="M219" s="44">
        <f>SUMIF(DATA_MASTER[NO. PON],AKSESORIS[[#This Row],[No.PON]],DATA_MASTER[Qty
(Unit)])</f>
        <v>1</v>
      </c>
      <c r="N219" s="10">
        <f>AKSESORIS[[#This Row],[Total 
(pcs)]]*AKSESORIS[[#This Row],[UNIT]]</f>
        <v>48</v>
      </c>
      <c r="O219" s="9"/>
    </row>
    <row r="220" spans="1:15" x14ac:dyDescent="0.3">
      <c r="A220" t="s">
        <v>697</v>
      </c>
      <c r="B220" t="str">
        <f>IFERROR(VLOOKUP(A220,'DATA MASTER'!A:O,2,0)," ")</f>
        <v>Truss Modullar</v>
      </c>
      <c r="C220" s="19" t="str">
        <f>IFERROR(VLOOKUP(A220,'DATA MASTER'!A:O,4,0)," ")</f>
        <v>RB60</v>
      </c>
      <c r="D220" s="1"/>
      <c r="E220" s="1"/>
      <c r="F220" s="20" t="s">
        <v>43</v>
      </c>
      <c r="G220" s="20" t="s">
        <v>706</v>
      </c>
      <c r="H220" s="20" t="s">
        <v>708</v>
      </c>
      <c r="J220" s="1">
        <v>96</v>
      </c>
      <c r="K220" s="44">
        <v>9.89</v>
      </c>
      <c r="L220" s="10">
        <f>AKSESORIS[[#This Row],[Total 
(pcs)]]*AKSESORIS[[#This Row],[Berat/pcs
(Kg)]]</f>
        <v>949.44</v>
      </c>
      <c r="M220" s="44">
        <f>SUMIF(DATA_MASTER[NO. PON],AKSESORIS[[#This Row],[No.PON]],DATA_MASTER[Qty
(Unit)])</f>
        <v>1</v>
      </c>
      <c r="N220" s="10">
        <f>AKSESORIS[[#This Row],[Total 
(pcs)]]*AKSESORIS[[#This Row],[UNIT]]</f>
        <v>96</v>
      </c>
      <c r="O220" s="9"/>
    </row>
    <row r="221" spans="1:15" x14ac:dyDescent="0.3">
      <c r="A221" t="s">
        <v>697</v>
      </c>
      <c r="B221" t="str">
        <f>IFERROR(VLOOKUP(A221,'DATA MASTER'!A:O,2,0)," ")</f>
        <v>Truss Modullar</v>
      </c>
      <c r="C221" s="19" t="str">
        <f>IFERROR(VLOOKUP(A221,'DATA MASTER'!A:O,4,0)," ")</f>
        <v>RB60</v>
      </c>
      <c r="D221" s="1"/>
      <c r="E221" s="1"/>
      <c r="F221" s="20" t="s">
        <v>44</v>
      </c>
      <c r="G221" s="20" t="s">
        <v>709</v>
      </c>
      <c r="H221" s="20" t="s">
        <v>728</v>
      </c>
      <c r="J221" s="1">
        <v>4</v>
      </c>
      <c r="K221" s="44">
        <v>53.701242000000001</v>
      </c>
      <c r="L221" s="10">
        <f>AKSESORIS[[#This Row],[Total 
(pcs)]]*AKSESORIS[[#This Row],[Berat/pcs
(Kg)]]</f>
        <v>214.804968</v>
      </c>
      <c r="M221" s="44">
        <f>SUMIF(DATA_MASTER[NO. PON],AKSESORIS[[#This Row],[No.PON]],DATA_MASTER[Qty
(Unit)])</f>
        <v>1</v>
      </c>
      <c r="N221" s="10">
        <f>AKSESORIS[[#This Row],[Total 
(pcs)]]*AKSESORIS[[#This Row],[UNIT]]</f>
        <v>4</v>
      </c>
      <c r="O221" s="9"/>
    </row>
    <row r="222" spans="1:15" x14ac:dyDescent="0.3">
      <c r="A222" t="s">
        <v>697</v>
      </c>
      <c r="B222" t="str">
        <f>IFERROR(VLOOKUP(A222,'DATA MASTER'!A:O,2,0)," ")</f>
        <v>Truss Modullar</v>
      </c>
      <c r="C222" s="19" t="str">
        <f>IFERROR(VLOOKUP(A222,'DATA MASTER'!A:O,4,0)," ")</f>
        <v>RB60</v>
      </c>
      <c r="D222" s="1"/>
      <c r="E222" s="1"/>
      <c r="F222" s="20" t="s">
        <v>44</v>
      </c>
      <c r="G222" s="20" t="s">
        <v>710</v>
      </c>
      <c r="H222" s="20" t="s">
        <v>729</v>
      </c>
      <c r="J222" s="1">
        <v>4</v>
      </c>
      <c r="K222" s="44">
        <v>19.362777000000001</v>
      </c>
      <c r="L222" s="10">
        <f>AKSESORIS[[#This Row],[Total 
(pcs)]]*AKSESORIS[[#This Row],[Berat/pcs
(Kg)]]</f>
        <v>77.451108000000005</v>
      </c>
      <c r="M222" s="44">
        <f>SUMIF(DATA_MASTER[NO. PON],AKSESORIS[[#This Row],[No.PON]],DATA_MASTER[Qty
(Unit)])</f>
        <v>1</v>
      </c>
      <c r="N222" s="10">
        <f>AKSESORIS[[#This Row],[Total 
(pcs)]]*AKSESORIS[[#This Row],[UNIT]]</f>
        <v>4</v>
      </c>
      <c r="O222" s="9"/>
    </row>
    <row r="223" spans="1:15" x14ac:dyDescent="0.3">
      <c r="A223" t="s">
        <v>697</v>
      </c>
      <c r="B223" t="str">
        <f>IFERROR(VLOOKUP(A223,'DATA MASTER'!A:O,2,0)," ")</f>
        <v>Truss Modullar</v>
      </c>
      <c r="C223" s="19" t="str">
        <f>IFERROR(VLOOKUP(A223,'DATA MASTER'!A:O,4,0)," ")</f>
        <v>RB60</v>
      </c>
      <c r="D223" s="1"/>
      <c r="E223" s="1"/>
      <c r="F223" s="20" t="s">
        <v>44</v>
      </c>
      <c r="G223" s="20" t="s">
        <v>711</v>
      </c>
      <c r="H223" s="20" t="s">
        <v>712</v>
      </c>
      <c r="J223" s="1">
        <v>4</v>
      </c>
      <c r="K223" s="44">
        <v>5.9226919999999996</v>
      </c>
      <c r="L223" s="10">
        <f>AKSESORIS[[#This Row],[Total 
(pcs)]]*AKSESORIS[[#This Row],[Berat/pcs
(Kg)]]</f>
        <v>23.690767999999998</v>
      </c>
      <c r="M223" s="44">
        <f>SUMIF(DATA_MASTER[NO. PON],AKSESORIS[[#This Row],[No.PON]],DATA_MASTER[Qty
(Unit)])</f>
        <v>1</v>
      </c>
      <c r="N223" s="10">
        <f>AKSESORIS[[#This Row],[Total 
(pcs)]]*AKSESORIS[[#This Row],[UNIT]]</f>
        <v>4</v>
      </c>
      <c r="O223" s="9"/>
    </row>
    <row r="224" spans="1:15" x14ac:dyDescent="0.3">
      <c r="A224" t="s">
        <v>649</v>
      </c>
      <c r="B224" t="str">
        <f>IFERROR(VLOOKUP(A224,'DATA MASTER'!A:O,2,0)," ")</f>
        <v>SPECER MRT</v>
      </c>
      <c r="C224" s="19" t="str">
        <f>IFERROR(VLOOKUP(A224,'DATA MASTER'!A:O,4,0)," ")</f>
        <v>SPECER MRT</v>
      </c>
      <c r="D224" s="1"/>
      <c r="E224" s="1"/>
      <c r="F224" s="20" t="s">
        <v>655</v>
      </c>
      <c r="G224" s="20" t="s">
        <v>655</v>
      </c>
      <c r="H224" s="20" t="s">
        <v>654</v>
      </c>
      <c r="J224" s="1">
        <v>144</v>
      </c>
      <c r="K224" s="10">
        <v>4.12</v>
      </c>
      <c r="L224" s="10">
        <f>AKSESORIS[[#This Row],[Total 
(pcs)]]*AKSESORIS[[#This Row],[Berat/pcs
(Kg)]]</f>
        <v>593.28</v>
      </c>
      <c r="M224" s="44">
        <f>SUMIF(DATA_MASTER[NO. PON],AKSESORIS[[#This Row],[No.PON]],DATA_MASTER[Qty
(Unit)])</f>
        <v>1</v>
      </c>
      <c r="N224" s="10">
        <f>AKSESORIS[[#This Row],[Total 
(pcs)]]*AKSESORIS[[#This Row],[UNIT]]</f>
        <v>144</v>
      </c>
      <c r="O224" s="9"/>
    </row>
    <row r="225" spans="1:15" x14ac:dyDescent="0.3">
      <c r="A225" t="s">
        <v>649</v>
      </c>
      <c r="B225" t="str">
        <f>IFERROR(VLOOKUP(A225,'DATA MASTER'!A:O,2,0)," ")</f>
        <v>SPECER MRT</v>
      </c>
      <c r="C225" s="19" t="str">
        <f>IFERROR(VLOOKUP(A225,'DATA MASTER'!A:O,4,0)," ")</f>
        <v>SPECER MRT</v>
      </c>
      <c r="D225" s="1"/>
      <c r="E225" s="1"/>
      <c r="F225" s="20" t="s">
        <v>904</v>
      </c>
      <c r="G225" s="20" t="s">
        <v>656</v>
      </c>
      <c r="H225" s="20" t="s">
        <v>657</v>
      </c>
      <c r="I225" s="1">
        <v>650</v>
      </c>
      <c r="J225" s="1">
        <v>136</v>
      </c>
      <c r="K225" s="10">
        <v>2.31</v>
      </c>
      <c r="L225" s="10">
        <f>AKSESORIS[[#This Row],[Total 
(pcs)]]*AKSESORIS[[#This Row],[Berat/pcs
(Kg)]]</f>
        <v>314.16000000000003</v>
      </c>
      <c r="M225" s="44">
        <f>SUMIF(DATA_MASTER[NO. PON],AKSESORIS[[#This Row],[No.PON]],DATA_MASTER[Qty
(Unit)])</f>
        <v>1</v>
      </c>
      <c r="N225" s="10">
        <f>AKSESORIS[[#This Row],[Total 
(pcs)]]*AKSESORIS[[#This Row],[UNIT]]</f>
        <v>136</v>
      </c>
      <c r="O225" s="9"/>
    </row>
    <row r="226" spans="1:15" x14ac:dyDescent="0.3">
      <c r="A226" t="s">
        <v>658</v>
      </c>
      <c r="B226" t="str">
        <f>IFERROR(VLOOKUP(A226,'DATA MASTER'!A:O,2,0)," ")</f>
        <v>SUPPORT BEAM</v>
      </c>
      <c r="C226" s="19" t="str">
        <f>IFERROR(VLOOKUP(A226,'DATA MASTER'!A:O,4,0)," ")</f>
        <v>SB35</v>
      </c>
      <c r="D226" s="1"/>
      <c r="E226" s="1"/>
      <c r="F226" s="20" t="s">
        <v>904</v>
      </c>
      <c r="G226" s="20" t="s">
        <v>656</v>
      </c>
      <c r="H226" s="20" t="s">
        <v>664</v>
      </c>
      <c r="I226" s="1">
        <v>500</v>
      </c>
      <c r="J226" s="1">
        <v>12</v>
      </c>
      <c r="K226" s="44">
        <v>1.65</v>
      </c>
      <c r="L226" s="10">
        <f>AKSESORIS[[#This Row],[Total 
(pcs)]]*AKSESORIS[[#This Row],[Berat/pcs
(Kg)]]</f>
        <v>19.799999999999997</v>
      </c>
      <c r="M226" s="44">
        <f>SUMIF(DATA_MASTER[NO. PON],AKSESORIS[[#This Row],[No.PON]],DATA_MASTER[Qty
(Unit)])</f>
        <v>1</v>
      </c>
      <c r="N226" s="10">
        <f>AKSESORIS[[#This Row],[Total 
(pcs)]]*AKSESORIS[[#This Row],[UNIT]]</f>
        <v>12</v>
      </c>
      <c r="O226" s="9"/>
    </row>
    <row r="227" spans="1:15" x14ac:dyDescent="0.3">
      <c r="A227" t="s">
        <v>685</v>
      </c>
      <c r="B227" t="str">
        <f>IFERROR(VLOOKUP(A227,'DATA MASTER'!A:O,2,0)," ")</f>
        <v>Girder</v>
      </c>
      <c r="C227" s="19" t="str">
        <f>IFERROR(VLOOKUP(A227,'DATA MASTER'!A:O,4,0)," ")</f>
        <v>CG12</v>
      </c>
      <c r="D227" s="1"/>
      <c r="E227" s="1"/>
      <c r="F227" s="20" t="s">
        <v>43</v>
      </c>
      <c r="G227" s="20" t="s">
        <v>713</v>
      </c>
      <c r="H227" s="20" t="s">
        <v>897</v>
      </c>
      <c r="J227" s="1">
        <v>33</v>
      </c>
      <c r="K227" s="44">
        <v>10.94</v>
      </c>
      <c r="L227" s="10">
        <f>AKSESORIS[[#This Row],[Total 
(pcs)]]*AKSESORIS[[#This Row],[Berat/pcs
(Kg)]]</f>
        <v>361.02</v>
      </c>
      <c r="M227" s="44">
        <f>SUMIF(DATA_MASTER[NO. PON],AKSESORIS[[#This Row],[No.PON]],DATA_MASTER[Qty
(Unit)])</f>
        <v>1</v>
      </c>
      <c r="N227" s="10">
        <f>AKSESORIS[[#This Row],[Total 
(pcs)]]*AKSESORIS[[#This Row],[UNIT]]</f>
        <v>33</v>
      </c>
      <c r="O227" s="9"/>
    </row>
    <row r="228" spans="1:15" x14ac:dyDescent="0.3">
      <c r="A228" t="s">
        <v>685</v>
      </c>
      <c r="B228" t="str">
        <f>IFERROR(VLOOKUP(A228,'DATA MASTER'!A:O,2,0)," ")</f>
        <v>Girder</v>
      </c>
      <c r="C228" s="19" t="str">
        <f>IFERROR(VLOOKUP(A228,'DATA MASTER'!A:O,4,0)," ")</f>
        <v>CG12</v>
      </c>
      <c r="D228" s="1"/>
      <c r="E228" s="1"/>
      <c r="F228" s="20" t="s">
        <v>43</v>
      </c>
      <c r="G228" s="20" t="s">
        <v>714</v>
      </c>
      <c r="H228" s="20" t="s">
        <v>898</v>
      </c>
      <c r="J228" s="1">
        <v>3</v>
      </c>
      <c r="K228" s="44">
        <v>7.74</v>
      </c>
      <c r="L228" s="10">
        <f>AKSESORIS[[#This Row],[Total 
(pcs)]]*AKSESORIS[[#This Row],[Berat/pcs
(Kg)]]</f>
        <v>23.22</v>
      </c>
      <c r="M228" s="44">
        <f>SUMIF(DATA_MASTER[NO. PON],AKSESORIS[[#This Row],[No.PON]],DATA_MASTER[Qty
(Unit)])</f>
        <v>1</v>
      </c>
      <c r="N228" s="10">
        <f>AKSESORIS[[#This Row],[Total 
(pcs)]]*AKSESORIS[[#This Row],[UNIT]]</f>
        <v>3</v>
      </c>
      <c r="O228" s="9"/>
    </row>
    <row r="229" spans="1:15" x14ac:dyDescent="0.3">
      <c r="A229" t="s">
        <v>685</v>
      </c>
      <c r="B229" t="str">
        <f>IFERROR(VLOOKUP(A229,'DATA MASTER'!A:O,2,0)," ")</f>
        <v>Girder</v>
      </c>
      <c r="C229" s="19" t="str">
        <f>IFERROR(VLOOKUP(A229,'DATA MASTER'!A:O,4,0)," ")</f>
        <v>CG12</v>
      </c>
      <c r="D229" s="1"/>
      <c r="E229" s="1"/>
      <c r="F229" s="20" t="s">
        <v>43</v>
      </c>
      <c r="G229" s="20" t="s">
        <v>715</v>
      </c>
      <c r="H229" s="20" t="s">
        <v>898</v>
      </c>
      <c r="J229" s="1">
        <v>3</v>
      </c>
      <c r="K229" s="44">
        <v>7.74</v>
      </c>
      <c r="L229" s="10">
        <f>AKSESORIS[[#This Row],[Total 
(pcs)]]*AKSESORIS[[#This Row],[Berat/pcs
(Kg)]]</f>
        <v>23.22</v>
      </c>
      <c r="M229" s="44">
        <f>SUMIF(DATA_MASTER[NO. PON],AKSESORIS[[#This Row],[No.PON]],DATA_MASTER[Qty
(Unit)])</f>
        <v>1</v>
      </c>
      <c r="N229" s="10">
        <f>AKSESORIS[[#This Row],[Total 
(pcs)]]*AKSESORIS[[#This Row],[UNIT]]</f>
        <v>3</v>
      </c>
      <c r="O229" s="9"/>
    </row>
    <row r="230" spans="1:15" x14ac:dyDescent="0.3">
      <c r="A230" t="s">
        <v>685</v>
      </c>
      <c r="B230" t="str">
        <f>IFERROR(VLOOKUP(A230,'DATA MASTER'!A:O,2,0)," ")</f>
        <v>Girder</v>
      </c>
      <c r="C230" s="19" t="str">
        <f>IFERROR(VLOOKUP(A230,'DATA MASTER'!A:O,4,0)," ")</f>
        <v>CG12</v>
      </c>
      <c r="D230" s="1"/>
      <c r="E230" s="1"/>
      <c r="F230" s="20" t="s">
        <v>43</v>
      </c>
      <c r="G230" s="20" t="s">
        <v>716</v>
      </c>
      <c r="H230" s="20" t="s">
        <v>436</v>
      </c>
      <c r="J230" s="1">
        <v>8</v>
      </c>
      <c r="K230" s="44">
        <v>12.313932000000001</v>
      </c>
      <c r="L230" s="10">
        <f>AKSESORIS[[#This Row],[Total 
(pcs)]]*AKSESORIS[[#This Row],[Berat/pcs
(Kg)]]</f>
        <v>98.51145600000001</v>
      </c>
      <c r="M230" s="44">
        <f>SUMIF(DATA_MASTER[NO. PON],AKSESORIS[[#This Row],[No.PON]],DATA_MASTER[Qty
(Unit)])</f>
        <v>1</v>
      </c>
      <c r="N230" s="10">
        <f>AKSESORIS[[#This Row],[Total 
(pcs)]]*AKSESORIS[[#This Row],[UNIT]]</f>
        <v>8</v>
      </c>
      <c r="O230" s="9"/>
    </row>
    <row r="231" spans="1:15" x14ac:dyDescent="0.3">
      <c r="A231" t="s">
        <v>685</v>
      </c>
      <c r="B231" t="str">
        <f>IFERROR(VLOOKUP(A231,'DATA MASTER'!A:O,2,0)," ")</f>
        <v>Girder</v>
      </c>
      <c r="C231" s="19" t="str">
        <f>IFERROR(VLOOKUP(A231,'DATA MASTER'!A:O,4,0)," ")</f>
        <v>CG12</v>
      </c>
      <c r="D231" s="1"/>
      <c r="E231" s="1"/>
      <c r="F231" s="20" t="s">
        <v>43</v>
      </c>
      <c r="G231" s="20" t="s">
        <v>717</v>
      </c>
      <c r="H231" s="20" t="s">
        <v>62</v>
      </c>
      <c r="J231" s="1">
        <v>4</v>
      </c>
      <c r="K231" s="44">
        <v>3.438072</v>
      </c>
      <c r="L231" s="10">
        <f>AKSESORIS[[#This Row],[Total 
(pcs)]]*AKSESORIS[[#This Row],[Berat/pcs
(Kg)]]</f>
        <v>13.752288</v>
      </c>
      <c r="M231" s="44">
        <f>SUMIF(DATA_MASTER[NO. PON],AKSESORIS[[#This Row],[No.PON]],DATA_MASTER[Qty
(Unit)])</f>
        <v>1</v>
      </c>
      <c r="N231" s="10">
        <f>AKSESORIS[[#This Row],[Total 
(pcs)]]*AKSESORIS[[#This Row],[UNIT]]</f>
        <v>4</v>
      </c>
      <c r="O231" s="9"/>
    </row>
    <row r="232" spans="1:15" x14ac:dyDescent="0.3">
      <c r="A232" t="s">
        <v>685</v>
      </c>
      <c r="B232" t="str">
        <f>IFERROR(VLOOKUP(A232,'DATA MASTER'!A:O,2,0)," ")</f>
        <v>Girder</v>
      </c>
      <c r="C232" s="19" t="str">
        <f>IFERROR(VLOOKUP(A232,'DATA MASTER'!A:O,4,0)," ")</f>
        <v>CG12</v>
      </c>
      <c r="D232" s="1"/>
      <c r="E232" s="1"/>
      <c r="F232" s="20" t="s">
        <v>904</v>
      </c>
      <c r="G232" s="20" t="s">
        <v>53</v>
      </c>
      <c r="H232" s="20" t="s">
        <v>53</v>
      </c>
      <c r="I232" s="1">
        <v>420</v>
      </c>
      <c r="J232" s="1">
        <v>16</v>
      </c>
      <c r="K232" s="44">
        <v>1.55</v>
      </c>
      <c r="L232" s="10">
        <f>AKSESORIS[[#This Row],[Total 
(pcs)]]*AKSESORIS[[#This Row],[Berat/pcs
(Kg)]]</f>
        <v>24.8</v>
      </c>
      <c r="M232" s="44">
        <f>SUMIF(DATA_MASTER[NO. PON],AKSESORIS[[#This Row],[No.PON]],DATA_MASTER[Qty
(Unit)])</f>
        <v>1</v>
      </c>
      <c r="N232" s="10">
        <f>AKSESORIS[[#This Row],[Total 
(pcs)]]*AKSESORIS[[#This Row],[UNIT]]</f>
        <v>16</v>
      </c>
      <c r="O232" s="9"/>
    </row>
    <row r="233" spans="1:15" x14ac:dyDescent="0.3">
      <c r="A233" t="s">
        <v>685</v>
      </c>
      <c r="B233" t="str">
        <f>IFERROR(VLOOKUP(A233,'DATA MASTER'!A:O,2,0)," ")</f>
        <v>Girder</v>
      </c>
      <c r="C233" s="19" t="str">
        <f>IFERROR(VLOOKUP(A233,'DATA MASTER'!A:O,4,0)," ")</f>
        <v>CG12</v>
      </c>
      <c r="D233" s="1"/>
      <c r="E233" s="1"/>
      <c r="F233" s="20" t="s">
        <v>54</v>
      </c>
      <c r="G233" s="20" t="s">
        <v>55</v>
      </c>
      <c r="H233" s="20" t="s">
        <v>55</v>
      </c>
      <c r="I233" s="1">
        <v>185</v>
      </c>
      <c r="J233" s="1">
        <v>56</v>
      </c>
      <c r="K233" s="44">
        <v>0.21</v>
      </c>
      <c r="L233" s="10">
        <f>AKSESORIS[[#This Row],[Total 
(pcs)]]*AKSESORIS[[#This Row],[Berat/pcs
(Kg)]]</f>
        <v>11.76</v>
      </c>
      <c r="M233" s="44">
        <f>SUMIF(DATA_MASTER[NO. PON],AKSESORIS[[#This Row],[No.PON]],DATA_MASTER[Qty
(Unit)])</f>
        <v>1</v>
      </c>
      <c r="N233" s="10">
        <f>AKSESORIS[[#This Row],[Total 
(pcs)]]*AKSESORIS[[#This Row],[UNIT]]</f>
        <v>56</v>
      </c>
      <c r="O233" s="9"/>
    </row>
    <row r="234" spans="1:15" x14ac:dyDescent="0.3">
      <c r="A234" t="s">
        <v>685</v>
      </c>
      <c r="B234" t="str">
        <f>IFERROR(VLOOKUP(A234,'DATA MASTER'!A:O,2,0)," ")</f>
        <v>Girder</v>
      </c>
      <c r="C234" s="19" t="str">
        <f>IFERROR(VLOOKUP(A234,'DATA MASTER'!A:O,4,0)," ")</f>
        <v>CG12</v>
      </c>
      <c r="D234" s="1"/>
      <c r="E234" s="1"/>
      <c r="F234" s="20" t="s">
        <v>56</v>
      </c>
      <c r="G234" s="20" t="s">
        <v>58</v>
      </c>
      <c r="H234" s="20" t="s">
        <v>57</v>
      </c>
      <c r="I234" s="1" t="s">
        <v>903</v>
      </c>
      <c r="J234" s="1">
        <v>56</v>
      </c>
      <c r="K234" s="10">
        <v>0.33</v>
      </c>
      <c r="L234" s="10">
        <f>AKSESORIS[[#This Row],[Total 
(pcs)]]*AKSESORIS[[#This Row],[Berat/pcs
(Kg)]]</f>
        <v>18.48</v>
      </c>
      <c r="M234" s="44">
        <f>SUMIF(DATA_MASTER[NO. PON],AKSESORIS[[#This Row],[No.PON]],DATA_MASTER[Qty
(Unit)])</f>
        <v>1</v>
      </c>
      <c r="N234" s="10">
        <f>AKSESORIS[[#This Row],[Total 
(pcs)]]*AKSESORIS[[#This Row],[UNIT]]</f>
        <v>56</v>
      </c>
      <c r="O234" s="9"/>
    </row>
    <row r="235" spans="1:15" x14ac:dyDescent="0.3">
      <c r="A235" t="s">
        <v>1185</v>
      </c>
      <c r="B235" t="str">
        <f>IFERROR(VLOOKUP(A235,'DATA MASTER'!A:O,2,0)," ")</f>
        <v>Jembatan Gantung</v>
      </c>
      <c r="C235" s="19" t="str">
        <f>IFERROR(VLOOKUP(A235,'DATA MASTER'!A:O,4,0)," ")</f>
        <v>JG360_TAHAP I</v>
      </c>
      <c r="D235" s="1"/>
      <c r="E235" s="1"/>
      <c r="F235" s="20" t="s">
        <v>921</v>
      </c>
      <c r="G235" s="20" t="s">
        <v>694</v>
      </c>
      <c r="H235" s="20" t="s">
        <v>695</v>
      </c>
      <c r="I235" s="1">
        <v>1781</v>
      </c>
      <c r="J235" s="1">
        <v>128</v>
      </c>
      <c r="K235" s="10">
        <v>17.059999999999999</v>
      </c>
      <c r="L235" s="16">
        <f>AKSESORIS[[#This Row],[Total 
(pcs)]]*AKSESORIS[[#This Row],[Berat/pcs
(Kg)]]</f>
        <v>2183.6799999999998</v>
      </c>
      <c r="M235" s="44">
        <f>SUMIF(DATA_MASTER[NO. PON],AKSESORIS[[#This Row],[No.PON]],DATA_MASTER[Qty
(Unit)])</f>
        <v>1</v>
      </c>
      <c r="N235" s="10">
        <f>AKSESORIS[[#This Row],[Total 
(pcs)]]*AKSESORIS[[#This Row],[UNIT]]</f>
        <v>128</v>
      </c>
      <c r="O235" s="9"/>
    </row>
    <row r="236" spans="1:15" x14ac:dyDescent="0.3">
      <c r="A236" t="s">
        <v>1185</v>
      </c>
      <c r="B236" t="str">
        <f>IFERROR(VLOOKUP(A236,'DATA MASTER'!A:O,2,0)," ")</f>
        <v>Jembatan Gantung</v>
      </c>
      <c r="C236" s="19" t="str">
        <f>IFERROR(VLOOKUP(A236,'DATA MASTER'!A:O,4,0)," ")</f>
        <v>JG360_TAHAP I</v>
      </c>
      <c r="D236" s="1"/>
      <c r="E236" s="1"/>
      <c r="F236" s="20" t="s">
        <v>881</v>
      </c>
      <c r="G236" s="20" t="s">
        <v>746</v>
      </c>
      <c r="H236" s="20" t="s">
        <v>748</v>
      </c>
      <c r="J236" s="1">
        <v>12</v>
      </c>
      <c r="K236" s="10">
        <v>208.2</v>
      </c>
      <c r="L236" s="16">
        <f>AKSESORIS[[#This Row],[Total 
(pcs)]]*AKSESORIS[[#This Row],[Berat/pcs
(Kg)]]</f>
        <v>2498.3999999999996</v>
      </c>
      <c r="M236" s="44">
        <f>SUMIF(DATA_MASTER[NO. PON],AKSESORIS[[#This Row],[No.PON]],DATA_MASTER[Qty
(Unit)])</f>
        <v>1</v>
      </c>
      <c r="N236" s="10">
        <f>AKSESORIS[[#This Row],[Total 
(pcs)]]*AKSESORIS[[#This Row],[UNIT]]</f>
        <v>12</v>
      </c>
      <c r="O236" s="9"/>
    </row>
    <row r="237" spans="1:15" x14ac:dyDescent="0.3">
      <c r="A237" t="s">
        <v>1185</v>
      </c>
      <c r="B237" t="str">
        <f>IFERROR(VLOOKUP(A237,'DATA MASTER'!A:O,2,0)," ")</f>
        <v>Jembatan Gantung</v>
      </c>
      <c r="C237" s="19" t="str">
        <f>IFERROR(VLOOKUP(A237,'DATA MASTER'!A:O,4,0)," ")</f>
        <v>JG360_TAHAP I</v>
      </c>
      <c r="D237" s="1"/>
      <c r="E237" s="1"/>
      <c r="F237" s="20" t="s">
        <v>882</v>
      </c>
      <c r="G237" s="20" t="s">
        <v>747</v>
      </c>
      <c r="H237" s="20" t="s">
        <v>749</v>
      </c>
      <c r="J237" s="1">
        <v>12</v>
      </c>
      <c r="K237" s="10">
        <v>539.73</v>
      </c>
      <c r="L237" s="16">
        <f>AKSESORIS[[#This Row],[Total 
(pcs)]]*AKSESORIS[[#This Row],[Berat/pcs
(Kg)]]</f>
        <v>6476.76</v>
      </c>
      <c r="M237" s="44">
        <f>SUMIF(DATA_MASTER[NO. PON],AKSESORIS[[#This Row],[No.PON]],DATA_MASTER[Qty
(Unit)])</f>
        <v>1</v>
      </c>
      <c r="N237" s="10">
        <f>AKSESORIS[[#This Row],[Total 
(pcs)]]*AKSESORIS[[#This Row],[UNIT]]</f>
        <v>12</v>
      </c>
      <c r="O237" s="9"/>
    </row>
    <row r="238" spans="1:15" x14ac:dyDescent="0.3">
      <c r="A238" t="s">
        <v>1185</v>
      </c>
      <c r="B238" t="str">
        <f>IFERROR(VLOOKUP(A238,'DATA MASTER'!A:O,2,0)," ")</f>
        <v>Jembatan Gantung</v>
      </c>
      <c r="C238" s="19" t="str">
        <f>IFERROR(VLOOKUP(A238,'DATA MASTER'!A:O,4,0)," ")</f>
        <v>JG360_TAHAP I</v>
      </c>
      <c r="D238" s="1"/>
      <c r="E238" s="1"/>
      <c r="F238" s="20" t="s">
        <v>101</v>
      </c>
      <c r="G238" s="20" t="s">
        <v>1161</v>
      </c>
      <c r="H238" s="20" t="s">
        <v>816</v>
      </c>
      <c r="I238" s="1">
        <v>150</v>
      </c>
      <c r="J238" s="1">
        <v>28</v>
      </c>
      <c r="K238" s="10">
        <v>3.44</v>
      </c>
      <c r="L238" s="16">
        <f>AKSESORIS[[#This Row],[Total 
(pcs)]]*AKSESORIS[[#This Row],[Berat/pcs
(Kg)]]</f>
        <v>96.32</v>
      </c>
      <c r="M238" s="44">
        <f>SUMIF(DATA_MASTER[NO. PON],AKSESORIS[[#This Row],[No.PON]],DATA_MASTER[Qty
(Unit)])</f>
        <v>1</v>
      </c>
      <c r="N238" s="10">
        <f>AKSESORIS[[#This Row],[Total 
(pcs)]]*AKSESORIS[[#This Row],[UNIT]]</f>
        <v>28</v>
      </c>
      <c r="O238" s="9"/>
    </row>
    <row r="239" spans="1:15" x14ac:dyDescent="0.3">
      <c r="A239" t="s">
        <v>1185</v>
      </c>
      <c r="B239" t="str">
        <f>IFERROR(VLOOKUP(A239,'DATA MASTER'!A:O,2,0)," ")</f>
        <v>Jembatan Gantung</v>
      </c>
      <c r="C239" s="19" t="str">
        <f>IFERROR(VLOOKUP(A239,'DATA MASTER'!A:O,4,0)," ")</f>
        <v>JG360_TAHAP I</v>
      </c>
      <c r="D239" s="1"/>
      <c r="E239" s="1"/>
      <c r="F239" s="20" t="s">
        <v>101</v>
      </c>
      <c r="G239" s="20" t="s">
        <v>1162</v>
      </c>
      <c r="H239" s="20" t="s">
        <v>816</v>
      </c>
      <c r="I239" s="1">
        <v>150</v>
      </c>
      <c r="J239" s="1">
        <v>28</v>
      </c>
      <c r="K239" s="10">
        <v>3.44</v>
      </c>
      <c r="L239" s="16">
        <f>AKSESORIS[[#This Row],[Total 
(pcs)]]*AKSESORIS[[#This Row],[Berat/pcs
(Kg)]]</f>
        <v>96.32</v>
      </c>
      <c r="M239" s="44">
        <f>SUMIF(DATA_MASTER[NO. PON],AKSESORIS[[#This Row],[No.PON]],DATA_MASTER[Qty
(Unit)])</f>
        <v>1</v>
      </c>
      <c r="N239" s="10">
        <f>AKSESORIS[[#This Row],[Total 
(pcs)]]*AKSESORIS[[#This Row],[UNIT]]</f>
        <v>28</v>
      </c>
      <c r="O239" s="9"/>
    </row>
    <row r="240" spans="1:15" x14ac:dyDescent="0.3">
      <c r="A240" t="s">
        <v>1185</v>
      </c>
      <c r="B240" t="str">
        <f>IFERROR(VLOOKUP(A240,'DATA MASTER'!A:O,2,0)," ")</f>
        <v>Jembatan Gantung</v>
      </c>
      <c r="C240" s="19" t="str">
        <f>IFERROR(VLOOKUP(A240,'DATA MASTER'!A:O,4,0)," ")</f>
        <v>JG360_TAHAP I</v>
      </c>
      <c r="D240" s="1"/>
      <c r="E240" s="1"/>
      <c r="F240" s="20" t="s">
        <v>101</v>
      </c>
      <c r="G240" s="20" t="s">
        <v>1163</v>
      </c>
      <c r="H240" s="20" t="s">
        <v>1166</v>
      </c>
      <c r="I240" s="1">
        <v>160</v>
      </c>
      <c r="J240" s="1">
        <v>14</v>
      </c>
      <c r="K240" s="10">
        <v>10.49</v>
      </c>
      <c r="L240" s="16">
        <f>AKSESORIS[[#This Row],[Total 
(pcs)]]*AKSESORIS[[#This Row],[Berat/pcs
(Kg)]]</f>
        <v>146.86000000000001</v>
      </c>
      <c r="M240" s="44">
        <f>SUMIF(DATA_MASTER[NO. PON],AKSESORIS[[#This Row],[No.PON]],DATA_MASTER[Qty
(Unit)])</f>
        <v>1</v>
      </c>
      <c r="N240" s="10">
        <f>AKSESORIS[[#This Row],[Total 
(pcs)]]*AKSESORIS[[#This Row],[UNIT]]</f>
        <v>14</v>
      </c>
      <c r="O240" s="9"/>
    </row>
    <row r="241" spans="1:15" x14ac:dyDescent="0.3">
      <c r="A241" t="s">
        <v>1185</v>
      </c>
      <c r="B241" t="str">
        <f>IFERROR(VLOOKUP(A241,'DATA MASTER'!A:O,2,0)," ")</f>
        <v>Jembatan Gantung</v>
      </c>
      <c r="C241" s="19" t="str">
        <f>IFERROR(VLOOKUP(A241,'DATA MASTER'!A:O,4,0)," ")</f>
        <v>JG360_TAHAP I</v>
      </c>
      <c r="D241" s="1"/>
      <c r="E241" s="1"/>
      <c r="F241" s="20" t="s">
        <v>101</v>
      </c>
      <c r="G241" s="20" t="s">
        <v>1164</v>
      </c>
      <c r="H241" s="20" t="s">
        <v>1166</v>
      </c>
      <c r="I241" s="1">
        <v>160</v>
      </c>
      <c r="J241" s="1">
        <v>14</v>
      </c>
      <c r="K241" s="10">
        <v>10.49</v>
      </c>
      <c r="L241" s="16">
        <f>AKSESORIS[[#This Row],[Total 
(pcs)]]*AKSESORIS[[#This Row],[Berat/pcs
(Kg)]]</f>
        <v>146.86000000000001</v>
      </c>
      <c r="M241" s="44">
        <f>SUMIF(DATA_MASTER[NO. PON],AKSESORIS[[#This Row],[No.PON]],DATA_MASTER[Qty
(Unit)])</f>
        <v>1</v>
      </c>
      <c r="N241" s="10">
        <f>AKSESORIS[[#This Row],[Total 
(pcs)]]*AKSESORIS[[#This Row],[UNIT]]</f>
        <v>14</v>
      </c>
      <c r="O241" s="9"/>
    </row>
    <row r="242" spans="1:15" x14ac:dyDescent="0.3">
      <c r="A242" t="s">
        <v>1185</v>
      </c>
      <c r="B242" t="str">
        <f>IFERROR(VLOOKUP(A242,'DATA MASTER'!A:O,2,0)," ")</f>
        <v>Jembatan Gantung</v>
      </c>
      <c r="C242" s="19" t="str">
        <f>IFERROR(VLOOKUP(A242,'DATA MASTER'!A:O,4,0)," ")</f>
        <v>JG360_TAHAP I</v>
      </c>
      <c r="D242" s="1"/>
      <c r="E242" s="1"/>
      <c r="F242" s="20" t="s">
        <v>889</v>
      </c>
      <c r="G242" s="20" t="s">
        <v>1165</v>
      </c>
      <c r="H242" s="20" t="s">
        <v>1167</v>
      </c>
      <c r="I242" s="1">
        <v>250</v>
      </c>
      <c r="J242" s="1">
        <v>28</v>
      </c>
      <c r="K242" s="10">
        <v>71.010000000000005</v>
      </c>
      <c r="L242" s="16">
        <f>AKSESORIS[[#This Row],[Total 
(pcs)]]*AKSESORIS[[#This Row],[Berat/pcs
(Kg)]]</f>
        <v>1988.2800000000002</v>
      </c>
      <c r="M242" s="44">
        <f>SUMIF(DATA_MASTER[NO. PON],AKSESORIS[[#This Row],[No.PON]],DATA_MASTER[Qty
(Unit)])</f>
        <v>1</v>
      </c>
      <c r="N242" s="10">
        <f>AKSESORIS[[#This Row],[Total 
(pcs)]]*AKSESORIS[[#This Row],[UNIT]]</f>
        <v>28</v>
      </c>
      <c r="O242" s="9"/>
    </row>
    <row r="243" spans="1:15" x14ac:dyDescent="0.3">
      <c r="A243" t="s">
        <v>935</v>
      </c>
      <c r="B243" t="str">
        <f>IFERROR(VLOOKUP(A243,'DATA MASTER'!A:O,2,0)," ")</f>
        <v>Girder</v>
      </c>
      <c r="C243" s="19" t="str">
        <f>IFERROR(VLOOKUP(A243,'DATA MASTER'!A:O,4,0)," ")</f>
        <v>GB30</v>
      </c>
      <c r="D243" s="1"/>
      <c r="E243" s="1"/>
      <c r="F243" s="20" t="s">
        <v>44</v>
      </c>
      <c r="G243" s="20" t="s">
        <v>570</v>
      </c>
      <c r="H243" s="20" t="s">
        <v>540</v>
      </c>
      <c r="J243" s="1">
        <v>10</v>
      </c>
      <c r="K243" s="44">
        <v>17.534727</v>
      </c>
      <c r="L243" s="16">
        <f>AKSESORIS[[#This Row],[Total 
(pcs)]]*AKSESORIS[[#This Row],[Berat/pcs
(Kg)]]</f>
        <v>175.34727000000001</v>
      </c>
      <c r="M243" s="44">
        <f>SUMIF(DATA_MASTER[NO. PON],AKSESORIS[[#This Row],[No.PON]],DATA_MASTER[Qty
(Unit)])</f>
        <v>1</v>
      </c>
      <c r="N243" s="10">
        <f>AKSESORIS[[#This Row],[Total 
(pcs)]]*AKSESORIS[[#This Row],[UNIT]]</f>
        <v>10</v>
      </c>
      <c r="O243" s="9"/>
    </row>
    <row r="244" spans="1:15" x14ac:dyDescent="0.3">
      <c r="A244" t="s">
        <v>935</v>
      </c>
      <c r="B244" t="str">
        <f>IFERROR(VLOOKUP(A244,'DATA MASTER'!A:O,2,0)," ")</f>
        <v>Girder</v>
      </c>
      <c r="C244" s="19" t="str">
        <f>IFERROR(VLOOKUP(A244,'DATA MASTER'!A:O,4,0)," ")</f>
        <v>GB30</v>
      </c>
      <c r="D244" s="1"/>
      <c r="E244" s="1"/>
      <c r="F244" s="20" t="s">
        <v>44</v>
      </c>
      <c r="G244" s="20" t="s">
        <v>571</v>
      </c>
      <c r="H244" s="20" t="s">
        <v>62</v>
      </c>
      <c r="J244" s="1">
        <v>4</v>
      </c>
      <c r="K244" s="44">
        <v>3.438072</v>
      </c>
      <c r="L244" s="16">
        <f>AKSESORIS[[#This Row],[Total 
(pcs)]]*AKSESORIS[[#This Row],[Berat/pcs
(Kg)]]</f>
        <v>13.752288</v>
      </c>
      <c r="M244" s="44">
        <f>SUMIF(DATA_MASTER[NO. PON],AKSESORIS[[#This Row],[No.PON]],DATA_MASTER[Qty
(Unit)])</f>
        <v>1</v>
      </c>
      <c r="N244" s="10">
        <f>AKSESORIS[[#This Row],[Total 
(pcs)]]*AKSESORIS[[#This Row],[UNIT]]</f>
        <v>4</v>
      </c>
      <c r="O244" s="9"/>
    </row>
    <row r="245" spans="1:15" x14ac:dyDescent="0.3">
      <c r="A245" t="s">
        <v>935</v>
      </c>
      <c r="B245" t="str">
        <f>IFERROR(VLOOKUP(A245,'DATA MASTER'!A:O,2,0)," ")</f>
        <v>Girder</v>
      </c>
      <c r="C245" s="19" t="str">
        <f>IFERROR(VLOOKUP(A245,'DATA MASTER'!A:O,4,0)," ")</f>
        <v>GB30</v>
      </c>
      <c r="D245" s="1"/>
      <c r="E245" s="1"/>
      <c r="F245" s="20" t="s">
        <v>904</v>
      </c>
      <c r="G245" s="20" t="s">
        <v>53</v>
      </c>
      <c r="H245" s="20" t="s">
        <v>53</v>
      </c>
      <c r="I245" s="1">
        <v>420</v>
      </c>
      <c r="J245" s="1">
        <v>20</v>
      </c>
      <c r="K245" s="44">
        <v>1.55</v>
      </c>
      <c r="L245" s="16">
        <f>AKSESORIS[[#This Row],[Total 
(pcs)]]*AKSESORIS[[#This Row],[Berat/pcs
(Kg)]]</f>
        <v>31</v>
      </c>
      <c r="M245" s="44">
        <f>SUMIF(DATA_MASTER[NO. PON],AKSESORIS[[#This Row],[No.PON]],DATA_MASTER[Qty
(Unit)])</f>
        <v>1</v>
      </c>
      <c r="N245" s="10">
        <f>AKSESORIS[[#This Row],[Total 
(pcs)]]*AKSESORIS[[#This Row],[UNIT]]</f>
        <v>20</v>
      </c>
      <c r="O245" s="9"/>
    </row>
    <row r="246" spans="1:15" x14ac:dyDescent="0.3">
      <c r="A246" t="s">
        <v>935</v>
      </c>
      <c r="B246" t="str">
        <f>IFERROR(VLOOKUP(A246,'DATA MASTER'!A:O,2,0)," ")</f>
        <v>Girder</v>
      </c>
      <c r="C246" s="19" t="str">
        <f>IFERROR(VLOOKUP(A246,'DATA MASTER'!A:O,4,0)," ")</f>
        <v>GB30</v>
      </c>
      <c r="D246" s="1"/>
      <c r="E246" s="1"/>
      <c r="F246" s="20" t="s">
        <v>54</v>
      </c>
      <c r="G246" s="20" t="s">
        <v>55</v>
      </c>
      <c r="H246" s="20" t="s">
        <v>55</v>
      </c>
      <c r="I246" s="1">
        <v>185</v>
      </c>
      <c r="J246" s="1">
        <v>128</v>
      </c>
      <c r="K246" s="44">
        <v>0.21</v>
      </c>
      <c r="L246" s="16">
        <f>AKSESORIS[[#This Row],[Total 
(pcs)]]*AKSESORIS[[#This Row],[Berat/pcs
(Kg)]]</f>
        <v>26.88</v>
      </c>
      <c r="M246" s="44">
        <f>SUMIF(DATA_MASTER[NO. PON],AKSESORIS[[#This Row],[No.PON]],DATA_MASTER[Qty
(Unit)])</f>
        <v>1</v>
      </c>
      <c r="N246" s="10">
        <f>AKSESORIS[[#This Row],[Total 
(pcs)]]*AKSESORIS[[#This Row],[UNIT]]</f>
        <v>128</v>
      </c>
      <c r="O246" s="9"/>
    </row>
    <row r="247" spans="1:15" x14ac:dyDescent="0.3">
      <c r="A247" t="s">
        <v>935</v>
      </c>
      <c r="B247" t="str">
        <f>IFERROR(VLOOKUP(A247,'DATA MASTER'!A:O,2,0)," ")</f>
        <v>Girder</v>
      </c>
      <c r="C247" s="19" t="str">
        <f>IFERROR(VLOOKUP(A247,'DATA MASTER'!A:O,4,0)," ")</f>
        <v>GB30</v>
      </c>
      <c r="D247" s="1"/>
      <c r="E247" s="1"/>
      <c r="F247" s="20" t="s">
        <v>56</v>
      </c>
      <c r="G247" s="20" t="s">
        <v>58</v>
      </c>
      <c r="H247" s="20" t="s">
        <v>57</v>
      </c>
      <c r="I247" s="1" t="s">
        <v>903</v>
      </c>
      <c r="J247" s="1">
        <v>128</v>
      </c>
      <c r="K247" s="10">
        <v>0.33</v>
      </c>
      <c r="L247" s="16">
        <f>AKSESORIS[[#This Row],[Total 
(pcs)]]*AKSESORIS[[#This Row],[Berat/pcs
(Kg)]]</f>
        <v>42.24</v>
      </c>
      <c r="M247" s="44">
        <f>SUMIF(DATA_MASTER[NO. PON],AKSESORIS[[#This Row],[No.PON]],DATA_MASTER[Qty
(Unit)])</f>
        <v>1</v>
      </c>
      <c r="N247" s="10">
        <f>AKSESORIS[[#This Row],[Total 
(pcs)]]*AKSESORIS[[#This Row],[UNIT]]</f>
        <v>128</v>
      </c>
      <c r="O247" s="9"/>
    </row>
    <row r="248" spans="1:15" x14ac:dyDescent="0.3">
      <c r="A248" t="s">
        <v>935</v>
      </c>
      <c r="B248" t="str">
        <f>IFERROR(VLOOKUP(A248,'DATA MASTER'!A:O,2,0)," ")</f>
        <v>Girder</v>
      </c>
      <c r="C248" s="19" t="str">
        <f>IFERROR(VLOOKUP(A248,'DATA MASTER'!A:O,4,0)," ")</f>
        <v>GB30</v>
      </c>
      <c r="D248" s="1"/>
      <c r="E248" s="1"/>
      <c r="F248" s="20" t="s">
        <v>43</v>
      </c>
      <c r="G248" s="20" t="s">
        <v>939</v>
      </c>
      <c r="H248" s="20" t="s">
        <v>941</v>
      </c>
      <c r="I248" s="1">
        <v>1440</v>
      </c>
      <c r="J248" s="1">
        <v>116</v>
      </c>
      <c r="K248" s="44">
        <v>10.64</v>
      </c>
      <c r="L248" s="16">
        <f>AKSESORIS[[#This Row],[Total 
(pcs)]]*AKSESORIS[[#This Row],[Berat/pcs
(Kg)]]</f>
        <v>1234.24</v>
      </c>
      <c r="M248" s="44">
        <f>SUMIF(DATA_MASTER[NO. PON],AKSESORIS[[#This Row],[No.PON]],DATA_MASTER[Qty
(Unit)])</f>
        <v>1</v>
      </c>
      <c r="N248" s="10">
        <f>AKSESORIS[[#This Row],[Total 
(pcs)]]*AKSESORIS[[#This Row],[UNIT]]</f>
        <v>116</v>
      </c>
      <c r="O248" s="9"/>
    </row>
    <row r="249" spans="1:15" x14ac:dyDescent="0.3">
      <c r="A249" t="s">
        <v>935</v>
      </c>
      <c r="B249" t="str">
        <f>IFERROR(VLOOKUP(A249,'DATA MASTER'!A:O,2,0)," ")</f>
        <v>Girder</v>
      </c>
      <c r="C249" s="19" t="str">
        <f>IFERROR(VLOOKUP(A249,'DATA MASTER'!A:O,4,0)," ")</f>
        <v>GB30</v>
      </c>
      <c r="D249" s="1"/>
      <c r="E249" s="1"/>
      <c r="F249" s="20" t="s">
        <v>43</v>
      </c>
      <c r="G249" s="20" t="s">
        <v>940</v>
      </c>
      <c r="H249" s="20" t="s">
        <v>942</v>
      </c>
      <c r="I249" s="1">
        <v>1440</v>
      </c>
      <c r="J249" s="1">
        <v>8</v>
      </c>
      <c r="K249" s="44">
        <v>7.52</v>
      </c>
      <c r="L249" s="16">
        <f>AKSESORIS[[#This Row],[Total 
(pcs)]]*AKSESORIS[[#This Row],[Berat/pcs
(Kg)]]</f>
        <v>60.16</v>
      </c>
      <c r="M249" s="44">
        <f>SUMIF(DATA_MASTER[NO. PON],AKSESORIS[[#This Row],[No.PON]],DATA_MASTER[Qty
(Unit)])</f>
        <v>1</v>
      </c>
      <c r="N249" s="10">
        <f>AKSESORIS[[#This Row],[Total 
(pcs)]]*AKSESORIS[[#This Row],[UNIT]]</f>
        <v>8</v>
      </c>
      <c r="O249" s="9"/>
    </row>
    <row r="250" spans="1:15" x14ac:dyDescent="0.3">
      <c r="A250" t="s">
        <v>944</v>
      </c>
      <c r="B250" t="str">
        <f>IFERROR(VLOOKUP(A250,'DATA MASTER'!A:O,2,0)," ")</f>
        <v>Panel Bailey</v>
      </c>
      <c r="C250" s="19" t="str">
        <f>IFERROR(VLOOKUP(A250,'DATA MASTER'!A:O,4,0)," ")</f>
        <v>9 SSR-EW</v>
      </c>
      <c r="D250" s="1"/>
      <c r="E250" s="1"/>
      <c r="F250" s="20" t="s">
        <v>101</v>
      </c>
      <c r="G250" s="20" t="s">
        <v>102</v>
      </c>
      <c r="H250" s="20" t="s">
        <v>143</v>
      </c>
      <c r="I250" s="1">
        <v>213</v>
      </c>
      <c r="J250" s="1">
        <v>32</v>
      </c>
      <c r="K250" s="10">
        <v>3.1</v>
      </c>
      <c r="L250" s="16">
        <f>AKSESORIS[[#This Row],[Total 
(pcs)]]*AKSESORIS[[#This Row],[Berat/pcs
(Kg)]]</f>
        <v>99.2</v>
      </c>
      <c r="M250" s="44">
        <f>SUMIF(DATA_MASTER[NO. PON],AKSESORIS[[#This Row],[No.PON]],DATA_MASTER[Qty
(Unit)])</f>
        <v>2</v>
      </c>
      <c r="N250" s="10">
        <f>AKSESORIS[[#This Row],[Total 
(pcs)]]*AKSESORIS[[#This Row],[UNIT]]</f>
        <v>64</v>
      </c>
      <c r="O250" s="9"/>
    </row>
    <row r="251" spans="1:15" x14ac:dyDescent="0.3">
      <c r="A251" t="s">
        <v>944</v>
      </c>
      <c r="B251" t="str">
        <f>IFERROR(VLOOKUP(A251,'DATA MASTER'!A:O,2,0)," ")</f>
        <v>Panel Bailey</v>
      </c>
      <c r="C251" s="19" t="str">
        <f>IFERROR(VLOOKUP(A251,'DATA MASTER'!A:O,4,0)," ")</f>
        <v>9 SSR-EW</v>
      </c>
      <c r="D251" s="1"/>
      <c r="E251" s="1"/>
      <c r="F251" s="20" t="s">
        <v>904</v>
      </c>
      <c r="G251" s="20" t="s">
        <v>145</v>
      </c>
      <c r="H251" s="20" t="s">
        <v>145</v>
      </c>
      <c r="I251" s="1">
        <v>420</v>
      </c>
      <c r="J251" s="1">
        <v>16</v>
      </c>
      <c r="K251" s="10">
        <v>1.08</v>
      </c>
      <c r="L251" s="16">
        <f>AKSESORIS[[#This Row],[Total 
(pcs)]]*AKSESORIS[[#This Row],[Berat/pcs
(Kg)]]</f>
        <v>17.28</v>
      </c>
      <c r="M251" s="44">
        <f>SUMIF(DATA_MASTER[NO. PON],AKSESORIS[[#This Row],[No.PON]],DATA_MASTER[Qty
(Unit)])</f>
        <v>2</v>
      </c>
      <c r="N251" s="10">
        <f>AKSESORIS[[#This Row],[Total 
(pcs)]]*AKSESORIS[[#This Row],[UNIT]]</f>
        <v>32</v>
      </c>
      <c r="O251" s="9"/>
    </row>
    <row r="252" spans="1:15" x14ac:dyDescent="0.3">
      <c r="A252" t="s">
        <v>758</v>
      </c>
      <c r="B252" t="str">
        <f>IFERROR(VLOOKUP(A252,'DATA MASTER'!A:O,2,0)," ")</f>
        <v>Jembatan Gantung</v>
      </c>
      <c r="C252" s="19" t="str">
        <f>IFERROR(VLOOKUP(A252,'DATA MASTER'!A:O,4,0)," ")</f>
        <v>JG150</v>
      </c>
      <c r="D252" s="1" t="s">
        <v>168</v>
      </c>
      <c r="E252" s="1"/>
      <c r="F252" s="20" t="s">
        <v>883</v>
      </c>
      <c r="G252" s="20" t="s">
        <v>763</v>
      </c>
      <c r="H252" s="20" t="s">
        <v>764</v>
      </c>
      <c r="J252" s="1">
        <v>148</v>
      </c>
      <c r="K252" s="10">
        <v>4.22</v>
      </c>
      <c r="L252" s="10">
        <f>AKSESORIS[[#This Row],[Total 
(pcs)]]*AKSESORIS[[#This Row],[Berat/pcs
(Kg)]]</f>
        <v>624.55999999999995</v>
      </c>
      <c r="M252" s="44">
        <f>SUMIF(DATA_MASTER[NO. PON],AKSESORIS[[#This Row],[No.PON]],DATA_MASTER[Qty
(Unit)])</f>
        <v>1</v>
      </c>
      <c r="N252" s="10">
        <f>AKSESORIS[[#This Row],[Total 
(pcs)]]*AKSESORIS[[#This Row],[UNIT]]</f>
        <v>148</v>
      </c>
      <c r="O252" s="9"/>
    </row>
    <row r="253" spans="1:15" x14ac:dyDescent="0.3">
      <c r="A253" t="s">
        <v>758</v>
      </c>
      <c r="B253" t="str">
        <f>IFERROR(VLOOKUP(A253,'DATA MASTER'!A:O,2,0)," ")</f>
        <v>Jembatan Gantung</v>
      </c>
      <c r="C253" s="19" t="str">
        <f>IFERROR(VLOOKUP(A253,'DATA MASTER'!A:O,4,0)," ")</f>
        <v>JG150</v>
      </c>
      <c r="D253" s="1" t="s">
        <v>168</v>
      </c>
      <c r="E253" s="1"/>
      <c r="F253" s="20" t="s">
        <v>904</v>
      </c>
      <c r="G253" s="20" t="s">
        <v>765</v>
      </c>
      <c r="H253" s="20" t="s">
        <v>776</v>
      </c>
      <c r="I253" s="1">
        <v>700</v>
      </c>
      <c r="J253" s="1">
        <v>8</v>
      </c>
      <c r="K253" s="10">
        <v>1.75</v>
      </c>
      <c r="L253" s="10">
        <f>AKSESORIS[[#This Row],[Total 
(pcs)]]*AKSESORIS[[#This Row],[Berat/pcs
(Kg)]]</f>
        <v>14</v>
      </c>
      <c r="M253" s="44">
        <f>SUMIF(DATA_MASTER[NO. PON],AKSESORIS[[#This Row],[No.PON]],DATA_MASTER[Qty
(Unit)])</f>
        <v>1</v>
      </c>
      <c r="N253" s="10">
        <f>AKSESORIS[[#This Row],[Total 
(pcs)]]*AKSESORIS[[#This Row],[UNIT]]</f>
        <v>8</v>
      </c>
      <c r="O253" s="9"/>
    </row>
    <row r="254" spans="1:15" x14ac:dyDescent="0.3">
      <c r="A254" t="s">
        <v>758</v>
      </c>
      <c r="B254" t="str">
        <f>IFERROR(VLOOKUP(A254,'DATA MASTER'!A:O,2,0)," ")</f>
        <v>Jembatan Gantung</v>
      </c>
      <c r="C254" s="19" t="str">
        <f>IFERROR(VLOOKUP(A254,'DATA MASTER'!A:O,4,0)," ")</f>
        <v>JG150</v>
      </c>
      <c r="D254" s="1" t="s">
        <v>168</v>
      </c>
      <c r="E254" s="1"/>
      <c r="F254" s="20" t="s">
        <v>44</v>
      </c>
      <c r="G254" s="20" t="s">
        <v>766</v>
      </c>
      <c r="H254" s="20" t="s">
        <v>777</v>
      </c>
      <c r="J254" s="1">
        <v>4</v>
      </c>
      <c r="K254" s="10">
        <v>2.88</v>
      </c>
      <c r="L254" s="10">
        <f>AKSESORIS[[#This Row],[Total 
(pcs)]]*AKSESORIS[[#This Row],[Berat/pcs
(Kg)]]</f>
        <v>11.52</v>
      </c>
      <c r="M254" s="44">
        <f>SUMIF(DATA_MASTER[NO. PON],AKSESORIS[[#This Row],[No.PON]],DATA_MASTER[Qty
(Unit)])</f>
        <v>1</v>
      </c>
      <c r="N254" s="10">
        <f>AKSESORIS[[#This Row],[Total 
(pcs)]]*AKSESORIS[[#This Row],[UNIT]]</f>
        <v>4</v>
      </c>
      <c r="O254" s="9"/>
    </row>
    <row r="255" spans="1:15" x14ac:dyDescent="0.3">
      <c r="A255" t="s">
        <v>758</v>
      </c>
      <c r="B255" t="str">
        <f>IFERROR(VLOOKUP(A255,'DATA MASTER'!A:O,2,0)," ")</f>
        <v>Jembatan Gantung</v>
      </c>
      <c r="C255" s="19" t="str">
        <f>IFERROR(VLOOKUP(A255,'DATA MASTER'!A:O,4,0)," ")</f>
        <v>JG150</v>
      </c>
      <c r="D255" s="1" t="s">
        <v>168</v>
      </c>
      <c r="E255" s="1"/>
      <c r="F255" s="20" t="s">
        <v>44</v>
      </c>
      <c r="G255" s="20" t="s">
        <v>767</v>
      </c>
      <c r="H255" s="20" t="s">
        <v>778</v>
      </c>
      <c r="J255" s="1">
        <v>4</v>
      </c>
      <c r="K255" s="10">
        <v>1.24</v>
      </c>
      <c r="L255" s="10">
        <f>AKSESORIS[[#This Row],[Total 
(pcs)]]*AKSESORIS[[#This Row],[Berat/pcs
(Kg)]]</f>
        <v>4.96</v>
      </c>
      <c r="M255" s="44">
        <f>SUMIF(DATA_MASTER[NO. PON],AKSESORIS[[#This Row],[No.PON]],DATA_MASTER[Qty
(Unit)])</f>
        <v>1</v>
      </c>
      <c r="N255" s="10">
        <f>AKSESORIS[[#This Row],[Total 
(pcs)]]*AKSESORIS[[#This Row],[UNIT]]</f>
        <v>4</v>
      </c>
      <c r="O255" s="9"/>
    </row>
    <row r="256" spans="1:15" x14ac:dyDescent="0.3">
      <c r="A256" t="s">
        <v>758</v>
      </c>
      <c r="B256" t="str">
        <f>IFERROR(VLOOKUP(A256,'DATA MASTER'!A:O,2,0)," ")</f>
        <v>Jembatan Gantung</v>
      </c>
      <c r="C256" s="19" t="str">
        <f>IFERROR(VLOOKUP(A256,'DATA MASTER'!A:O,4,0)," ")</f>
        <v>JG150</v>
      </c>
      <c r="D256" s="1" t="s">
        <v>168</v>
      </c>
      <c r="E256" s="1"/>
      <c r="F256" s="20" t="s">
        <v>884</v>
      </c>
      <c r="G256" s="20" t="s">
        <v>768</v>
      </c>
      <c r="H256" s="20" t="s">
        <v>779</v>
      </c>
      <c r="J256" s="1">
        <v>148</v>
      </c>
      <c r="K256" s="10">
        <v>0.56000000000000005</v>
      </c>
      <c r="L256" s="10">
        <f>AKSESORIS[[#This Row],[Total 
(pcs)]]*AKSESORIS[[#This Row],[Berat/pcs
(Kg)]]</f>
        <v>82.88000000000001</v>
      </c>
      <c r="M256" s="44">
        <f>SUMIF(DATA_MASTER[NO. PON],AKSESORIS[[#This Row],[No.PON]],DATA_MASTER[Qty
(Unit)])</f>
        <v>1</v>
      </c>
      <c r="N256" s="10">
        <f>AKSESORIS[[#This Row],[Total 
(pcs)]]*AKSESORIS[[#This Row],[UNIT]]</f>
        <v>148</v>
      </c>
      <c r="O256" s="9"/>
    </row>
    <row r="257" spans="1:15" x14ac:dyDescent="0.3">
      <c r="A257" t="s">
        <v>758</v>
      </c>
      <c r="B257" t="str">
        <f>IFERROR(VLOOKUP(A257,'DATA MASTER'!A:O,2,0)," ")</f>
        <v>Jembatan Gantung</v>
      </c>
      <c r="C257" s="19" t="str">
        <f>IFERROR(VLOOKUP(A257,'DATA MASTER'!A:O,4,0)," ")</f>
        <v>JG150</v>
      </c>
      <c r="D257" s="1" t="s">
        <v>999</v>
      </c>
      <c r="E257" s="1"/>
      <c r="F257" s="20" t="s">
        <v>885</v>
      </c>
      <c r="G257" s="20" t="s">
        <v>769</v>
      </c>
      <c r="H257" s="20" t="s">
        <v>899</v>
      </c>
      <c r="J257" s="1">
        <v>1</v>
      </c>
      <c r="K257" s="10">
        <v>394.48500000000001</v>
      </c>
      <c r="L257" s="10">
        <f>AKSESORIS[[#This Row],[Total 
(pcs)]]*AKSESORIS[[#This Row],[Berat/pcs
(Kg)]]</f>
        <v>394.48500000000001</v>
      </c>
      <c r="M257" s="44">
        <f>SUMIF(DATA_MASTER[NO. PON],AKSESORIS[[#This Row],[No.PON]],DATA_MASTER[Qty
(Unit)])</f>
        <v>1</v>
      </c>
      <c r="N257" s="10">
        <f>AKSESORIS[[#This Row],[Total 
(pcs)]]*AKSESORIS[[#This Row],[UNIT]]</f>
        <v>1</v>
      </c>
      <c r="O257" s="9"/>
    </row>
    <row r="258" spans="1:15" x14ac:dyDescent="0.3">
      <c r="A258" t="s">
        <v>758</v>
      </c>
      <c r="B258" t="str">
        <f>IFERROR(VLOOKUP(A258,'DATA MASTER'!A:O,2,0)," ")</f>
        <v>Jembatan Gantung</v>
      </c>
      <c r="C258" s="19" t="str">
        <f>IFERROR(VLOOKUP(A258,'DATA MASTER'!A:O,4,0)," ")</f>
        <v>JG150</v>
      </c>
      <c r="D258" s="1" t="s">
        <v>999</v>
      </c>
      <c r="E258" s="1"/>
      <c r="F258" s="20" t="s">
        <v>885</v>
      </c>
      <c r="G258" s="20" t="s">
        <v>770</v>
      </c>
      <c r="H258" s="20" t="s">
        <v>899</v>
      </c>
      <c r="J258" s="1">
        <v>1</v>
      </c>
      <c r="K258" s="10">
        <v>287.26600000000002</v>
      </c>
      <c r="L258" s="10">
        <f>AKSESORIS[[#This Row],[Total 
(pcs)]]*AKSESORIS[[#This Row],[Berat/pcs
(Kg)]]</f>
        <v>287.26600000000002</v>
      </c>
      <c r="M258" s="44">
        <f>SUMIF(DATA_MASTER[NO. PON],AKSESORIS[[#This Row],[No.PON]],DATA_MASTER[Qty
(Unit)])</f>
        <v>1</v>
      </c>
      <c r="N258" s="10">
        <f>AKSESORIS[[#This Row],[Total 
(pcs)]]*AKSESORIS[[#This Row],[UNIT]]</f>
        <v>1</v>
      </c>
      <c r="O258" s="9"/>
    </row>
    <row r="259" spans="1:15" x14ac:dyDescent="0.3">
      <c r="A259" t="s">
        <v>758</v>
      </c>
      <c r="B259" t="str">
        <f>IFERROR(VLOOKUP(A259,'DATA MASTER'!A:O,2,0)," ")</f>
        <v>Jembatan Gantung</v>
      </c>
      <c r="C259" s="19" t="str">
        <f>IFERROR(VLOOKUP(A259,'DATA MASTER'!A:O,4,0)," ")</f>
        <v>JG150</v>
      </c>
      <c r="D259" s="1" t="s">
        <v>999</v>
      </c>
      <c r="E259" s="1"/>
      <c r="F259" s="20" t="s">
        <v>885</v>
      </c>
      <c r="G259" s="20" t="s">
        <v>771</v>
      </c>
      <c r="H259" s="20" t="s">
        <v>181</v>
      </c>
      <c r="J259" s="1">
        <v>1</v>
      </c>
      <c r="K259" s="10">
        <v>265.61680000000001</v>
      </c>
      <c r="L259" s="10">
        <f>AKSESORIS[[#This Row],[Total 
(pcs)]]*AKSESORIS[[#This Row],[Berat/pcs
(Kg)]]</f>
        <v>265.61680000000001</v>
      </c>
      <c r="M259" s="44">
        <f>SUMIF(DATA_MASTER[NO. PON],AKSESORIS[[#This Row],[No.PON]],DATA_MASTER[Qty
(Unit)])</f>
        <v>1</v>
      </c>
      <c r="N259" s="10">
        <f>AKSESORIS[[#This Row],[Total 
(pcs)]]*AKSESORIS[[#This Row],[UNIT]]</f>
        <v>1</v>
      </c>
      <c r="O259" s="9"/>
    </row>
    <row r="260" spans="1:15" x14ac:dyDescent="0.3">
      <c r="A260" t="s">
        <v>758</v>
      </c>
      <c r="B260" t="str">
        <f>IFERROR(VLOOKUP(A260,'DATA MASTER'!A:O,2,0)," ")</f>
        <v>Jembatan Gantung</v>
      </c>
      <c r="C260" s="19" t="str">
        <f>IFERROR(VLOOKUP(A260,'DATA MASTER'!A:O,4,0)," ")</f>
        <v>JG150</v>
      </c>
      <c r="D260" s="1" t="s">
        <v>168</v>
      </c>
      <c r="E260" s="1"/>
      <c r="F260" s="20" t="s">
        <v>886</v>
      </c>
      <c r="G260" s="20" t="s">
        <v>772</v>
      </c>
      <c r="H260" s="20" t="s">
        <v>780</v>
      </c>
      <c r="J260" s="1">
        <v>132</v>
      </c>
      <c r="K260" s="10">
        <v>0.1</v>
      </c>
      <c r="L260" s="10">
        <f>AKSESORIS[[#This Row],[Total 
(pcs)]]*AKSESORIS[[#This Row],[Berat/pcs
(Kg)]]</f>
        <v>13.200000000000001</v>
      </c>
      <c r="M260" s="44">
        <f>SUMIF(DATA_MASTER[NO. PON],AKSESORIS[[#This Row],[No.PON]],DATA_MASTER[Qty
(Unit)])</f>
        <v>1</v>
      </c>
      <c r="N260" s="10">
        <f>AKSESORIS[[#This Row],[Total 
(pcs)]]*AKSESORIS[[#This Row],[UNIT]]</f>
        <v>132</v>
      </c>
      <c r="O260" s="9"/>
    </row>
    <row r="261" spans="1:15" x14ac:dyDescent="0.3">
      <c r="A261" t="s">
        <v>758</v>
      </c>
      <c r="B261" t="str">
        <f>IFERROR(VLOOKUP(A261,'DATA MASTER'!A:O,2,0)," ")</f>
        <v>Jembatan Gantung</v>
      </c>
      <c r="C261" s="19" t="str">
        <f>IFERROR(VLOOKUP(A261,'DATA MASTER'!A:O,4,0)," ")</f>
        <v>JG150</v>
      </c>
      <c r="D261" s="1" t="s">
        <v>168</v>
      </c>
      <c r="E261" s="1"/>
      <c r="F261" s="20" t="s">
        <v>886</v>
      </c>
      <c r="G261" s="20" t="s">
        <v>900</v>
      </c>
      <c r="H261" s="20" t="s">
        <v>899</v>
      </c>
      <c r="J261" s="1">
        <v>16</v>
      </c>
      <c r="K261" s="10">
        <v>0.56000000000000005</v>
      </c>
      <c r="L261" s="10">
        <f>AKSESORIS[[#This Row],[Total 
(pcs)]]*AKSESORIS[[#This Row],[Berat/pcs
(Kg)]]</f>
        <v>8.9600000000000009</v>
      </c>
      <c r="M261" s="44">
        <f>SUMIF(DATA_MASTER[NO. PON],AKSESORIS[[#This Row],[No.PON]],DATA_MASTER[Qty
(Unit)])</f>
        <v>1</v>
      </c>
      <c r="N261" s="10">
        <f>AKSESORIS[[#This Row],[Total 
(pcs)]]*AKSESORIS[[#This Row],[UNIT]]</f>
        <v>16</v>
      </c>
      <c r="O261" s="9"/>
    </row>
    <row r="262" spans="1:15" x14ac:dyDescent="0.3">
      <c r="A262" t="s">
        <v>758</v>
      </c>
      <c r="B262" t="str">
        <f>IFERROR(VLOOKUP(A262,'DATA MASTER'!A:O,2,0)," ")</f>
        <v>Jembatan Gantung</v>
      </c>
      <c r="C262" s="19" t="str">
        <f>IFERROR(VLOOKUP(A262,'DATA MASTER'!A:O,4,0)," ")</f>
        <v>JG150</v>
      </c>
      <c r="D262" s="1" t="s">
        <v>168</v>
      </c>
      <c r="E262" s="1"/>
      <c r="F262" s="20" t="s">
        <v>890</v>
      </c>
      <c r="G262" s="20" t="s">
        <v>773</v>
      </c>
      <c r="H262" s="20" t="s">
        <v>781</v>
      </c>
      <c r="J262" s="1">
        <v>16</v>
      </c>
      <c r="K262" s="10">
        <v>10.6</v>
      </c>
      <c r="L262" s="10">
        <f>AKSESORIS[[#This Row],[Total 
(pcs)]]*AKSESORIS[[#This Row],[Berat/pcs
(Kg)]]</f>
        <v>169.6</v>
      </c>
      <c r="M262" s="44">
        <f>SUMIF(DATA_MASTER[NO. PON],AKSESORIS[[#This Row],[No.PON]],DATA_MASTER[Qty
(Unit)])</f>
        <v>1</v>
      </c>
      <c r="N262" s="10">
        <f>AKSESORIS[[#This Row],[Total 
(pcs)]]*AKSESORIS[[#This Row],[UNIT]]</f>
        <v>16</v>
      </c>
      <c r="O262" s="9"/>
    </row>
    <row r="263" spans="1:15" x14ac:dyDescent="0.3">
      <c r="A263" t="s">
        <v>758</v>
      </c>
      <c r="B263" t="str">
        <f>IFERROR(VLOOKUP(A263,'DATA MASTER'!A:O,2,0)," ")</f>
        <v>Jembatan Gantung</v>
      </c>
      <c r="C263" s="19" t="str">
        <f>IFERROR(VLOOKUP(A263,'DATA MASTER'!A:O,4,0)," ")</f>
        <v>JG150</v>
      </c>
      <c r="D263" s="1" t="s">
        <v>168</v>
      </c>
      <c r="E263" s="1"/>
      <c r="F263" s="20" t="s">
        <v>890</v>
      </c>
      <c r="G263" s="20" t="s">
        <v>774</v>
      </c>
      <c r="H263" s="20" t="s">
        <v>782</v>
      </c>
      <c r="J263" s="1">
        <v>16</v>
      </c>
      <c r="K263" s="10">
        <v>83.84</v>
      </c>
      <c r="L263" s="10">
        <f>AKSESORIS[[#This Row],[Total 
(pcs)]]*AKSESORIS[[#This Row],[Berat/pcs
(Kg)]]</f>
        <v>1341.44</v>
      </c>
      <c r="M263" s="44">
        <f>SUMIF(DATA_MASTER[NO. PON],AKSESORIS[[#This Row],[No.PON]],DATA_MASTER[Qty
(Unit)])</f>
        <v>1</v>
      </c>
      <c r="N263" s="10">
        <f>AKSESORIS[[#This Row],[Total 
(pcs)]]*AKSESORIS[[#This Row],[UNIT]]</f>
        <v>16</v>
      </c>
      <c r="O263" s="9"/>
    </row>
    <row r="264" spans="1:15" x14ac:dyDescent="0.3">
      <c r="A264" t="s">
        <v>758</v>
      </c>
      <c r="B264" t="str">
        <f>IFERROR(VLOOKUP(A264,'DATA MASTER'!A:O,2,0)," ")</f>
        <v>Jembatan Gantung</v>
      </c>
      <c r="C264" s="19" t="str">
        <f>IFERROR(VLOOKUP(A264,'DATA MASTER'!A:O,4,0)," ")</f>
        <v>JG150</v>
      </c>
      <c r="D264" s="1" t="s">
        <v>168</v>
      </c>
      <c r="E264" s="1"/>
      <c r="F264" s="20" t="s">
        <v>887</v>
      </c>
      <c r="G264" s="20" t="s">
        <v>775</v>
      </c>
      <c r="H264" s="20" t="s">
        <v>783</v>
      </c>
      <c r="J264" s="1">
        <v>44</v>
      </c>
      <c r="K264" s="10">
        <v>0.25</v>
      </c>
      <c r="L264" s="10">
        <f>AKSESORIS[[#This Row],[Total 
(pcs)]]*AKSESORIS[[#This Row],[Berat/pcs
(Kg)]]</f>
        <v>11</v>
      </c>
      <c r="M264" s="44">
        <f>SUMIF(DATA_MASTER[NO. PON],AKSESORIS[[#This Row],[No.PON]],DATA_MASTER[Qty
(Unit)])</f>
        <v>1</v>
      </c>
      <c r="N264" s="10">
        <f>AKSESORIS[[#This Row],[Total 
(pcs)]]*AKSESORIS[[#This Row],[UNIT]]</f>
        <v>44</v>
      </c>
      <c r="O264" s="9"/>
    </row>
    <row r="265" spans="1:15" x14ac:dyDescent="0.3">
      <c r="A265" t="s">
        <v>758</v>
      </c>
      <c r="B265" t="str">
        <f>IFERROR(VLOOKUP(A265,'DATA MASTER'!A:O,2,0)," ")</f>
        <v>Jembatan Gantung</v>
      </c>
      <c r="C265" s="19" t="str">
        <f>IFERROR(VLOOKUP(A265,'DATA MASTER'!A:O,4,0)," ")</f>
        <v>JG150</v>
      </c>
      <c r="D265" s="1" t="s">
        <v>168</v>
      </c>
      <c r="E265" s="1"/>
      <c r="F265" s="20" t="s">
        <v>887</v>
      </c>
      <c r="G265" s="20" t="s">
        <v>901</v>
      </c>
      <c r="H265" s="20" t="s">
        <v>784</v>
      </c>
      <c r="J265" s="1">
        <v>2</v>
      </c>
      <c r="K265" s="10">
        <v>0.61</v>
      </c>
      <c r="L265" s="10">
        <f>AKSESORIS[[#This Row],[Total 
(pcs)]]*AKSESORIS[[#This Row],[Berat/pcs
(Kg)]]</f>
        <v>1.22</v>
      </c>
      <c r="M265" s="44">
        <f>SUMIF(DATA_MASTER[NO. PON],AKSESORIS[[#This Row],[No.PON]],DATA_MASTER[Qty
(Unit)])</f>
        <v>1</v>
      </c>
      <c r="N265" s="10">
        <f>AKSESORIS[[#This Row],[Total 
(pcs)]]*AKSESORIS[[#This Row],[UNIT]]</f>
        <v>2</v>
      </c>
      <c r="O265" s="9"/>
    </row>
    <row r="266" spans="1:15" x14ac:dyDescent="0.3">
      <c r="A266" t="s">
        <v>894</v>
      </c>
      <c r="B266" t="str">
        <f>IFERROR(VLOOKUP(A266,'DATA MASTER'!A:O,2,0)," ")</f>
        <v>Panel Bailey</v>
      </c>
      <c r="C266" s="19" t="str">
        <f>IFERROR(VLOOKUP(A266,'DATA MASTER'!A:O,4,0)," ")</f>
        <v>39 DSR2H**-EW</v>
      </c>
      <c r="D266" s="1"/>
      <c r="E266" s="1"/>
      <c r="F266" s="20" t="s">
        <v>101</v>
      </c>
      <c r="G266" s="20" t="s">
        <v>102</v>
      </c>
      <c r="H266" s="20" t="s">
        <v>143</v>
      </c>
      <c r="I266" s="1">
        <v>213</v>
      </c>
      <c r="J266" s="1">
        <v>174</v>
      </c>
      <c r="K266" s="10">
        <v>3.1</v>
      </c>
      <c r="L266" s="10">
        <f>AKSESORIS[[#This Row],[Total 
(pcs)]]*AKSESORIS[[#This Row],[Berat/pcs
(Kg)]]</f>
        <v>539.4</v>
      </c>
      <c r="M266" s="44">
        <f>SUMIF(DATA_MASTER[NO. PON],AKSESORIS[[#This Row],[No.PON]],DATA_MASTER[Qty
(Unit)])</f>
        <v>1</v>
      </c>
      <c r="N266" s="10">
        <f>AKSESORIS[[#This Row],[Total 
(pcs)]]*AKSESORIS[[#This Row],[UNIT]]</f>
        <v>174</v>
      </c>
      <c r="O266" s="9"/>
    </row>
    <row r="267" spans="1:15" x14ac:dyDescent="0.3">
      <c r="A267" t="s">
        <v>894</v>
      </c>
      <c r="B267" t="str">
        <f>IFERROR(VLOOKUP(A267,'DATA MASTER'!A:O,2,0)," ")</f>
        <v>Panel Bailey</v>
      </c>
      <c r="C267" s="19" t="str">
        <f>IFERROR(VLOOKUP(A267,'DATA MASTER'!A:O,4,0)," ")</f>
        <v>39 DSR2H**-EW</v>
      </c>
      <c r="D267" s="1"/>
      <c r="E267" s="1"/>
      <c r="F267" s="20" t="s">
        <v>904</v>
      </c>
      <c r="G267" s="20" t="s">
        <v>145</v>
      </c>
      <c r="H267" s="20" t="s">
        <v>145</v>
      </c>
      <c r="I267" s="1">
        <v>420</v>
      </c>
      <c r="J267" s="1">
        <v>32</v>
      </c>
      <c r="K267" s="10">
        <v>1.08</v>
      </c>
      <c r="L267" s="10">
        <f>AKSESORIS[[#This Row],[Total 
(pcs)]]*AKSESORIS[[#This Row],[Berat/pcs
(Kg)]]</f>
        <v>34.56</v>
      </c>
      <c r="M267" s="44">
        <f>SUMIF(DATA_MASTER[NO. PON],AKSESORIS[[#This Row],[No.PON]],DATA_MASTER[Qty
(Unit)])</f>
        <v>1</v>
      </c>
      <c r="N267" s="10">
        <f>AKSESORIS[[#This Row],[Total 
(pcs)]]*AKSESORIS[[#This Row],[UNIT]]</f>
        <v>32</v>
      </c>
      <c r="O267" s="9"/>
    </row>
    <row r="268" spans="1:15" x14ac:dyDescent="0.3">
      <c r="A268" t="s">
        <v>1173</v>
      </c>
      <c r="B268" t="str">
        <f>IFERROR(VLOOKUP(A268,'DATA MASTER'!A:O,2,0)," ")</f>
        <v>Panel Bailey</v>
      </c>
      <c r="C268" s="19" t="str">
        <f>IFERROR(VLOOKUP(A268,'DATA MASTER'!A:O,4,0)," ")</f>
        <v>6 SSR-SW</v>
      </c>
      <c r="D268" s="1"/>
      <c r="E268" s="1"/>
      <c r="F268" s="20" t="s">
        <v>101</v>
      </c>
      <c r="G268" s="20" t="s">
        <v>102</v>
      </c>
      <c r="H268" s="20" t="s">
        <v>143</v>
      </c>
      <c r="I268" s="1">
        <v>213</v>
      </c>
      <c r="J268" s="1">
        <v>24</v>
      </c>
      <c r="K268" s="10">
        <v>3.1</v>
      </c>
      <c r="L268" s="16">
        <f>AKSESORIS[[#This Row],[Total 
(pcs)]]*AKSESORIS[[#This Row],[Berat/pcs
(Kg)]]</f>
        <v>74.400000000000006</v>
      </c>
      <c r="M268" s="44">
        <f>SUMIF(DATA_MASTER[NO. PON],AKSESORIS[[#This Row],[No.PON]],DATA_MASTER[Qty
(Unit)])</f>
        <v>3</v>
      </c>
      <c r="N268" s="10">
        <f>AKSESORIS[[#This Row],[Total 
(pcs)]]*AKSESORIS[[#This Row],[UNIT]]</f>
        <v>72</v>
      </c>
      <c r="O268" s="9"/>
    </row>
    <row r="269" spans="1:15" x14ac:dyDescent="0.3">
      <c r="A269" t="s">
        <v>1173</v>
      </c>
      <c r="B269" t="str">
        <f>IFERROR(VLOOKUP(A269,'DATA MASTER'!A:O,2,0)," ")</f>
        <v>Panel Bailey</v>
      </c>
      <c r="C269" s="19" t="str">
        <f>IFERROR(VLOOKUP(A269,'DATA MASTER'!A:O,4,0)," ")</f>
        <v>6 SSR-SW</v>
      </c>
      <c r="D269" s="1"/>
      <c r="E269" s="1"/>
      <c r="F269" s="20" t="s">
        <v>904</v>
      </c>
      <c r="G269" s="20" t="s">
        <v>145</v>
      </c>
      <c r="H269" s="20" t="s">
        <v>145</v>
      </c>
      <c r="I269" s="1">
        <v>420</v>
      </c>
      <c r="J269" s="1">
        <v>32</v>
      </c>
      <c r="K269" s="10">
        <v>1.08</v>
      </c>
      <c r="L269" s="16">
        <f>AKSESORIS[[#This Row],[Total 
(pcs)]]*AKSESORIS[[#This Row],[Berat/pcs
(Kg)]]</f>
        <v>34.56</v>
      </c>
      <c r="M269" s="44">
        <f>SUMIF(DATA_MASTER[NO. PON],AKSESORIS[[#This Row],[No.PON]],DATA_MASTER[Qty
(Unit)])</f>
        <v>3</v>
      </c>
      <c r="N269" s="10">
        <f>AKSESORIS[[#This Row],[Total 
(pcs)]]*AKSESORIS[[#This Row],[UNIT]]</f>
        <v>96</v>
      </c>
      <c r="O269" s="9"/>
    </row>
    <row r="270" spans="1:15" x14ac:dyDescent="0.3">
      <c r="A270" t="s">
        <v>739</v>
      </c>
      <c r="B270" t="str">
        <f>IFERROR(VLOOKUP(A270,'DATA MASTER'!A:O,2,0)," ")</f>
        <v>Truss Modullar</v>
      </c>
      <c r="C270" s="19" t="str">
        <f>IFERROR(VLOOKUP(A270,'DATA MASTER'!A:O,4,0)," ")</f>
        <v>RB40</v>
      </c>
      <c r="D270" s="1"/>
      <c r="E270" s="1"/>
      <c r="F270" s="20" t="s">
        <v>44</v>
      </c>
      <c r="G270" s="20" t="s">
        <v>266</v>
      </c>
      <c r="H270" s="20" t="s">
        <v>269</v>
      </c>
      <c r="J270" s="1">
        <v>4</v>
      </c>
      <c r="K270" s="10">
        <v>45.459955999999998</v>
      </c>
      <c r="L270" s="10">
        <f>AKSESORIS[[#This Row],[Total 
(pcs)]]*AKSESORIS[[#This Row],[Berat/pcs
(Kg)]]</f>
        <v>181.83982399999999</v>
      </c>
      <c r="M270" s="44">
        <f>SUMIF(DATA_MASTER[NO. PON],AKSESORIS[[#This Row],[No.PON]],DATA_MASTER[Qty
(Unit)])</f>
        <v>1</v>
      </c>
      <c r="N270" s="10">
        <f>AKSESORIS[[#This Row],[Total 
(pcs)]]*AKSESORIS[[#This Row],[UNIT]]</f>
        <v>4</v>
      </c>
      <c r="O270" s="9"/>
    </row>
    <row r="271" spans="1:15" x14ac:dyDescent="0.3">
      <c r="A271" t="s">
        <v>739</v>
      </c>
      <c r="B271" t="str">
        <f>IFERROR(VLOOKUP(A271,'DATA MASTER'!A:O,2,0)," ")</f>
        <v>Truss Modullar</v>
      </c>
      <c r="C271" s="19" t="str">
        <f>IFERROR(VLOOKUP(A271,'DATA MASTER'!A:O,4,0)," ")</f>
        <v>RB40</v>
      </c>
      <c r="D271" s="1"/>
      <c r="E271" s="1"/>
      <c r="F271" s="20" t="s">
        <v>44</v>
      </c>
      <c r="G271" s="20" t="s">
        <v>267</v>
      </c>
      <c r="H271" s="20" t="s">
        <v>270</v>
      </c>
      <c r="J271" s="1">
        <v>4</v>
      </c>
      <c r="K271" s="10">
        <v>14.146872</v>
      </c>
      <c r="L271" s="10">
        <f>AKSESORIS[[#This Row],[Total 
(pcs)]]*AKSESORIS[[#This Row],[Berat/pcs
(Kg)]]</f>
        <v>56.587488</v>
      </c>
      <c r="M271" s="44">
        <f>SUMIF(DATA_MASTER[NO. PON],AKSESORIS[[#This Row],[No.PON]],DATA_MASTER[Qty
(Unit)])</f>
        <v>1</v>
      </c>
      <c r="N271" s="10">
        <f>AKSESORIS[[#This Row],[Total 
(pcs)]]*AKSESORIS[[#This Row],[UNIT]]</f>
        <v>4</v>
      </c>
      <c r="O271" s="9"/>
    </row>
    <row r="272" spans="1:15" x14ac:dyDescent="0.3">
      <c r="A272" t="s">
        <v>739</v>
      </c>
      <c r="B272" t="str">
        <f>IFERROR(VLOOKUP(A272,'DATA MASTER'!A:O,2,0)," ")</f>
        <v>Truss Modullar</v>
      </c>
      <c r="C272" s="19" t="str">
        <f>IFERROR(VLOOKUP(A272,'DATA MASTER'!A:O,4,0)," ")</f>
        <v>RB40</v>
      </c>
      <c r="D272" s="1"/>
      <c r="E272" s="1"/>
      <c r="F272" s="20" t="s">
        <v>44</v>
      </c>
      <c r="G272" s="20" t="s">
        <v>268</v>
      </c>
      <c r="H272" s="20" t="s">
        <v>271</v>
      </c>
      <c r="J272" s="1">
        <v>4</v>
      </c>
      <c r="K272" s="10">
        <v>4.6442119999999996</v>
      </c>
      <c r="L272" s="10">
        <f>AKSESORIS[[#This Row],[Total 
(pcs)]]*AKSESORIS[[#This Row],[Berat/pcs
(Kg)]]</f>
        <v>18.576847999999998</v>
      </c>
      <c r="M272" s="44">
        <f>SUMIF(DATA_MASTER[NO. PON],AKSESORIS[[#This Row],[No.PON]],DATA_MASTER[Qty
(Unit)])</f>
        <v>1</v>
      </c>
      <c r="N272" s="10">
        <f>AKSESORIS[[#This Row],[Total 
(pcs)]]*AKSESORIS[[#This Row],[UNIT]]</f>
        <v>4</v>
      </c>
      <c r="O272" s="9"/>
    </row>
    <row r="273" spans="1:15" x14ac:dyDescent="0.3">
      <c r="A273" t="s">
        <v>739</v>
      </c>
      <c r="B273" t="str">
        <f>IFERROR(VLOOKUP(A273,'DATA MASTER'!A:O,2,0)," ")</f>
        <v>Truss Modullar</v>
      </c>
      <c r="C273" s="19" t="str">
        <f>IFERROR(VLOOKUP(A273,'DATA MASTER'!A:O,4,0)," ")</f>
        <v>RB40</v>
      </c>
      <c r="D273" s="1"/>
      <c r="E273" s="1"/>
      <c r="F273" s="20" t="s">
        <v>904</v>
      </c>
      <c r="G273" s="20" t="s">
        <v>272</v>
      </c>
      <c r="H273" s="20" t="s">
        <v>272</v>
      </c>
      <c r="I273" s="1">
        <v>850</v>
      </c>
      <c r="J273" s="1">
        <v>4</v>
      </c>
      <c r="K273" s="10">
        <v>5.12</v>
      </c>
      <c r="L273" s="10">
        <f>AKSESORIS[[#This Row],[Total 
(pcs)]]*AKSESORIS[[#This Row],[Berat/pcs
(Kg)]]</f>
        <v>20.48</v>
      </c>
      <c r="M273" s="44">
        <f>SUMIF(DATA_MASTER[NO. PON],AKSESORIS[[#This Row],[No.PON]],DATA_MASTER[Qty
(Unit)])</f>
        <v>1</v>
      </c>
      <c r="N273" s="10">
        <f>AKSESORIS[[#This Row],[Total 
(pcs)]]*AKSESORIS[[#This Row],[UNIT]]</f>
        <v>4</v>
      </c>
      <c r="O273" s="9"/>
    </row>
    <row r="274" spans="1:15" x14ac:dyDescent="0.3">
      <c r="A274" t="s">
        <v>739</v>
      </c>
      <c r="B274" t="str">
        <f>IFERROR(VLOOKUP(A274,'DATA MASTER'!A:O,2,0)," ")</f>
        <v>Truss Modullar</v>
      </c>
      <c r="C274" s="19" t="str">
        <f>IFERROR(VLOOKUP(A274,'DATA MASTER'!A:O,4,0)," ")</f>
        <v>RB40</v>
      </c>
      <c r="D274" s="1"/>
      <c r="E274" s="1"/>
      <c r="F274" s="20" t="s">
        <v>43</v>
      </c>
      <c r="G274" s="20" t="s">
        <v>273</v>
      </c>
      <c r="H274" s="20" t="s">
        <v>277</v>
      </c>
      <c r="J274" s="1">
        <v>32</v>
      </c>
      <c r="K274" s="10">
        <v>10.25</v>
      </c>
      <c r="L274" s="10">
        <f>AKSESORIS[[#This Row],[Total 
(pcs)]]*AKSESORIS[[#This Row],[Berat/pcs
(Kg)]]</f>
        <v>328</v>
      </c>
      <c r="M274" s="44">
        <f>SUMIF(DATA_MASTER[NO. PON],AKSESORIS[[#This Row],[No.PON]],DATA_MASTER[Qty
(Unit)])</f>
        <v>1</v>
      </c>
      <c r="N274" s="10">
        <f>AKSESORIS[[#This Row],[Total 
(pcs)]]*AKSESORIS[[#This Row],[UNIT]]</f>
        <v>32</v>
      </c>
      <c r="O274" s="9"/>
    </row>
    <row r="275" spans="1:15" x14ac:dyDescent="0.3">
      <c r="A275" t="s">
        <v>739</v>
      </c>
      <c r="B275" t="str">
        <f>IFERROR(VLOOKUP(A275,'DATA MASTER'!A:O,2,0)," ")</f>
        <v>Truss Modullar</v>
      </c>
      <c r="C275" s="19" t="str">
        <f>IFERROR(VLOOKUP(A275,'DATA MASTER'!A:O,4,0)," ")</f>
        <v>RB40</v>
      </c>
      <c r="D275" s="1"/>
      <c r="E275" s="1"/>
      <c r="F275" s="20" t="s">
        <v>43</v>
      </c>
      <c r="G275" s="20" t="s">
        <v>274</v>
      </c>
      <c r="H275" s="20" t="s">
        <v>278</v>
      </c>
      <c r="J275" s="1">
        <v>64</v>
      </c>
      <c r="K275" s="10">
        <v>9.86</v>
      </c>
      <c r="L275" s="10">
        <f>AKSESORIS[[#This Row],[Total 
(pcs)]]*AKSESORIS[[#This Row],[Berat/pcs
(Kg)]]</f>
        <v>631.04</v>
      </c>
      <c r="M275" s="44">
        <f>SUMIF(DATA_MASTER[NO. PON],AKSESORIS[[#This Row],[No.PON]],DATA_MASTER[Qty
(Unit)])</f>
        <v>1</v>
      </c>
      <c r="N275" s="10">
        <f>AKSESORIS[[#This Row],[Total 
(pcs)]]*AKSESORIS[[#This Row],[UNIT]]</f>
        <v>64</v>
      </c>
      <c r="O275" s="9"/>
    </row>
    <row r="276" spans="1:15" x14ac:dyDescent="0.3">
      <c r="A276" t="s">
        <v>739</v>
      </c>
      <c r="B276" t="str">
        <f>IFERROR(VLOOKUP(A276,'DATA MASTER'!A:O,2,0)," ")</f>
        <v>Truss Modullar</v>
      </c>
      <c r="C276" s="19" t="str">
        <f>IFERROR(VLOOKUP(A276,'DATA MASTER'!A:O,4,0)," ")</f>
        <v>RB40</v>
      </c>
      <c r="D276" s="1"/>
      <c r="E276" s="1"/>
      <c r="F276" s="20" t="s">
        <v>43</v>
      </c>
      <c r="G276" s="20" t="s">
        <v>275</v>
      </c>
      <c r="H276" s="20" t="s">
        <v>279</v>
      </c>
      <c r="J276" s="1">
        <v>48</v>
      </c>
      <c r="K276" s="10">
        <v>11.08</v>
      </c>
      <c r="L276" s="10">
        <f>AKSESORIS[[#This Row],[Total 
(pcs)]]*AKSESORIS[[#This Row],[Berat/pcs
(Kg)]]</f>
        <v>531.84</v>
      </c>
      <c r="M276" s="44">
        <f>SUMIF(DATA_MASTER[NO. PON],AKSESORIS[[#This Row],[No.PON]],DATA_MASTER[Qty
(Unit)])</f>
        <v>1</v>
      </c>
      <c r="N276" s="10">
        <f>AKSESORIS[[#This Row],[Total 
(pcs)]]*AKSESORIS[[#This Row],[UNIT]]</f>
        <v>48</v>
      </c>
      <c r="O276" s="9"/>
    </row>
    <row r="277" spans="1:15" x14ac:dyDescent="0.3">
      <c r="A277" t="s">
        <v>739</v>
      </c>
      <c r="B277" t="str">
        <f>IFERROR(VLOOKUP(A277,'DATA MASTER'!A:O,2,0)," ")</f>
        <v>Truss Modullar</v>
      </c>
      <c r="C277" s="19" t="str">
        <f>IFERROR(VLOOKUP(A277,'DATA MASTER'!A:O,4,0)," ")</f>
        <v>RB40</v>
      </c>
      <c r="D277" s="1"/>
      <c r="E277" s="1"/>
      <c r="F277" s="20" t="s">
        <v>43</v>
      </c>
      <c r="G277" s="20" t="s">
        <v>276</v>
      </c>
      <c r="H277" s="20" t="s">
        <v>280</v>
      </c>
      <c r="J277" s="1">
        <v>96</v>
      </c>
      <c r="K277" s="10">
        <v>10.66</v>
      </c>
      <c r="L277" s="10">
        <f>AKSESORIS[[#This Row],[Total 
(pcs)]]*AKSESORIS[[#This Row],[Berat/pcs
(Kg)]]</f>
        <v>1023.36</v>
      </c>
      <c r="M277" s="44">
        <f>SUMIF(DATA_MASTER[NO. PON],AKSESORIS[[#This Row],[No.PON]],DATA_MASTER[Qty
(Unit)])</f>
        <v>1</v>
      </c>
      <c r="N277" s="10">
        <f>AKSESORIS[[#This Row],[Total 
(pcs)]]*AKSESORIS[[#This Row],[UNIT]]</f>
        <v>96</v>
      </c>
      <c r="O277" s="9"/>
    </row>
    <row r="278" spans="1:15" x14ac:dyDescent="0.3">
      <c r="A278" t="s">
        <v>750</v>
      </c>
      <c r="B278" t="str">
        <f>IFERROR(VLOOKUP(A278,'DATA MASTER'!A:O,2,0)," ")</f>
        <v>Panel Bailey</v>
      </c>
      <c r="C278" s="19" t="str">
        <f>IFERROR(VLOOKUP(A278,'DATA MASTER'!A:O,4,0)," ")</f>
        <v>30 DSR2-EW</v>
      </c>
      <c r="D278" s="1"/>
      <c r="E278" s="1"/>
      <c r="F278" s="20" t="s">
        <v>101</v>
      </c>
      <c r="G278" s="20" t="s">
        <v>102</v>
      </c>
      <c r="H278" s="20" t="s">
        <v>143</v>
      </c>
      <c r="I278" s="1">
        <v>213</v>
      </c>
      <c r="J278" s="1">
        <v>192</v>
      </c>
      <c r="K278" s="10">
        <v>3.1</v>
      </c>
      <c r="L278" s="10">
        <f>AKSESORIS[[#This Row],[Total 
(pcs)]]*AKSESORIS[[#This Row],[Berat/pcs
(Kg)]]</f>
        <v>595.20000000000005</v>
      </c>
      <c r="M278" s="44">
        <f>SUMIF(DATA_MASTER[NO. PON],AKSESORIS[[#This Row],[No.PON]],DATA_MASTER[Qty
(Unit)])</f>
        <v>1</v>
      </c>
      <c r="N278" s="10">
        <f>AKSESORIS[[#This Row],[Total 
(pcs)]]*AKSESORIS[[#This Row],[UNIT]]</f>
        <v>192</v>
      </c>
      <c r="O278" s="9"/>
    </row>
    <row r="279" spans="1:15" x14ac:dyDescent="0.3">
      <c r="A279" t="s">
        <v>750</v>
      </c>
      <c r="B279" t="str">
        <f>IFERROR(VLOOKUP(A279,'DATA MASTER'!A:O,2,0)," ")</f>
        <v>Panel Bailey</v>
      </c>
      <c r="C279" s="19" t="str">
        <f>IFERROR(VLOOKUP(A279,'DATA MASTER'!A:O,4,0)," ")</f>
        <v>30 DSR2-EW</v>
      </c>
      <c r="D279" s="1"/>
      <c r="E279" s="1"/>
      <c r="F279" s="20" t="s">
        <v>904</v>
      </c>
      <c r="G279" s="20" t="s">
        <v>145</v>
      </c>
      <c r="H279" s="20" t="s">
        <v>145</v>
      </c>
      <c r="I279" s="1">
        <v>420</v>
      </c>
      <c r="J279" s="1">
        <v>32</v>
      </c>
      <c r="K279" s="10">
        <v>1.08</v>
      </c>
      <c r="L279" s="10">
        <f>AKSESORIS[[#This Row],[Total 
(pcs)]]*AKSESORIS[[#This Row],[Berat/pcs
(Kg)]]</f>
        <v>34.56</v>
      </c>
      <c r="M279" s="44">
        <f>SUMIF(DATA_MASTER[NO. PON],AKSESORIS[[#This Row],[No.PON]],DATA_MASTER[Qty
(Unit)])</f>
        <v>1</v>
      </c>
      <c r="N279" s="10">
        <f>AKSESORIS[[#This Row],[Total 
(pcs)]]*AKSESORIS[[#This Row],[UNIT]]</f>
        <v>32</v>
      </c>
      <c r="O279" s="9"/>
    </row>
    <row r="280" spans="1:15" x14ac:dyDescent="0.3">
      <c r="A280" t="s">
        <v>787</v>
      </c>
      <c r="B280" t="str">
        <f>IFERROR(VLOOKUP(A280,'DATA MASTER'!A:O,2,0)," ")</f>
        <v>Girder</v>
      </c>
      <c r="C280" s="19" t="str">
        <f>IFERROR(VLOOKUP(A280,'DATA MASTER'!A:O,4,0)," ")</f>
        <v>AG40</v>
      </c>
      <c r="D280" s="1"/>
      <c r="E280" s="1"/>
      <c r="F280" s="20" t="s">
        <v>44</v>
      </c>
      <c r="G280" s="20" t="s">
        <v>843</v>
      </c>
      <c r="H280" s="20" t="s">
        <v>845</v>
      </c>
      <c r="J280" s="1">
        <v>12</v>
      </c>
      <c r="K280" s="10">
        <v>38.544612000000001</v>
      </c>
      <c r="L280" s="10">
        <f>AKSESORIS[[#This Row],[Total 
(pcs)]]*AKSESORIS[[#This Row],[Berat/pcs
(Kg)]]</f>
        <v>462.53534400000001</v>
      </c>
      <c r="M280" s="44">
        <f>SUMIF(DATA_MASTER[NO. PON],AKSESORIS[[#This Row],[No.PON]],DATA_MASTER[Qty
(Unit)])</f>
        <v>1</v>
      </c>
      <c r="N280" s="10">
        <f>AKSESORIS[[#This Row],[Total 
(pcs)]]*AKSESORIS[[#This Row],[UNIT]]</f>
        <v>12</v>
      </c>
      <c r="O280" s="9"/>
    </row>
    <row r="281" spans="1:15" x14ac:dyDescent="0.3">
      <c r="A281" t="s">
        <v>787</v>
      </c>
      <c r="B281" t="str">
        <f>IFERROR(VLOOKUP(A281,'DATA MASTER'!A:O,2,0)," ")</f>
        <v>Girder</v>
      </c>
      <c r="C281" s="19" t="str">
        <f>IFERROR(VLOOKUP(A281,'DATA MASTER'!A:O,4,0)," ")</f>
        <v>AG40</v>
      </c>
      <c r="D281" s="1"/>
      <c r="E281" s="1"/>
      <c r="F281" s="20" t="s">
        <v>44</v>
      </c>
      <c r="G281" s="20" t="s">
        <v>844</v>
      </c>
      <c r="H281" s="20" t="s">
        <v>846</v>
      </c>
      <c r="J281" s="1">
        <v>4</v>
      </c>
      <c r="K281" s="10">
        <v>3.438072</v>
      </c>
      <c r="L281" s="10">
        <f>AKSESORIS[[#This Row],[Total 
(pcs)]]*AKSESORIS[[#This Row],[Berat/pcs
(Kg)]]</f>
        <v>13.752288</v>
      </c>
      <c r="M281" s="44">
        <f>SUMIF(DATA_MASTER[NO. PON],AKSESORIS[[#This Row],[No.PON]],DATA_MASTER[Qty
(Unit)])</f>
        <v>1</v>
      </c>
      <c r="N281" s="10">
        <f>AKSESORIS[[#This Row],[Total 
(pcs)]]*AKSESORIS[[#This Row],[UNIT]]</f>
        <v>4</v>
      </c>
      <c r="O281" s="9"/>
    </row>
    <row r="282" spans="1:15" x14ac:dyDescent="0.3">
      <c r="A282" t="s">
        <v>787</v>
      </c>
      <c r="B282" t="str">
        <f>IFERROR(VLOOKUP(A282,'DATA MASTER'!A:O,2,0)," ")</f>
        <v>Girder</v>
      </c>
      <c r="C282" s="19" t="str">
        <f>IFERROR(VLOOKUP(A282,'DATA MASTER'!A:O,4,0)," ")</f>
        <v>AG40</v>
      </c>
      <c r="D282" s="1"/>
      <c r="E282" s="1"/>
      <c r="F282" s="20" t="s">
        <v>904</v>
      </c>
      <c r="G282" s="20" t="s">
        <v>847</v>
      </c>
      <c r="H282" s="20" t="s">
        <v>847</v>
      </c>
      <c r="I282" s="1">
        <v>420</v>
      </c>
      <c r="J282" s="1">
        <v>24</v>
      </c>
      <c r="K282" s="44">
        <v>2.23</v>
      </c>
      <c r="L282" s="10">
        <f>AKSESORIS[[#This Row],[Total 
(pcs)]]*AKSESORIS[[#This Row],[Berat/pcs
(Kg)]]</f>
        <v>53.519999999999996</v>
      </c>
      <c r="M282" s="44">
        <f>SUMIF(DATA_MASTER[NO. PON],AKSESORIS[[#This Row],[No.PON]],DATA_MASTER[Qty
(Unit)])</f>
        <v>1</v>
      </c>
      <c r="N282" s="10">
        <f>AKSESORIS[[#This Row],[Total 
(pcs)]]*AKSESORIS[[#This Row],[UNIT]]</f>
        <v>24</v>
      </c>
      <c r="O282" s="9"/>
    </row>
    <row r="283" spans="1:15" x14ac:dyDescent="0.3">
      <c r="A283" t="s">
        <v>787</v>
      </c>
      <c r="B283" t="str">
        <f>IFERROR(VLOOKUP(A283,'DATA MASTER'!A:O,2,0)," ")</f>
        <v>Girder</v>
      </c>
      <c r="C283" s="19" t="str">
        <f>IFERROR(VLOOKUP(A283,'DATA MASTER'!A:O,4,0)," ")</f>
        <v>AG40</v>
      </c>
      <c r="D283" s="1"/>
      <c r="E283" s="1"/>
      <c r="F283" s="20" t="s">
        <v>54</v>
      </c>
      <c r="G283" s="20" t="s">
        <v>55</v>
      </c>
      <c r="H283" s="20" t="s">
        <v>55</v>
      </c>
      <c r="I283" s="1">
        <v>185</v>
      </c>
      <c r="J283" s="1">
        <v>168</v>
      </c>
      <c r="K283" s="44">
        <v>0.21</v>
      </c>
      <c r="L283" s="10">
        <f>AKSESORIS[[#This Row],[Total 
(pcs)]]*AKSESORIS[[#This Row],[Berat/pcs
(Kg)]]</f>
        <v>35.28</v>
      </c>
      <c r="M283" s="44">
        <f>SUMIF(DATA_MASTER[NO. PON],AKSESORIS[[#This Row],[No.PON]],DATA_MASTER[Qty
(Unit)])</f>
        <v>1</v>
      </c>
      <c r="N283" s="10">
        <f>AKSESORIS[[#This Row],[Total 
(pcs)]]*AKSESORIS[[#This Row],[UNIT]]</f>
        <v>168</v>
      </c>
      <c r="O283" s="9"/>
    </row>
    <row r="284" spans="1:15" x14ac:dyDescent="0.3">
      <c r="A284" t="s">
        <v>787</v>
      </c>
      <c r="B284" t="str">
        <f>IFERROR(VLOOKUP(A284,'DATA MASTER'!A:O,2,0)," ")</f>
        <v>Girder</v>
      </c>
      <c r="C284" s="19" t="str">
        <f>IFERROR(VLOOKUP(A284,'DATA MASTER'!A:O,4,0)," ")</f>
        <v>AG40</v>
      </c>
      <c r="D284" s="1"/>
      <c r="E284" s="1"/>
      <c r="F284" s="20" t="s">
        <v>43</v>
      </c>
      <c r="G284" s="20" t="s">
        <v>848</v>
      </c>
      <c r="H284" s="20" t="s">
        <v>850</v>
      </c>
      <c r="J284" s="1">
        <v>10</v>
      </c>
      <c r="K284" s="10">
        <v>8.120000000000001</v>
      </c>
      <c r="L284" s="10">
        <f>AKSESORIS[[#This Row],[Total 
(pcs)]]*AKSESORIS[[#This Row],[Berat/pcs
(Kg)]]</f>
        <v>81.200000000000017</v>
      </c>
      <c r="M284" s="44">
        <f>SUMIF(DATA_MASTER[NO. PON],AKSESORIS[[#This Row],[No.PON]],DATA_MASTER[Qty
(Unit)])</f>
        <v>1</v>
      </c>
      <c r="N284" s="10">
        <f>AKSESORIS[[#This Row],[Total 
(pcs)]]*AKSESORIS[[#This Row],[UNIT]]</f>
        <v>10</v>
      </c>
      <c r="O284" s="9"/>
    </row>
    <row r="285" spans="1:15" x14ac:dyDescent="0.3">
      <c r="A285" t="s">
        <v>787</v>
      </c>
      <c r="B285" t="str">
        <f>IFERROR(VLOOKUP(A285,'DATA MASTER'!A:O,2,0)," ")</f>
        <v>Girder</v>
      </c>
      <c r="C285" s="19" t="str">
        <f>IFERROR(VLOOKUP(A285,'DATA MASTER'!A:O,4,0)," ")</f>
        <v>AG40</v>
      </c>
      <c r="D285" s="1"/>
      <c r="E285" s="1"/>
      <c r="F285" s="20" t="s">
        <v>43</v>
      </c>
      <c r="G285" s="20" t="s">
        <v>849</v>
      </c>
      <c r="H285" s="20" t="s">
        <v>851</v>
      </c>
      <c r="J285" s="1">
        <v>195</v>
      </c>
      <c r="K285" s="10">
        <v>10.348410256410256</v>
      </c>
      <c r="L285" s="10">
        <f>AKSESORIS[[#This Row],[Total 
(pcs)]]*AKSESORIS[[#This Row],[Berat/pcs
(Kg)]]</f>
        <v>2017.9399999999998</v>
      </c>
      <c r="M285" s="44">
        <f>SUMIF(DATA_MASTER[NO. PON],AKSESORIS[[#This Row],[No.PON]],DATA_MASTER[Qty
(Unit)])</f>
        <v>1</v>
      </c>
      <c r="N285" s="10">
        <f>AKSESORIS[[#This Row],[Total 
(pcs)]]*AKSESORIS[[#This Row],[UNIT]]</f>
        <v>195</v>
      </c>
      <c r="O285" s="9"/>
    </row>
    <row r="286" spans="1:15" x14ac:dyDescent="0.3">
      <c r="A286" t="s">
        <v>787</v>
      </c>
      <c r="B286" t="str">
        <f>IFERROR(VLOOKUP(A286,'DATA MASTER'!A:O,2,0)," ")</f>
        <v>Girder</v>
      </c>
      <c r="C286" s="19" t="str">
        <f>IFERROR(VLOOKUP(A286,'DATA MASTER'!A:O,4,0)," ")</f>
        <v>AG40</v>
      </c>
      <c r="D286" s="1"/>
      <c r="E286" s="1"/>
      <c r="F286" s="20" t="s">
        <v>56</v>
      </c>
      <c r="G286" s="20" t="s">
        <v>58</v>
      </c>
      <c r="H286" s="20" t="s">
        <v>57</v>
      </c>
      <c r="I286" s="1" t="s">
        <v>903</v>
      </c>
      <c r="J286" s="1">
        <v>168</v>
      </c>
      <c r="K286" s="10">
        <v>0.33</v>
      </c>
      <c r="L286" s="10">
        <f>AKSESORIS[[#This Row],[Total 
(pcs)]]*AKSESORIS[[#This Row],[Berat/pcs
(Kg)]]</f>
        <v>55.440000000000005</v>
      </c>
      <c r="M286" s="44">
        <f>SUMIF(DATA_MASTER[NO. PON],AKSESORIS[[#This Row],[No.PON]],DATA_MASTER[Qty
(Unit)])</f>
        <v>1</v>
      </c>
      <c r="N286" s="10">
        <f>AKSESORIS[[#This Row],[Total 
(pcs)]]*AKSESORIS[[#This Row],[UNIT]]</f>
        <v>168</v>
      </c>
      <c r="O286" s="9"/>
    </row>
    <row r="287" spans="1:15" x14ac:dyDescent="0.3">
      <c r="A287" t="s">
        <v>792</v>
      </c>
      <c r="B287" t="str">
        <f>IFERROR(VLOOKUP(A287,'DATA MASTER'!A:O,2,0)," ")</f>
        <v>JPO</v>
      </c>
      <c r="C287" s="19" t="str">
        <f>IFERROR(VLOOKUP(A287,'DATA MASTER'!A:O,4,0)," ")</f>
        <v>JPO-48</v>
      </c>
      <c r="D287" s="1"/>
      <c r="E287" s="1"/>
      <c r="F287" s="20" t="s">
        <v>904</v>
      </c>
      <c r="G287" s="20" t="s">
        <v>874</v>
      </c>
      <c r="H287" s="20" t="s">
        <v>876</v>
      </c>
      <c r="I287" s="1">
        <v>240</v>
      </c>
      <c r="J287" s="1">
        <v>16</v>
      </c>
      <c r="K287" s="10">
        <v>1.55</v>
      </c>
      <c r="L287" s="10">
        <f>AKSESORIS[[#This Row],[Total 
(pcs)]]*AKSESORIS[[#This Row],[Berat/pcs
(Kg)]]</f>
        <v>24.8</v>
      </c>
      <c r="M287" s="44">
        <f>SUMIF(DATA_MASTER[NO. PON],AKSESORIS[[#This Row],[No.PON]],DATA_MASTER[Qty
(Unit)])</f>
        <v>1</v>
      </c>
      <c r="N287" s="10">
        <f>AKSESORIS[[#This Row],[Total 
(pcs)]]*AKSESORIS[[#This Row],[UNIT]]</f>
        <v>16</v>
      </c>
      <c r="O287" s="9"/>
    </row>
    <row r="288" spans="1:15" x14ac:dyDescent="0.3">
      <c r="A288" t="s">
        <v>792</v>
      </c>
      <c r="B288" t="str">
        <f>IFERROR(VLOOKUP(A288,'DATA MASTER'!A:O,2,0)," ")</f>
        <v>JPO</v>
      </c>
      <c r="C288" s="19" t="str">
        <f>IFERROR(VLOOKUP(A288,'DATA MASTER'!A:O,4,0)," ")</f>
        <v>JPO-48</v>
      </c>
      <c r="D288" s="1"/>
      <c r="E288" s="1"/>
      <c r="F288" s="20" t="s">
        <v>44</v>
      </c>
      <c r="G288" s="20" t="s">
        <v>875</v>
      </c>
      <c r="H288" s="20" t="s">
        <v>877</v>
      </c>
      <c r="I288" s="1">
        <v>300</v>
      </c>
      <c r="J288" s="1">
        <v>8</v>
      </c>
      <c r="K288" s="10">
        <v>12.31</v>
      </c>
      <c r="L288" s="10">
        <f>AKSESORIS[[#This Row],[Total 
(pcs)]]*AKSESORIS[[#This Row],[Berat/pcs
(Kg)]]</f>
        <v>98.48</v>
      </c>
      <c r="M288" s="44">
        <f>SUMIF(DATA_MASTER[NO. PON],AKSESORIS[[#This Row],[No.PON]],DATA_MASTER[Qty
(Unit)])</f>
        <v>1</v>
      </c>
      <c r="N288" s="10">
        <f>AKSESORIS[[#This Row],[Total 
(pcs)]]*AKSESORIS[[#This Row],[UNIT]]</f>
        <v>8</v>
      </c>
      <c r="O288" s="9"/>
    </row>
    <row r="289" spans="1:15" x14ac:dyDescent="0.3">
      <c r="A289" t="s">
        <v>852</v>
      </c>
      <c r="B289" t="str">
        <f>IFERROR(VLOOKUP(A289,'DATA MASTER'!A:O,2,0)," ")</f>
        <v>Panel Bailey</v>
      </c>
      <c r="C289" s="19" t="str">
        <f>IFERROR(VLOOKUP(A289,'DATA MASTER'!A:O,4,0)," ")</f>
        <v>12 SSR-EW</v>
      </c>
      <c r="D289" s="1"/>
      <c r="E289" s="1"/>
      <c r="F289" s="20" t="s">
        <v>101</v>
      </c>
      <c r="G289" s="20" t="s">
        <v>102</v>
      </c>
      <c r="H289" s="20" t="s">
        <v>143</v>
      </c>
      <c r="I289" s="1">
        <v>213</v>
      </c>
      <c r="J289" s="1">
        <v>40</v>
      </c>
      <c r="K289" s="10">
        <v>3.1</v>
      </c>
      <c r="L289" s="10">
        <f>AKSESORIS[[#This Row],[Total 
(pcs)]]*AKSESORIS[[#This Row],[Berat/pcs
(Kg)]]</f>
        <v>124</v>
      </c>
      <c r="M289" s="44">
        <f>SUMIF(DATA_MASTER[NO. PON],AKSESORIS[[#This Row],[No.PON]],DATA_MASTER[Qty
(Unit)])</f>
        <v>3</v>
      </c>
      <c r="N289" s="10">
        <f>AKSESORIS[[#This Row],[Total 
(pcs)]]*AKSESORIS[[#This Row],[UNIT]]</f>
        <v>120</v>
      </c>
      <c r="O289" s="9"/>
    </row>
    <row r="290" spans="1:15" x14ac:dyDescent="0.3">
      <c r="A290" t="s">
        <v>852</v>
      </c>
      <c r="B290" t="str">
        <f>IFERROR(VLOOKUP(A290,'DATA MASTER'!A:O,2,0)," ")</f>
        <v>Panel Bailey</v>
      </c>
      <c r="C290" s="19" t="str">
        <f>IFERROR(VLOOKUP(A290,'DATA MASTER'!A:O,4,0)," ")</f>
        <v>12 SSR-EW</v>
      </c>
      <c r="D290" s="1"/>
      <c r="E290" s="1"/>
      <c r="F290" s="20" t="s">
        <v>904</v>
      </c>
      <c r="G290" s="20" t="s">
        <v>145</v>
      </c>
      <c r="H290" s="20" t="s">
        <v>145</v>
      </c>
      <c r="I290" s="1">
        <v>420</v>
      </c>
      <c r="J290" s="1">
        <v>16</v>
      </c>
      <c r="K290" s="10">
        <v>1.08</v>
      </c>
      <c r="L290" s="10">
        <f>AKSESORIS[[#This Row],[Total 
(pcs)]]*AKSESORIS[[#This Row],[Berat/pcs
(Kg)]]</f>
        <v>17.28</v>
      </c>
      <c r="M290" s="44">
        <f>SUMIF(DATA_MASTER[NO. PON],AKSESORIS[[#This Row],[No.PON]],DATA_MASTER[Qty
(Unit)])</f>
        <v>3</v>
      </c>
      <c r="N290" s="10">
        <f>AKSESORIS[[#This Row],[Total 
(pcs)]]*AKSESORIS[[#This Row],[UNIT]]</f>
        <v>48</v>
      </c>
      <c r="O290" s="9"/>
    </row>
    <row r="291" spans="1:15" x14ac:dyDescent="0.3">
      <c r="A291" t="s">
        <v>798</v>
      </c>
      <c r="B291" t="str">
        <f>IFERROR(VLOOKUP(A291,'DATA MASTER'!A:O,2,0)," ")</f>
        <v>STRUKTUR PERKUATAN</v>
      </c>
      <c r="C291" s="19" t="str">
        <f>IFERROR(VLOOKUP(A291,'DATA MASTER'!A:O,4,0)," ")</f>
        <v>PERKUATAN</v>
      </c>
      <c r="D291" s="1"/>
      <c r="E291" s="1"/>
      <c r="F291" s="20" t="s">
        <v>904</v>
      </c>
      <c r="G291" s="20" t="s">
        <v>868</v>
      </c>
      <c r="H291" s="20" t="s">
        <v>776</v>
      </c>
      <c r="I291" s="1">
        <v>600</v>
      </c>
      <c r="J291" s="1">
        <v>24</v>
      </c>
      <c r="K291" s="10">
        <v>1.3320833333333333</v>
      </c>
      <c r="L291" s="10">
        <f>AKSESORIS[[#This Row],[Total 
(pcs)]]*AKSESORIS[[#This Row],[Berat/pcs
(Kg)]]</f>
        <v>31.97</v>
      </c>
      <c r="M291" s="44">
        <f>SUMIF(DATA_MASTER[NO. PON],AKSESORIS[[#This Row],[No.PON]],DATA_MASTER[Qty
(Unit)])</f>
        <v>1</v>
      </c>
      <c r="N291" s="10">
        <f>AKSESORIS[[#This Row],[Total 
(pcs)]]*AKSESORIS[[#This Row],[UNIT]]</f>
        <v>24</v>
      </c>
      <c r="O291" s="9"/>
    </row>
    <row r="292" spans="1:15" x14ac:dyDescent="0.3">
      <c r="A292" t="s">
        <v>798</v>
      </c>
      <c r="B292" t="str">
        <f>IFERROR(VLOOKUP(A292,'DATA MASTER'!A:O,2,0)," ")</f>
        <v>STRUKTUR PERKUATAN</v>
      </c>
      <c r="C292" s="19" t="str">
        <f>IFERROR(VLOOKUP(A292,'DATA MASTER'!A:O,4,0)," ")</f>
        <v>PERKUATAN</v>
      </c>
      <c r="D292" s="1"/>
      <c r="E292" s="1"/>
      <c r="F292" s="20" t="s">
        <v>44</v>
      </c>
      <c r="G292" s="20" t="s">
        <v>869</v>
      </c>
      <c r="H292" s="20" t="s">
        <v>871</v>
      </c>
      <c r="J292" s="1">
        <v>3</v>
      </c>
      <c r="K292" s="10">
        <v>14.831771999999999</v>
      </c>
      <c r="L292" s="10">
        <f>AKSESORIS[[#This Row],[Total 
(pcs)]]*AKSESORIS[[#This Row],[Berat/pcs
(Kg)]]</f>
        <v>44.495315999999995</v>
      </c>
      <c r="M292" s="44">
        <f>SUMIF(DATA_MASTER[NO. PON],AKSESORIS[[#This Row],[No.PON]],DATA_MASTER[Qty
(Unit)])</f>
        <v>1</v>
      </c>
      <c r="N292" s="10">
        <f>AKSESORIS[[#This Row],[Total 
(pcs)]]*AKSESORIS[[#This Row],[UNIT]]</f>
        <v>3</v>
      </c>
      <c r="O292" s="9"/>
    </row>
    <row r="293" spans="1:15" x14ac:dyDescent="0.3">
      <c r="A293" t="s">
        <v>798</v>
      </c>
      <c r="B293" t="str">
        <f>IFERROR(VLOOKUP(A293,'DATA MASTER'!A:O,2,0)," ")</f>
        <v>STRUKTUR PERKUATAN</v>
      </c>
      <c r="C293" s="19" t="str">
        <f>IFERROR(VLOOKUP(A293,'DATA MASTER'!A:O,4,0)," ")</f>
        <v>PERKUATAN</v>
      </c>
      <c r="D293" s="1"/>
      <c r="E293" s="1"/>
      <c r="F293" s="20" t="s">
        <v>44</v>
      </c>
      <c r="G293" s="20" t="s">
        <v>870</v>
      </c>
      <c r="H293" s="20" t="s">
        <v>872</v>
      </c>
      <c r="J293" s="1">
        <v>6</v>
      </c>
      <c r="K293" s="10">
        <v>33.786761999999996</v>
      </c>
      <c r="L293" s="10">
        <f>AKSESORIS[[#This Row],[Total 
(pcs)]]*AKSESORIS[[#This Row],[Berat/pcs
(Kg)]]</f>
        <v>202.72057199999998</v>
      </c>
      <c r="M293" s="44">
        <f>SUMIF(DATA_MASTER[NO. PON],AKSESORIS[[#This Row],[No.PON]],DATA_MASTER[Qty
(Unit)])</f>
        <v>1</v>
      </c>
      <c r="N293" s="10">
        <f>AKSESORIS[[#This Row],[Total 
(pcs)]]*AKSESORIS[[#This Row],[UNIT]]</f>
        <v>6</v>
      </c>
      <c r="O293" s="9"/>
    </row>
    <row r="294" spans="1:15" x14ac:dyDescent="0.3">
      <c r="A294" t="s">
        <v>1000</v>
      </c>
      <c r="B294" t="str">
        <f>IFERROR(VLOOKUP(A294,'DATA MASTER'!A:O,2,0)," ")</f>
        <v>Jembatan Gantung</v>
      </c>
      <c r="C294" s="19" t="str">
        <f>IFERROR(VLOOKUP(A294,'DATA MASTER'!A:O,4,0)," ")</f>
        <v>JG40_ASIMETRIS</v>
      </c>
      <c r="D294" s="1"/>
      <c r="E294" s="1"/>
      <c r="F294" s="20" t="s">
        <v>885</v>
      </c>
      <c r="G294" s="20" t="s">
        <v>1021</v>
      </c>
      <c r="H294" s="20" t="s">
        <v>182</v>
      </c>
      <c r="I294" s="1">
        <v>55000</v>
      </c>
      <c r="J294" s="1">
        <v>1</v>
      </c>
      <c r="K294" s="10">
        <f>6.039*55</f>
        <v>332.14499999999998</v>
      </c>
      <c r="L294" s="16">
        <f>AKSESORIS[[#This Row],[Total 
(pcs)]]*AKSESORIS[[#This Row],[Berat/pcs
(Kg)]]</f>
        <v>332.14499999999998</v>
      </c>
      <c r="M294" s="44">
        <f>SUMIF(DATA_MASTER[NO. PON],AKSESORIS[[#This Row],[No.PON]],DATA_MASTER[Qty
(Unit)])</f>
        <v>1</v>
      </c>
      <c r="N294" s="10">
        <f>AKSESORIS[[#This Row],[Total 
(pcs)]]*AKSESORIS[[#This Row],[UNIT]]</f>
        <v>1</v>
      </c>
      <c r="O294" s="9"/>
    </row>
    <row r="295" spans="1:15" x14ac:dyDescent="0.3">
      <c r="A295" t="s">
        <v>1000</v>
      </c>
      <c r="B295" t="str">
        <f>IFERROR(VLOOKUP(A295,'DATA MASTER'!A:O,2,0)," ")</f>
        <v>Jembatan Gantung</v>
      </c>
      <c r="C295" s="19" t="str">
        <f>IFERROR(VLOOKUP(A295,'DATA MASTER'!A:O,4,0)," ")</f>
        <v>JG40_ASIMETRIS</v>
      </c>
      <c r="D295" s="1"/>
      <c r="E295" s="1"/>
      <c r="F295" s="20" t="s">
        <v>885</v>
      </c>
      <c r="G295" s="20" t="s">
        <v>1022</v>
      </c>
      <c r="H295" s="20" t="s">
        <v>182</v>
      </c>
      <c r="I295" s="1">
        <v>55000</v>
      </c>
      <c r="J295" s="1">
        <v>1</v>
      </c>
      <c r="K295" s="10">
        <f>6.039*55</f>
        <v>332.14499999999998</v>
      </c>
      <c r="L295" s="16">
        <f>AKSESORIS[[#This Row],[Total 
(pcs)]]*AKSESORIS[[#This Row],[Berat/pcs
(Kg)]]</f>
        <v>332.14499999999998</v>
      </c>
      <c r="M295" s="44">
        <f>SUMIF(DATA_MASTER[NO. PON],AKSESORIS[[#This Row],[No.PON]],DATA_MASTER[Qty
(Unit)])</f>
        <v>1</v>
      </c>
      <c r="N295" s="10">
        <f>AKSESORIS[[#This Row],[Total 
(pcs)]]*AKSESORIS[[#This Row],[UNIT]]</f>
        <v>1</v>
      </c>
      <c r="O295" s="9"/>
    </row>
    <row r="296" spans="1:15" x14ac:dyDescent="0.3">
      <c r="A296" t="s">
        <v>1000</v>
      </c>
      <c r="B296" t="str">
        <f>IFERROR(VLOOKUP(A296,'DATA MASTER'!A:O,2,0)," ")</f>
        <v>Jembatan Gantung</v>
      </c>
      <c r="C296" s="19" t="str">
        <f>IFERROR(VLOOKUP(A296,'DATA MASTER'!A:O,4,0)," ")</f>
        <v>JG40_ASIMETRIS</v>
      </c>
      <c r="D296" s="1"/>
      <c r="E296" s="1"/>
      <c r="F296" s="20" t="s">
        <v>885</v>
      </c>
      <c r="G296" s="20" t="s">
        <v>1024</v>
      </c>
      <c r="H296" s="20" t="s">
        <v>1023</v>
      </c>
      <c r="I296" s="1">
        <v>55000</v>
      </c>
      <c r="J296" s="1">
        <v>1</v>
      </c>
      <c r="K296" s="10">
        <f>1.07*55</f>
        <v>58.85</v>
      </c>
      <c r="L296" s="16">
        <f>AKSESORIS[[#This Row],[Total 
(pcs)]]*AKSESORIS[[#This Row],[Berat/pcs
(Kg)]]</f>
        <v>58.85</v>
      </c>
      <c r="M296" s="44">
        <f>SUMIF(DATA_MASTER[NO. PON],AKSESORIS[[#This Row],[No.PON]],DATA_MASTER[Qty
(Unit)])</f>
        <v>1</v>
      </c>
      <c r="N296" s="10">
        <f>AKSESORIS[[#This Row],[Total 
(pcs)]]*AKSESORIS[[#This Row],[UNIT]]</f>
        <v>1</v>
      </c>
      <c r="O296" s="9"/>
    </row>
    <row r="297" spans="1:15" x14ac:dyDescent="0.3">
      <c r="A297" t="s">
        <v>1000</v>
      </c>
      <c r="B297" t="str">
        <f>IFERROR(VLOOKUP(A297,'DATA MASTER'!A:O,2,0)," ")</f>
        <v>Jembatan Gantung</v>
      </c>
      <c r="C297" s="19" t="str">
        <f>IFERROR(VLOOKUP(A297,'DATA MASTER'!A:O,4,0)," ")</f>
        <v>JG40_ASIMETRIS</v>
      </c>
      <c r="D297" s="1"/>
      <c r="E297" s="1"/>
      <c r="F297" s="20" t="s">
        <v>885</v>
      </c>
      <c r="G297" s="20" t="s">
        <v>1025</v>
      </c>
      <c r="H297" s="20" t="s">
        <v>1026</v>
      </c>
      <c r="I297" s="1">
        <v>22000</v>
      </c>
      <c r="J297" s="1">
        <v>1</v>
      </c>
      <c r="K297" s="10">
        <f>0.418*22</f>
        <v>9.1959999999999997</v>
      </c>
      <c r="L297" s="16">
        <f>AKSESORIS[[#This Row],[Total 
(pcs)]]*AKSESORIS[[#This Row],[Berat/pcs
(Kg)]]</f>
        <v>9.1959999999999997</v>
      </c>
      <c r="M297" s="44">
        <f>SUMIF(DATA_MASTER[NO. PON],AKSESORIS[[#This Row],[No.PON]],DATA_MASTER[Qty
(Unit)])</f>
        <v>1</v>
      </c>
      <c r="N297" s="10">
        <f>AKSESORIS[[#This Row],[Total 
(pcs)]]*AKSESORIS[[#This Row],[UNIT]]</f>
        <v>1</v>
      </c>
      <c r="O297" s="9"/>
    </row>
    <row r="298" spans="1:15" x14ac:dyDescent="0.3">
      <c r="A298" t="s">
        <v>1000</v>
      </c>
      <c r="B298" t="str">
        <f>IFERROR(VLOOKUP(A298,'DATA MASTER'!A:O,2,0)," ")</f>
        <v>Jembatan Gantung</v>
      </c>
      <c r="C298" s="19" t="str">
        <f>IFERROR(VLOOKUP(A298,'DATA MASTER'!A:O,4,0)," ")</f>
        <v>JG40_ASIMETRIS</v>
      </c>
      <c r="D298" s="1"/>
      <c r="E298" s="1"/>
      <c r="F298" s="20" t="s">
        <v>886</v>
      </c>
      <c r="G298" s="20" t="s">
        <v>772</v>
      </c>
      <c r="H298" s="20" t="s">
        <v>780</v>
      </c>
      <c r="J298" s="1">
        <v>20</v>
      </c>
      <c r="K298" s="10">
        <v>0.1</v>
      </c>
      <c r="L298" s="16">
        <f>AKSESORIS[[#This Row],[Total 
(pcs)]]*AKSESORIS[[#This Row],[Berat/pcs
(Kg)]]</f>
        <v>2</v>
      </c>
      <c r="M298" s="44">
        <f>SUMIF(DATA_MASTER[NO. PON],AKSESORIS[[#This Row],[No.PON]],DATA_MASTER[Qty
(Unit)])</f>
        <v>1</v>
      </c>
      <c r="N298" s="10">
        <f>AKSESORIS[[#This Row],[Total 
(pcs)]]*AKSESORIS[[#This Row],[UNIT]]</f>
        <v>20</v>
      </c>
      <c r="O298" s="9"/>
    </row>
    <row r="299" spans="1:15" x14ac:dyDescent="0.3">
      <c r="A299" t="s">
        <v>1000</v>
      </c>
      <c r="B299" t="str">
        <f>IFERROR(VLOOKUP(A299,'DATA MASTER'!A:O,2,0)," ")</f>
        <v>Jembatan Gantung</v>
      </c>
      <c r="C299" s="19" t="str">
        <f>IFERROR(VLOOKUP(A299,'DATA MASTER'!A:O,4,0)," ")</f>
        <v>JG40_ASIMETRIS</v>
      </c>
      <c r="D299" s="1"/>
      <c r="E299" s="1"/>
      <c r="F299" s="20" t="s">
        <v>886</v>
      </c>
      <c r="G299" s="20" t="s">
        <v>1027</v>
      </c>
      <c r="H299" s="20"/>
      <c r="J299" s="1">
        <f>3*8</f>
        <v>24</v>
      </c>
      <c r="K299" s="10">
        <v>0.05</v>
      </c>
      <c r="L299" s="16">
        <f>AKSESORIS[[#This Row],[Total 
(pcs)]]*AKSESORIS[[#This Row],[Berat/pcs
(Kg)]]</f>
        <v>1.2000000000000002</v>
      </c>
      <c r="M299" s="44">
        <f>SUMIF(DATA_MASTER[NO. PON],AKSESORIS[[#This Row],[No.PON]],DATA_MASTER[Qty
(Unit)])</f>
        <v>1</v>
      </c>
      <c r="N299" s="10">
        <f>AKSESORIS[[#This Row],[Total 
(pcs)]]*AKSESORIS[[#This Row],[UNIT]]</f>
        <v>24</v>
      </c>
      <c r="O299" s="9"/>
    </row>
    <row r="300" spans="1:15" x14ac:dyDescent="0.3">
      <c r="A300" t="s">
        <v>1000</v>
      </c>
      <c r="B300" t="str">
        <f>IFERROR(VLOOKUP(A300,'DATA MASTER'!A:O,2,0)," ")</f>
        <v>Jembatan Gantung</v>
      </c>
      <c r="C300" s="19" t="str">
        <f>IFERROR(VLOOKUP(A300,'DATA MASTER'!A:O,4,0)," ")</f>
        <v>JG40_ASIMETRIS</v>
      </c>
      <c r="D300" s="1"/>
      <c r="E300" s="1"/>
      <c r="F300" s="20" t="s">
        <v>883</v>
      </c>
      <c r="G300" s="20" t="s">
        <v>1028</v>
      </c>
      <c r="H300" s="20" t="s">
        <v>1029</v>
      </c>
      <c r="I300" s="1">
        <v>1100</v>
      </c>
      <c r="J300" s="1">
        <v>38</v>
      </c>
      <c r="K300" s="10">
        <v>2.71</v>
      </c>
      <c r="L300" s="16">
        <f>AKSESORIS[[#This Row],[Total 
(pcs)]]*AKSESORIS[[#This Row],[Berat/pcs
(Kg)]]</f>
        <v>102.98</v>
      </c>
      <c r="M300" s="44">
        <f>SUMIF(DATA_MASTER[NO. PON],AKSESORIS[[#This Row],[No.PON]],DATA_MASTER[Qty
(Unit)])</f>
        <v>1</v>
      </c>
      <c r="N300" s="10">
        <f>AKSESORIS[[#This Row],[Total 
(pcs)]]*AKSESORIS[[#This Row],[UNIT]]</f>
        <v>38</v>
      </c>
      <c r="O300" s="9"/>
    </row>
    <row r="301" spans="1:15" x14ac:dyDescent="0.3">
      <c r="A301" t="s">
        <v>1000</v>
      </c>
      <c r="B301" t="str">
        <f>IFERROR(VLOOKUP(A301,'DATA MASTER'!A:O,2,0)," ")</f>
        <v>Jembatan Gantung</v>
      </c>
      <c r="C301" s="19" t="str">
        <f>IFERROR(VLOOKUP(A301,'DATA MASTER'!A:O,4,0)," ")</f>
        <v>JG40_ASIMETRIS</v>
      </c>
      <c r="D301" s="1"/>
      <c r="E301" s="1"/>
      <c r="F301" s="20" t="s">
        <v>101</v>
      </c>
      <c r="G301" s="20" t="s">
        <v>1030</v>
      </c>
      <c r="H301" s="20" t="s">
        <v>1032</v>
      </c>
      <c r="I301" s="1">
        <v>165</v>
      </c>
      <c r="J301" s="1">
        <v>2</v>
      </c>
      <c r="K301" s="10">
        <v>7</v>
      </c>
      <c r="L301" s="16">
        <f>AKSESORIS[[#This Row],[Total 
(pcs)]]*AKSESORIS[[#This Row],[Berat/pcs
(Kg)]]</f>
        <v>14</v>
      </c>
      <c r="M301" s="44">
        <f>SUMIF(DATA_MASTER[NO. PON],AKSESORIS[[#This Row],[No.PON]],DATA_MASTER[Qty
(Unit)])</f>
        <v>1</v>
      </c>
      <c r="N301" s="10">
        <f>AKSESORIS[[#This Row],[Total 
(pcs)]]*AKSESORIS[[#This Row],[UNIT]]</f>
        <v>2</v>
      </c>
      <c r="O301" s="9"/>
    </row>
    <row r="302" spans="1:15" x14ac:dyDescent="0.3">
      <c r="A302" t="s">
        <v>1000</v>
      </c>
      <c r="B302" t="str">
        <f>IFERROR(VLOOKUP(A302,'DATA MASTER'!A:O,2,0)," ")</f>
        <v>Jembatan Gantung</v>
      </c>
      <c r="C302" s="19" t="str">
        <f>IFERROR(VLOOKUP(A302,'DATA MASTER'!A:O,4,0)," ")</f>
        <v>JG40_ASIMETRIS</v>
      </c>
      <c r="D302" s="1"/>
      <c r="E302" s="1"/>
      <c r="F302" s="20" t="s">
        <v>101</v>
      </c>
      <c r="G302" s="20" t="s">
        <v>1031</v>
      </c>
      <c r="H302" s="20" t="s">
        <v>922</v>
      </c>
      <c r="I302" s="1">
        <v>150</v>
      </c>
      <c r="J302" s="1">
        <v>4</v>
      </c>
      <c r="K302" s="10">
        <v>2.4900000000000002</v>
      </c>
      <c r="L302" s="16">
        <f>AKSESORIS[[#This Row],[Total 
(pcs)]]*AKSESORIS[[#This Row],[Berat/pcs
(Kg)]]</f>
        <v>9.9600000000000009</v>
      </c>
      <c r="M302" s="44">
        <f>SUMIF(DATA_MASTER[NO. PON],AKSESORIS[[#This Row],[No.PON]],DATA_MASTER[Qty
(Unit)])</f>
        <v>1</v>
      </c>
      <c r="N302" s="10">
        <f>AKSESORIS[[#This Row],[Total 
(pcs)]]*AKSESORIS[[#This Row],[UNIT]]</f>
        <v>4</v>
      </c>
      <c r="O302" s="9"/>
    </row>
    <row r="303" spans="1:15" x14ac:dyDescent="0.3">
      <c r="A303" t="s">
        <v>1000</v>
      </c>
      <c r="B303" t="str">
        <f>IFERROR(VLOOKUP(A303,'DATA MASTER'!A:O,2,0)," ")</f>
        <v>Jembatan Gantung</v>
      </c>
      <c r="C303" s="19" t="str">
        <f>IFERROR(VLOOKUP(A303,'DATA MASTER'!A:O,4,0)," ")</f>
        <v>JG40_ASIMETRIS</v>
      </c>
      <c r="D303" s="1"/>
      <c r="E303" s="1"/>
      <c r="F303" s="20" t="s">
        <v>745</v>
      </c>
      <c r="G303" s="20" t="s">
        <v>1033</v>
      </c>
      <c r="H303" s="20" t="s">
        <v>1034</v>
      </c>
      <c r="I303" s="1">
        <v>516</v>
      </c>
      <c r="J303" s="1">
        <v>2</v>
      </c>
      <c r="K303" s="10">
        <v>49.67</v>
      </c>
      <c r="L303" s="16">
        <f>AKSESORIS[[#This Row],[Total 
(pcs)]]*AKSESORIS[[#This Row],[Berat/pcs
(Kg)]]</f>
        <v>99.34</v>
      </c>
      <c r="M303" s="44">
        <f>SUMIF(DATA_MASTER[NO. PON],AKSESORIS[[#This Row],[No.PON]],DATA_MASTER[Qty
(Unit)])</f>
        <v>1</v>
      </c>
      <c r="N303" s="10">
        <f>AKSESORIS[[#This Row],[Total 
(pcs)]]*AKSESORIS[[#This Row],[UNIT]]</f>
        <v>2</v>
      </c>
      <c r="O303" s="9"/>
    </row>
    <row r="304" spans="1:15" x14ac:dyDescent="0.3">
      <c r="A304" t="s">
        <v>1000</v>
      </c>
      <c r="B304" t="str">
        <f>IFERROR(VLOOKUP(A304,'DATA MASTER'!A:O,2,0)," ")</f>
        <v>Jembatan Gantung</v>
      </c>
      <c r="C304" s="19" t="str">
        <f>IFERROR(VLOOKUP(A304,'DATA MASTER'!A:O,4,0)," ")</f>
        <v>JG40_ASIMETRIS</v>
      </c>
      <c r="D304" s="1"/>
      <c r="E304" s="1"/>
      <c r="F304" s="20" t="s">
        <v>889</v>
      </c>
      <c r="G304" s="20" t="s">
        <v>1035</v>
      </c>
      <c r="H304" s="20" t="s">
        <v>1036</v>
      </c>
      <c r="I304" s="1">
        <v>180</v>
      </c>
      <c r="J304" s="1">
        <v>2</v>
      </c>
      <c r="K304" s="10">
        <v>31.5</v>
      </c>
      <c r="L304" s="16">
        <f>AKSESORIS[[#This Row],[Total 
(pcs)]]*AKSESORIS[[#This Row],[Berat/pcs
(Kg)]]</f>
        <v>63</v>
      </c>
      <c r="M304" s="44">
        <f>SUMIF(DATA_MASTER[NO. PON],AKSESORIS[[#This Row],[No.PON]],DATA_MASTER[Qty
(Unit)])</f>
        <v>1</v>
      </c>
      <c r="N304" s="10">
        <f>AKSESORIS[[#This Row],[Total 
(pcs)]]*AKSESORIS[[#This Row],[UNIT]]</f>
        <v>2</v>
      </c>
      <c r="O304" s="9"/>
    </row>
    <row r="305" spans="1:15" x14ac:dyDescent="0.3">
      <c r="A305" t="s">
        <v>1000</v>
      </c>
      <c r="B305" t="str">
        <f>IFERROR(VLOOKUP(A305,'DATA MASTER'!A:O,2,0)," ")</f>
        <v>Jembatan Gantung</v>
      </c>
      <c r="C305" s="19" t="str">
        <f>IFERROR(VLOOKUP(A305,'DATA MASTER'!A:O,4,0)," ")</f>
        <v>JG40_ASIMETRIS</v>
      </c>
      <c r="D305" s="1"/>
      <c r="E305" s="1"/>
      <c r="F305" s="20" t="s">
        <v>887</v>
      </c>
      <c r="G305" s="20" t="s">
        <v>1037</v>
      </c>
      <c r="H305" s="20" t="s">
        <v>1038</v>
      </c>
      <c r="J305" s="1">
        <v>2</v>
      </c>
      <c r="K305" s="10">
        <v>0.23</v>
      </c>
      <c r="L305" s="16">
        <f>AKSESORIS[[#This Row],[Total 
(pcs)]]*AKSESORIS[[#This Row],[Berat/pcs
(Kg)]]</f>
        <v>0.46</v>
      </c>
      <c r="M305" s="44">
        <f>SUMIF(DATA_MASTER[NO. PON],AKSESORIS[[#This Row],[No.PON]],DATA_MASTER[Qty
(Unit)])</f>
        <v>1</v>
      </c>
      <c r="N305" s="10">
        <f>AKSESORIS[[#This Row],[Total 
(pcs)]]*AKSESORIS[[#This Row],[UNIT]]</f>
        <v>2</v>
      </c>
      <c r="O305" s="9"/>
    </row>
    <row r="306" spans="1:15" x14ac:dyDescent="0.3">
      <c r="A306" t="s">
        <v>1000</v>
      </c>
      <c r="B306" t="str">
        <f>IFERROR(VLOOKUP(A306,'DATA MASTER'!A:O,2,0)," ")</f>
        <v>Jembatan Gantung</v>
      </c>
      <c r="C306" s="19" t="str">
        <f>IFERROR(VLOOKUP(A306,'DATA MASTER'!A:O,4,0)," ")</f>
        <v>JG40_ASIMETRIS</v>
      </c>
      <c r="D306" s="1"/>
      <c r="E306" s="1"/>
      <c r="F306" s="20" t="s">
        <v>888</v>
      </c>
      <c r="G306" s="20" t="s">
        <v>1039</v>
      </c>
      <c r="H306" s="20" t="s">
        <v>1040</v>
      </c>
      <c r="I306" s="1">
        <v>1385</v>
      </c>
      <c r="J306" s="1">
        <v>4</v>
      </c>
      <c r="K306" s="10">
        <v>26.679999999999996</v>
      </c>
      <c r="L306" s="16">
        <f>AKSESORIS[[#This Row],[Total 
(pcs)]]*AKSESORIS[[#This Row],[Berat/pcs
(Kg)]]</f>
        <v>106.71999999999998</v>
      </c>
      <c r="M306" s="44">
        <f>SUMIF(DATA_MASTER[NO. PON],AKSESORIS[[#This Row],[No.PON]],DATA_MASTER[Qty
(Unit)])</f>
        <v>1</v>
      </c>
      <c r="N306" s="10">
        <f>AKSESORIS[[#This Row],[Total 
(pcs)]]*AKSESORIS[[#This Row],[UNIT]]</f>
        <v>4</v>
      </c>
      <c r="O306" s="9"/>
    </row>
    <row r="307" spans="1:15" x14ac:dyDescent="0.3">
      <c r="A307" t="s">
        <v>1000</v>
      </c>
      <c r="B307" t="str">
        <f>IFERROR(VLOOKUP(A307,'DATA MASTER'!A:O,2,0)," ")</f>
        <v>Jembatan Gantung</v>
      </c>
      <c r="C307" s="19" t="str">
        <f>IFERROR(VLOOKUP(A307,'DATA MASTER'!A:O,4,0)," ")</f>
        <v>JG40_ASIMETRIS</v>
      </c>
      <c r="D307" s="1"/>
      <c r="E307" s="1"/>
      <c r="F307" s="20" t="s">
        <v>904</v>
      </c>
      <c r="G307" s="20" t="s">
        <v>1041</v>
      </c>
      <c r="H307" s="20" t="s">
        <v>814</v>
      </c>
      <c r="I307" s="1">
        <v>420</v>
      </c>
      <c r="J307" s="1">
        <v>4</v>
      </c>
      <c r="K307" s="10">
        <v>1.2</v>
      </c>
      <c r="L307" s="16">
        <f>AKSESORIS[[#This Row],[Total 
(pcs)]]*AKSESORIS[[#This Row],[Berat/pcs
(Kg)]]</f>
        <v>4.8</v>
      </c>
      <c r="M307" s="44">
        <f>SUMIF(DATA_MASTER[NO. PON],AKSESORIS[[#This Row],[No.PON]],DATA_MASTER[Qty
(Unit)])</f>
        <v>1</v>
      </c>
      <c r="N307" s="10">
        <f>AKSESORIS[[#This Row],[Total 
(pcs)]]*AKSESORIS[[#This Row],[UNIT]]</f>
        <v>4</v>
      </c>
      <c r="O307" s="9"/>
    </row>
    <row r="308" spans="1:15" x14ac:dyDescent="0.3">
      <c r="A308" t="s">
        <v>1000</v>
      </c>
      <c r="B308" t="str">
        <f>IFERROR(VLOOKUP(A308,'DATA MASTER'!A:O,2,0)," ")</f>
        <v>Jembatan Gantung</v>
      </c>
      <c r="C308" s="19" t="str">
        <f>IFERROR(VLOOKUP(A308,'DATA MASTER'!A:O,4,0)," ")</f>
        <v>JG40_ASIMETRIS</v>
      </c>
      <c r="D308" s="1"/>
      <c r="E308" s="1"/>
      <c r="F308" s="20" t="s">
        <v>1042</v>
      </c>
      <c r="G308" s="20" t="s">
        <v>1043</v>
      </c>
      <c r="H308" s="20" t="s">
        <v>814</v>
      </c>
      <c r="I308" s="1">
        <v>873</v>
      </c>
      <c r="J308" s="1">
        <v>20</v>
      </c>
      <c r="K308" s="10">
        <v>2.54</v>
      </c>
      <c r="L308" s="16">
        <f>AKSESORIS[[#This Row],[Total 
(pcs)]]*AKSESORIS[[#This Row],[Berat/pcs
(Kg)]]</f>
        <v>50.8</v>
      </c>
      <c r="M308" s="44">
        <f>SUMIF(DATA_MASTER[NO. PON],AKSESORIS[[#This Row],[No.PON]],DATA_MASTER[Qty
(Unit)])</f>
        <v>1</v>
      </c>
      <c r="N308" s="10">
        <f>AKSESORIS[[#This Row],[Total 
(pcs)]]*AKSESORIS[[#This Row],[UNIT]]</f>
        <v>20</v>
      </c>
      <c r="O308" s="9"/>
    </row>
    <row r="309" spans="1:15" x14ac:dyDescent="0.3">
      <c r="A309" t="s">
        <v>1000</v>
      </c>
      <c r="B309" t="str">
        <f>IFERROR(VLOOKUP(A309,'DATA MASTER'!A:O,2,0)," ")</f>
        <v>Jembatan Gantung</v>
      </c>
      <c r="C309" s="19" t="str">
        <f>IFERROR(VLOOKUP(A309,'DATA MASTER'!A:O,4,0)," ")</f>
        <v>JG40_ASIMETRIS</v>
      </c>
      <c r="D309" s="1"/>
      <c r="E309" s="1"/>
      <c r="F309" s="20" t="s">
        <v>1042</v>
      </c>
      <c r="G309" s="20" t="s">
        <v>1044</v>
      </c>
      <c r="H309" s="20" t="s">
        <v>814</v>
      </c>
      <c r="I309" s="1">
        <v>373</v>
      </c>
      <c r="J309" s="1">
        <v>12</v>
      </c>
      <c r="K309" s="10">
        <v>1.1100000000000001</v>
      </c>
      <c r="L309" s="16">
        <f>AKSESORIS[[#This Row],[Total 
(pcs)]]*AKSESORIS[[#This Row],[Berat/pcs
(Kg)]]</f>
        <v>13.32</v>
      </c>
      <c r="M309" s="44">
        <f>SUMIF(DATA_MASTER[NO. PON],AKSESORIS[[#This Row],[No.PON]],DATA_MASTER[Qty
(Unit)])</f>
        <v>1</v>
      </c>
      <c r="N309" s="10">
        <f>AKSESORIS[[#This Row],[Total 
(pcs)]]*AKSESORIS[[#This Row],[UNIT]]</f>
        <v>12</v>
      </c>
      <c r="O309" s="9"/>
    </row>
    <row r="310" spans="1:15" x14ac:dyDescent="0.3">
      <c r="A310" t="s">
        <v>1000</v>
      </c>
      <c r="B310" t="str">
        <f>IFERROR(VLOOKUP(A310,'DATA MASTER'!A:O,2,0)," ")</f>
        <v>Jembatan Gantung</v>
      </c>
      <c r="C310" s="19" t="str">
        <f>IFERROR(VLOOKUP(A310,'DATA MASTER'!A:O,4,0)," ")</f>
        <v>JG40_ASIMETRIS</v>
      </c>
      <c r="D310" s="1"/>
      <c r="E310" s="1"/>
      <c r="F310" s="20" t="s">
        <v>921</v>
      </c>
      <c r="G310" s="20" t="s">
        <v>1045</v>
      </c>
      <c r="H310" s="20" t="s">
        <v>1046</v>
      </c>
      <c r="I310" s="1">
        <v>872</v>
      </c>
      <c r="J310" s="1">
        <v>48</v>
      </c>
      <c r="K310" s="10">
        <v>3.02</v>
      </c>
      <c r="L310" s="16">
        <f>AKSESORIS[[#This Row],[Total 
(pcs)]]*AKSESORIS[[#This Row],[Berat/pcs
(Kg)]]</f>
        <v>144.96</v>
      </c>
      <c r="M310" s="44">
        <f>SUMIF(DATA_MASTER[NO. PON],AKSESORIS[[#This Row],[No.PON]],DATA_MASTER[Qty
(Unit)])</f>
        <v>1</v>
      </c>
      <c r="N310" s="10">
        <f>AKSESORIS[[#This Row],[Total 
(pcs)]]*AKSESORIS[[#This Row],[UNIT]]</f>
        <v>48</v>
      </c>
      <c r="O310" s="9"/>
    </row>
    <row r="311" spans="1:15" x14ac:dyDescent="0.3">
      <c r="A311" t="s">
        <v>960</v>
      </c>
      <c r="B311" t="str">
        <f>IFERROR(VLOOKUP(A311,'DATA MASTER'!A:O,2,0)," ")</f>
        <v>Girder</v>
      </c>
      <c r="C311" s="19" t="str">
        <f>IFERROR(VLOOKUP(A311,'DATA MASTER'!A:O,4,0)," ")</f>
        <v>CG12</v>
      </c>
      <c r="D311" s="1"/>
      <c r="E311" s="1"/>
      <c r="F311" s="20" t="s">
        <v>44</v>
      </c>
      <c r="G311" s="20" t="s">
        <v>963</v>
      </c>
      <c r="H311" s="20" t="s">
        <v>965</v>
      </c>
      <c r="J311" s="1">
        <v>8</v>
      </c>
      <c r="K311" s="44">
        <v>14.831771999999999</v>
      </c>
      <c r="L311" s="16">
        <f>AKSESORIS[[#This Row],[Total 
(pcs)]]*AKSESORIS[[#This Row],[Berat/pcs
(Kg)]]</f>
        <v>118.65417599999999</v>
      </c>
      <c r="M311" s="44">
        <f>SUMIF(DATA_MASTER[NO. PON],AKSESORIS[[#This Row],[No.PON]],DATA_MASTER[Qty
(Unit)])</f>
        <v>1</v>
      </c>
      <c r="N311" s="10">
        <f>AKSESORIS[[#This Row],[Total 
(pcs)]]*AKSESORIS[[#This Row],[UNIT]]</f>
        <v>8</v>
      </c>
      <c r="O311" s="9"/>
    </row>
    <row r="312" spans="1:15" x14ac:dyDescent="0.3">
      <c r="A312" t="s">
        <v>960</v>
      </c>
      <c r="B312" t="str">
        <f>IFERROR(VLOOKUP(A312,'DATA MASTER'!A:O,2,0)," ")</f>
        <v>Girder</v>
      </c>
      <c r="C312" s="19" t="str">
        <f>IFERROR(VLOOKUP(A312,'DATA MASTER'!A:O,4,0)," ")</f>
        <v>CG12</v>
      </c>
      <c r="D312" s="1"/>
      <c r="E312" s="1"/>
      <c r="F312" s="20" t="s">
        <v>44</v>
      </c>
      <c r="G312" s="20" t="s">
        <v>964</v>
      </c>
      <c r="H312" s="20" t="s">
        <v>62</v>
      </c>
      <c r="J312" s="1">
        <v>4</v>
      </c>
      <c r="K312" s="44">
        <v>3.438072</v>
      </c>
      <c r="L312" s="16">
        <f>AKSESORIS[[#This Row],[Total 
(pcs)]]*AKSESORIS[[#This Row],[Berat/pcs
(Kg)]]</f>
        <v>13.752288</v>
      </c>
      <c r="M312" s="44">
        <f>SUMIF(DATA_MASTER[NO. PON],AKSESORIS[[#This Row],[No.PON]],DATA_MASTER[Qty
(Unit)])</f>
        <v>1</v>
      </c>
      <c r="N312" s="10">
        <f>AKSESORIS[[#This Row],[Total 
(pcs)]]*AKSESORIS[[#This Row],[UNIT]]</f>
        <v>4</v>
      </c>
      <c r="O312" s="9"/>
    </row>
    <row r="313" spans="1:15" x14ac:dyDescent="0.3">
      <c r="A313" t="s">
        <v>960</v>
      </c>
      <c r="B313" t="str">
        <f>IFERROR(VLOOKUP(A313,'DATA MASTER'!A:O,2,0)," ")</f>
        <v>Girder</v>
      </c>
      <c r="C313" s="19" t="str">
        <f>IFERROR(VLOOKUP(A313,'DATA MASTER'!A:O,4,0)," ")</f>
        <v>CG12</v>
      </c>
      <c r="D313" s="1"/>
      <c r="E313" s="1"/>
      <c r="F313" s="20" t="s">
        <v>43</v>
      </c>
      <c r="G313" s="20" t="s">
        <v>713</v>
      </c>
      <c r="H313" s="20" t="s">
        <v>941</v>
      </c>
      <c r="I313" s="1">
        <v>1480</v>
      </c>
      <c r="J313" s="1">
        <v>33</v>
      </c>
      <c r="K313" s="10">
        <v>10.94</v>
      </c>
      <c r="L313" s="16">
        <f>AKSESORIS[[#This Row],[Total 
(pcs)]]*AKSESORIS[[#This Row],[Berat/pcs
(Kg)]]</f>
        <v>361.02</v>
      </c>
      <c r="M313" s="44">
        <f>SUMIF(DATA_MASTER[NO. PON],AKSESORIS[[#This Row],[No.PON]],DATA_MASTER[Qty
(Unit)])</f>
        <v>1</v>
      </c>
      <c r="N313" s="10">
        <f>AKSESORIS[[#This Row],[Total 
(pcs)]]*AKSESORIS[[#This Row],[UNIT]]</f>
        <v>33</v>
      </c>
      <c r="O313" s="9"/>
    </row>
    <row r="314" spans="1:15" x14ac:dyDescent="0.3">
      <c r="A314" t="s">
        <v>960</v>
      </c>
      <c r="B314" t="str">
        <f>IFERROR(VLOOKUP(A314,'DATA MASTER'!A:O,2,0)," ")</f>
        <v>Girder</v>
      </c>
      <c r="C314" s="19" t="str">
        <f>IFERROR(VLOOKUP(A314,'DATA MASTER'!A:O,4,0)," ")</f>
        <v>CG12</v>
      </c>
      <c r="D314" s="1"/>
      <c r="E314" s="1"/>
      <c r="F314" s="20" t="s">
        <v>43</v>
      </c>
      <c r="G314" s="20" t="s">
        <v>714</v>
      </c>
      <c r="H314" s="20" t="s">
        <v>966</v>
      </c>
      <c r="I314" s="1">
        <v>1480</v>
      </c>
      <c r="J314" s="1">
        <v>6</v>
      </c>
      <c r="K314" s="10">
        <v>7.63</v>
      </c>
      <c r="L314" s="16">
        <f>AKSESORIS[[#This Row],[Total 
(pcs)]]*AKSESORIS[[#This Row],[Berat/pcs
(Kg)]]</f>
        <v>45.78</v>
      </c>
      <c r="M314" s="44">
        <f>SUMIF(DATA_MASTER[NO. PON],AKSESORIS[[#This Row],[No.PON]],DATA_MASTER[Qty
(Unit)])</f>
        <v>1</v>
      </c>
      <c r="N314" s="10">
        <f>AKSESORIS[[#This Row],[Total 
(pcs)]]*AKSESORIS[[#This Row],[UNIT]]</f>
        <v>6</v>
      </c>
      <c r="O314" s="9"/>
    </row>
    <row r="315" spans="1:15" x14ac:dyDescent="0.3">
      <c r="A315" t="s">
        <v>960</v>
      </c>
      <c r="B315" t="str">
        <f>IFERROR(VLOOKUP(A315,'DATA MASTER'!A:O,2,0)," ")</f>
        <v>Girder</v>
      </c>
      <c r="C315" s="19" t="str">
        <f>IFERROR(VLOOKUP(A315,'DATA MASTER'!A:O,4,0)," ")</f>
        <v>CG12</v>
      </c>
      <c r="D315" s="1"/>
      <c r="E315" s="1"/>
      <c r="F315" s="20" t="s">
        <v>904</v>
      </c>
      <c r="G315" s="20" t="s">
        <v>53</v>
      </c>
      <c r="H315" s="20" t="s">
        <v>53</v>
      </c>
      <c r="I315" s="1">
        <v>420</v>
      </c>
      <c r="J315" s="1">
        <v>56</v>
      </c>
      <c r="K315" s="44">
        <v>1.55</v>
      </c>
      <c r="L315" s="16">
        <f>AKSESORIS[[#This Row],[Total 
(pcs)]]*AKSESORIS[[#This Row],[Berat/pcs
(Kg)]]</f>
        <v>86.8</v>
      </c>
      <c r="M315" s="44">
        <f>SUMIF(DATA_MASTER[NO. PON],AKSESORIS[[#This Row],[No.PON]],DATA_MASTER[Qty
(Unit)])</f>
        <v>1</v>
      </c>
      <c r="N315" s="10">
        <f>AKSESORIS[[#This Row],[Total 
(pcs)]]*AKSESORIS[[#This Row],[UNIT]]</f>
        <v>56</v>
      </c>
      <c r="O315" s="9"/>
    </row>
    <row r="316" spans="1:15" x14ac:dyDescent="0.3">
      <c r="A316" t="s">
        <v>960</v>
      </c>
      <c r="B316" t="str">
        <f>IFERROR(VLOOKUP(A316,'DATA MASTER'!A:O,2,0)," ")</f>
        <v>Girder</v>
      </c>
      <c r="C316" s="19" t="str">
        <f>IFERROR(VLOOKUP(A316,'DATA MASTER'!A:O,4,0)," ")</f>
        <v>CG12</v>
      </c>
      <c r="D316" s="1"/>
      <c r="E316" s="1"/>
      <c r="F316" s="20" t="s">
        <v>54</v>
      </c>
      <c r="G316" s="20" t="s">
        <v>55</v>
      </c>
      <c r="H316" s="20" t="s">
        <v>55</v>
      </c>
      <c r="I316" s="1">
        <v>185</v>
      </c>
      <c r="J316" s="1">
        <v>16</v>
      </c>
      <c r="K316" s="44">
        <v>0.21</v>
      </c>
      <c r="L316" s="16">
        <f>AKSESORIS[[#This Row],[Total 
(pcs)]]*AKSESORIS[[#This Row],[Berat/pcs
(Kg)]]</f>
        <v>3.36</v>
      </c>
      <c r="M316" s="44">
        <f>SUMIF(DATA_MASTER[NO. PON],AKSESORIS[[#This Row],[No.PON]],DATA_MASTER[Qty
(Unit)])</f>
        <v>1</v>
      </c>
      <c r="N316" s="10">
        <f>AKSESORIS[[#This Row],[Total 
(pcs)]]*AKSESORIS[[#This Row],[UNIT]]</f>
        <v>16</v>
      </c>
      <c r="O316" s="9"/>
    </row>
    <row r="317" spans="1:15" x14ac:dyDescent="0.3">
      <c r="A317" t="s">
        <v>960</v>
      </c>
      <c r="B317" t="str">
        <f>IFERROR(VLOOKUP(A317,'DATA MASTER'!A:O,2,0)," ")</f>
        <v>Girder</v>
      </c>
      <c r="C317" s="19" t="str">
        <f>IFERROR(VLOOKUP(A317,'DATA MASTER'!A:O,4,0)," ")</f>
        <v>CG12</v>
      </c>
      <c r="D317" s="1"/>
      <c r="E317" s="1"/>
      <c r="F317" s="20" t="s">
        <v>56</v>
      </c>
      <c r="G317" s="20" t="s">
        <v>58</v>
      </c>
      <c r="H317" s="20" t="s">
        <v>57</v>
      </c>
      <c r="I317" s="1" t="s">
        <v>903</v>
      </c>
      <c r="J317" s="1">
        <v>56</v>
      </c>
      <c r="K317" s="10">
        <v>0.33</v>
      </c>
      <c r="L317" s="16">
        <f>AKSESORIS[[#This Row],[Total 
(pcs)]]*AKSESORIS[[#This Row],[Berat/pcs
(Kg)]]</f>
        <v>18.48</v>
      </c>
      <c r="M317" s="44">
        <f>SUMIF(DATA_MASTER[NO. PON],AKSESORIS[[#This Row],[No.PON]],DATA_MASTER[Qty
(Unit)])</f>
        <v>1</v>
      </c>
      <c r="N317" s="10">
        <f>AKSESORIS[[#This Row],[Total 
(pcs)]]*AKSESORIS[[#This Row],[UNIT]]</f>
        <v>56</v>
      </c>
      <c r="O317" s="9"/>
    </row>
    <row r="318" spans="1:15" x14ac:dyDescent="0.3">
      <c r="A318" t="s">
        <v>905</v>
      </c>
      <c r="B318" t="str">
        <f>IFERROR(VLOOKUP(A318,'DATA MASTER'!A:O,2,0)," ")</f>
        <v>Panel Bailey</v>
      </c>
      <c r="C318" s="19" t="str">
        <f>IFERROR(VLOOKUP(A318,'DATA MASTER'!A:O,4,0)," ")</f>
        <v>Ex. England</v>
      </c>
      <c r="D318" s="1"/>
      <c r="E318" s="1"/>
      <c r="F318" s="20" t="s">
        <v>101</v>
      </c>
      <c r="G318" s="20" t="s">
        <v>910</v>
      </c>
      <c r="H318" s="20" t="s">
        <v>912</v>
      </c>
      <c r="J318" s="1">
        <v>2</v>
      </c>
      <c r="K318" s="10">
        <v>3.6441377388</v>
      </c>
      <c r="L318" s="10">
        <f>AKSESORIS[[#This Row],[Total 
(pcs)]]*AKSESORIS[[#This Row],[Berat/pcs
(Kg)]]</f>
        <v>7.2882754776000001</v>
      </c>
      <c r="M318" s="44">
        <f>SUMIF(DATA_MASTER[NO. PON],AKSESORIS[[#This Row],[No.PON]],DATA_MASTER[Qty
(Unit)])</f>
        <v>1</v>
      </c>
      <c r="N318" s="10">
        <f>AKSESORIS[[#This Row],[Total 
(pcs)]]*AKSESORIS[[#This Row],[UNIT]]</f>
        <v>2</v>
      </c>
      <c r="O318" s="9"/>
    </row>
    <row r="319" spans="1:15" x14ac:dyDescent="0.3">
      <c r="A319" t="s">
        <v>905</v>
      </c>
      <c r="B319" t="str">
        <f>IFERROR(VLOOKUP(A319,'DATA MASTER'!A:O,2,0)," ")</f>
        <v>Panel Bailey</v>
      </c>
      <c r="C319" s="19" t="str">
        <f>IFERROR(VLOOKUP(A319,'DATA MASTER'!A:O,4,0)," ")</f>
        <v>Ex. England</v>
      </c>
      <c r="D319" s="1"/>
      <c r="E319" s="1"/>
      <c r="F319" s="20" t="s">
        <v>101</v>
      </c>
      <c r="G319" s="20" t="s">
        <v>911</v>
      </c>
      <c r="H319" s="20" t="s">
        <v>913</v>
      </c>
      <c r="J319" s="1">
        <v>19</v>
      </c>
      <c r="K319" s="10">
        <v>2.699361288</v>
      </c>
      <c r="L319" s="10">
        <f>AKSESORIS[[#This Row],[Total 
(pcs)]]*AKSESORIS[[#This Row],[Berat/pcs
(Kg)]]</f>
        <v>51.287864472000003</v>
      </c>
      <c r="M319" s="44">
        <f>SUMIF(DATA_MASTER[NO. PON],AKSESORIS[[#This Row],[No.PON]],DATA_MASTER[Qty
(Unit)])</f>
        <v>1</v>
      </c>
      <c r="N319" s="10">
        <f>AKSESORIS[[#This Row],[Total 
(pcs)]]*AKSESORIS[[#This Row],[UNIT]]</f>
        <v>19</v>
      </c>
      <c r="O319" s="9"/>
    </row>
    <row r="320" spans="1:15" x14ac:dyDescent="0.3">
      <c r="A320" t="s">
        <v>948</v>
      </c>
      <c r="B320" t="str">
        <f>IFERROR(VLOOKUP(A320,'DATA MASTER'!A:O,2,0)," ")</f>
        <v>Truss Modullar</v>
      </c>
      <c r="C320" s="19" t="str">
        <f>IFERROR(VLOOKUP(A320,'DATA MASTER'!A:O,4,0)," ")</f>
        <v>RB30</v>
      </c>
      <c r="D320" s="1"/>
      <c r="E320" s="1"/>
      <c r="F320" s="20" t="s">
        <v>44</v>
      </c>
      <c r="G320" s="20" t="s">
        <v>1133</v>
      </c>
      <c r="H320" s="20" t="s">
        <v>1136</v>
      </c>
      <c r="I320" s="1">
        <v>525</v>
      </c>
      <c r="J320" s="1">
        <v>4</v>
      </c>
      <c r="K320" s="10">
        <v>53.701242000000001</v>
      </c>
      <c r="L320" s="16">
        <f>AKSESORIS[[#This Row],[Total 
(pcs)]]*AKSESORIS[[#This Row],[Berat/pcs
(Kg)]]</f>
        <v>214.804968</v>
      </c>
      <c r="M320" s="44">
        <f>SUMIF(DATA_MASTER[NO. PON],AKSESORIS[[#This Row],[No.PON]],DATA_MASTER[Qty
(Unit)])</f>
        <v>1</v>
      </c>
      <c r="N320" s="10">
        <f>AKSESORIS[[#This Row],[Total 
(pcs)]]*AKSESORIS[[#This Row],[UNIT]]</f>
        <v>4</v>
      </c>
      <c r="O320" s="9"/>
    </row>
    <row r="321" spans="1:15" x14ac:dyDescent="0.3">
      <c r="A321" t="s">
        <v>948</v>
      </c>
      <c r="B321" t="str">
        <f>IFERROR(VLOOKUP(A321,'DATA MASTER'!A:O,2,0)," ")</f>
        <v>Truss Modullar</v>
      </c>
      <c r="C321" s="19" t="str">
        <f>IFERROR(VLOOKUP(A321,'DATA MASTER'!A:O,4,0)," ")</f>
        <v>RB30</v>
      </c>
      <c r="D321" s="1"/>
      <c r="E321" s="1"/>
      <c r="F321" s="20" t="s">
        <v>44</v>
      </c>
      <c r="G321" s="20" t="s">
        <v>1134</v>
      </c>
      <c r="H321" s="20" t="s">
        <v>1124</v>
      </c>
      <c r="I321" s="1">
        <v>300</v>
      </c>
      <c r="J321" s="1">
        <v>4</v>
      </c>
      <c r="K321" s="10">
        <v>16.550561999999999</v>
      </c>
      <c r="L321" s="16">
        <f>AKSESORIS[[#This Row],[Total 
(pcs)]]*AKSESORIS[[#This Row],[Berat/pcs
(Kg)]]</f>
        <v>66.202247999999997</v>
      </c>
      <c r="M321" s="44">
        <f>SUMIF(DATA_MASTER[NO. PON],AKSESORIS[[#This Row],[No.PON]],DATA_MASTER[Qty
(Unit)])</f>
        <v>1</v>
      </c>
      <c r="N321" s="10">
        <f>AKSESORIS[[#This Row],[Total 
(pcs)]]*AKSESORIS[[#This Row],[UNIT]]</f>
        <v>4</v>
      </c>
      <c r="O321" s="9"/>
    </row>
    <row r="322" spans="1:15" x14ac:dyDescent="0.3">
      <c r="A322" t="s">
        <v>948</v>
      </c>
      <c r="B322" t="str">
        <f>IFERROR(VLOOKUP(A322,'DATA MASTER'!A:O,2,0)," ")</f>
        <v>Truss Modullar</v>
      </c>
      <c r="C322" s="19" t="str">
        <f>IFERROR(VLOOKUP(A322,'DATA MASTER'!A:O,4,0)," ")</f>
        <v>RB30</v>
      </c>
      <c r="D322" s="1"/>
      <c r="E322" s="1"/>
      <c r="F322" s="20" t="s">
        <v>44</v>
      </c>
      <c r="G322" s="20" t="s">
        <v>1135</v>
      </c>
      <c r="H322" s="20" t="s">
        <v>1137</v>
      </c>
      <c r="I322" s="1">
        <v>250</v>
      </c>
      <c r="J322" s="1">
        <v>4</v>
      </c>
      <c r="K322" s="10">
        <v>9.3675170000000012</v>
      </c>
      <c r="L322" s="16">
        <f>AKSESORIS[[#This Row],[Total 
(pcs)]]*AKSESORIS[[#This Row],[Berat/pcs
(Kg)]]</f>
        <v>37.470068000000005</v>
      </c>
      <c r="M322" s="44">
        <f>SUMIF(DATA_MASTER[NO. PON],AKSESORIS[[#This Row],[No.PON]],DATA_MASTER[Qty
(Unit)])</f>
        <v>1</v>
      </c>
      <c r="N322" s="10">
        <f>AKSESORIS[[#This Row],[Total 
(pcs)]]*AKSESORIS[[#This Row],[UNIT]]</f>
        <v>4</v>
      </c>
      <c r="O322" s="9"/>
    </row>
    <row r="323" spans="1:15" x14ac:dyDescent="0.3">
      <c r="A323" t="s">
        <v>948</v>
      </c>
      <c r="B323" t="str">
        <f>IFERROR(VLOOKUP(A323,'DATA MASTER'!A:O,2,0)," ")</f>
        <v>Truss Modullar</v>
      </c>
      <c r="C323" s="19" t="str">
        <f>IFERROR(VLOOKUP(A323,'DATA MASTER'!A:O,4,0)," ")</f>
        <v>RB30</v>
      </c>
      <c r="D323" s="1"/>
      <c r="E323" s="1"/>
      <c r="F323" s="20" t="s">
        <v>43</v>
      </c>
      <c r="G323" s="20" t="s">
        <v>1138</v>
      </c>
      <c r="H323" s="20" t="s">
        <v>707</v>
      </c>
      <c r="I323" s="1">
        <v>1256</v>
      </c>
      <c r="J323" s="1">
        <v>36</v>
      </c>
      <c r="K323" s="10">
        <v>10.96</v>
      </c>
      <c r="L323" s="16">
        <f>AKSESORIS[[#This Row],[Total 
(pcs)]]*AKSESORIS[[#This Row],[Berat/pcs
(Kg)]]</f>
        <v>394.56000000000006</v>
      </c>
      <c r="M323" s="44">
        <f>SUMIF(DATA_MASTER[NO. PON],AKSESORIS[[#This Row],[No.PON]],DATA_MASTER[Qty
(Unit)])</f>
        <v>1</v>
      </c>
      <c r="N323" s="10">
        <f>AKSESORIS[[#This Row],[Total 
(pcs)]]*AKSESORIS[[#This Row],[UNIT]]</f>
        <v>36</v>
      </c>
      <c r="O323" s="9"/>
    </row>
    <row r="324" spans="1:15" x14ac:dyDescent="0.3">
      <c r="A324" t="s">
        <v>948</v>
      </c>
      <c r="B324" t="str">
        <f>IFERROR(VLOOKUP(A324,'DATA MASTER'!A:O,2,0)," ")</f>
        <v>Truss Modullar</v>
      </c>
      <c r="C324" s="19" t="str">
        <f>IFERROR(VLOOKUP(A324,'DATA MASTER'!A:O,4,0)," ")</f>
        <v>RB30</v>
      </c>
      <c r="D324" s="1"/>
      <c r="E324" s="1"/>
      <c r="F324" s="20" t="s">
        <v>43</v>
      </c>
      <c r="G324" s="20" t="s">
        <v>1139</v>
      </c>
      <c r="H324" s="20" t="s">
        <v>708</v>
      </c>
      <c r="I324" s="1">
        <v>1256</v>
      </c>
      <c r="J324" s="1">
        <v>72</v>
      </c>
      <c r="K324" s="10">
        <v>10.66</v>
      </c>
      <c r="L324" s="16">
        <f>AKSESORIS[[#This Row],[Total 
(pcs)]]*AKSESORIS[[#This Row],[Berat/pcs
(Kg)]]</f>
        <v>767.52</v>
      </c>
      <c r="M324" s="44">
        <f>SUMIF(DATA_MASTER[NO. PON],AKSESORIS[[#This Row],[No.PON]],DATA_MASTER[Qty
(Unit)])</f>
        <v>1</v>
      </c>
      <c r="N324" s="10">
        <f>AKSESORIS[[#This Row],[Total 
(pcs)]]*AKSESORIS[[#This Row],[UNIT]]</f>
        <v>72</v>
      </c>
      <c r="O324" s="9"/>
    </row>
    <row r="325" spans="1:15" x14ac:dyDescent="0.3">
      <c r="A325" t="s">
        <v>948</v>
      </c>
      <c r="B325" t="str">
        <f>IFERROR(VLOOKUP(A325,'DATA MASTER'!A:O,2,0)," ")</f>
        <v>Truss Modullar</v>
      </c>
      <c r="C325" s="19" t="str">
        <f>IFERROR(VLOOKUP(A325,'DATA MASTER'!A:O,4,0)," ")</f>
        <v>RB30</v>
      </c>
      <c r="D325" s="1"/>
      <c r="E325" s="1"/>
      <c r="F325" s="20" t="s">
        <v>43</v>
      </c>
      <c r="G325" s="20" t="s">
        <v>1140</v>
      </c>
      <c r="H325" s="20" t="s">
        <v>707</v>
      </c>
      <c r="I325" s="1">
        <v>1270</v>
      </c>
      <c r="J325" s="1">
        <v>24</v>
      </c>
      <c r="K325" s="10">
        <v>10.17</v>
      </c>
      <c r="L325" s="16">
        <f>AKSESORIS[[#This Row],[Total 
(pcs)]]*AKSESORIS[[#This Row],[Berat/pcs
(Kg)]]</f>
        <v>244.07999999999998</v>
      </c>
      <c r="M325" s="44">
        <f>SUMIF(DATA_MASTER[NO. PON],AKSESORIS[[#This Row],[No.PON]],DATA_MASTER[Qty
(Unit)])</f>
        <v>1</v>
      </c>
      <c r="N325" s="10">
        <f>AKSESORIS[[#This Row],[Total 
(pcs)]]*AKSESORIS[[#This Row],[UNIT]]</f>
        <v>24</v>
      </c>
      <c r="O325" s="9"/>
    </row>
    <row r="326" spans="1:15" x14ac:dyDescent="0.3">
      <c r="A326" t="s">
        <v>948</v>
      </c>
      <c r="B326" t="str">
        <f>IFERROR(VLOOKUP(A326,'DATA MASTER'!A:O,2,0)," ")</f>
        <v>Truss Modullar</v>
      </c>
      <c r="C326" s="19" t="str">
        <f>IFERROR(VLOOKUP(A326,'DATA MASTER'!A:O,4,0)," ")</f>
        <v>RB30</v>
      </c>
      <c r="D326" s="1"/>
      <c r="E326" s="1"/>
      <c r="F326" s="20" t="s">
        <v>43</v>
      </c>
      <c r="G326" s="20" t="s">
        <v>1141</v>
      </c>
      <c r="H326" s="20" t="s">
        <v>708</v>
      </c>
      <c r="I326" s="1">
        <v>1270</v>
      </c>
      <c r="J326" s="1">
        <v>48</v>
      </c>
      <c r="K326" s="10">
        <v>9.89</v>
      </c>
      <c r="L326" s="16">
        <f>AKSESORIS[[#This Row],[Total 
(pcs)]]*AKSESORIS[[#This Row],[Berat/pcs
(Kg)]]</f>
        <v>474.72</v>
      </c>
      <c r="M326" s="44">
        <f>SUMIF(DATA_MASTER[NO. PON],AKSESORIS[[#This Row],[No.PON]],DATA_MASTER[Qty
(Unit)])</f>
        <v>1</v>
      </c>
      <c r="N326" s="10">
        <f>AKSESORIS[[#This Row],[Total 
(pcs)]]*AKSESORIS[[#This Row],[UNIT]]</f>
        <v>48</v>
      </c>
      <c r="O326" s="9"/>
    </row>
    <row r="327" spans="1:15" x14ac:dyDescent="0.3">
      <c r="A327" t="s">
        <v>948</v>
      </c>
      <c r="B327" t="str">
        <f>IFERROR(VLOOKUP(A327,'DATA MASTER'!A:O,2,0)," ")</f>
        <v>Truss Modullar</v>
      </c>
      <c r="C327" s="19" t="str">
        <f>IFERROR(VLOOKUP(A327,'DATA MASTER'!A:O,4,0)," ")</f>
        <v>RB30</v>
      </c>
      <c r="D327" s="1"/>
      <c r="E327" s="1"/>
      <c r="F327" s="20" t="s">
        <v>904</v>
      </c>
      <c r="G327" s="20" t="s">
        <v>575</v>
      </c>
      <c r="H327" s="20" t="s">
        <v>576</v>
      </c>
      <c r="I327" s="1">
        <v>1000</v>
      </c>
      <c r="J327" s="1">
        <v>4</v>
      </c>
      <c r="K327" s="10">
        <v>6.03</v>
      </c>
      <c r="L327" s="16">
        <f>AKSESORIS[[#This Row],[Total 
(pcs)]]*AKSESORIS[[#This Row],[Berat/pcs
(Kg)]]</f>
        <v>24.12</v>
      </c>
      <c r="M327" s="44">
        <f>SUMIF(DATA_MASTER[NO. PON],AKSESORIS[[#This Row],[No.PON]],DATA_MASTER[Qty
(Unit)])</f>
        <v>1</v>
      </c>
      <c r="N327" s="10">
        <f>AKSESORIS[[#This Row],[Total 
(pcs)]]*AKSESORIS[[#This Row],[UNIT]]</f>
        <v>4</v>
      </c>
      <c r="O327" s="9"/>
    </row>
    <row r="328" spans="1:15" x14ac:dyDescent="0.3">
      <c r="A328" t="s">
        <v>1081</v>
      </c>
      <c r="B328" t="str">
        <f>IFERROR(VLOOKUP(A328,'DATA MASTER'!A:O,2,0)," ")</f>
        <v>Jembatan Gantung</v>
      </c>
      <c r="C328" s="19" t="str">
        <f>IFERROR(VLOOKUP(A328,'DATA MASTER'!A:O,4,0)," ")</f>
        <v>JG100P</v>
      </c>
      <c r="D328" s="1"/>
      <c r="E328" s="1"/>
      <c r="F328" s="20" t="s">
        <v>904</v>
      </c>
      <c r="G328" s="20" t="s">
        <v>1084</v>
      </c>
      <c r="H328" s="20" t="s">
        <v>1046</v>
      </c>
      <c r="I328" s="1">
        <v>918</v>
      </c>
      <c r="J328" s="1">
        <v>64</v>
      </c>
      <c r="K328" s="10">
        <v>3.17</v>
      </c>
      <c r="L328" s="16">
        <f>AKSESORIS[[#This Row],[Total 
(pcs)]]*AKSESORIS[[#This Row],[Berat/pcs
(Kg)]]</f>
        <v>202.88</v>
      </c>
      <c r="M328" s="44">
        <f>SUMIF(DATA_MASTER[NO. PON],AKSESORIS[[#This Row],[No.PON]],DATA_MASTER[Qty
(Unit)])</f>
        <v>1</v>
      </c>
      <c r="N328" s="10">
        <f>AKSESORIS[[#This Row],[Total 
(pcs)]]*AKSESORIS[[#This Row],[UNIT]]</f>
        <v>64</v>
      </c>
      <c r="O328" s="9"/>
    </row>
    <row r="329" spans="1:15" x14ac:dyDescent="0.3">
      <c r="A329" t="s">
        <v>1081</v>
      </c>
      <c r="B329" t="str">
        <f>IFERROR(VLOOKUP(A329,'DATA MASTER'!A:O,2,0)," ")</f>
        <v>Jembatan Gantung</v>
      </c>
      <c r="C329" s="19" t="str">
        <f>IFERROR(VLOOKUP(A329,'DATA MASTER'!A:O,4,0)," ")</f>
        <v>JG100P</v>
      </c>
      <c r="D329" s="1"/>
      <c r="E329" s="1"/>
      <c r="F329" s="20" t="s">
        <v>921</v>
      </c>
      <c r="G329" s="20" t="s">
        <v>1085</v>
      </c>
      <c r="H329" s="20" t="s">
        <v>1095</v>
      </c>
      <c r="I329" s="1">
        <v>372</v>
      </c>
      <c r="J329" s="1">
        <v>8</v>
      </c>
      <c r="K329" s="10">
        <v>0.77</v>
      </c>
      <c r="L329" s="16">
        <f>AKSESORIS[[#This Row],[Total 
(pcs)]]*AKSESORIS[[#This Row],[Berat/pcs
(Kg)]]</f>
        <v>6.16</v>
      </c>
      <c r="M329" s="44">
        <f>SUMIF(DATA_MASTER[NO. PON],AKSESORIS[[#This Row],[No.PON]],DATA_MASTER[Qty
(Unit)])</f>
        <v>1</v>
      </c>
      <c r="N329" s="10">
        <f>AKSESORIS[[#This Row],[Total 
(pcs)]]*AKSESORIS[[#This Row],[UNIT]]</f>
        <v>8</v>
      </c>
      <c r="O329" s="9"/>
    </row>
    <row r="330" spans="1:15" x14ac:dyDescent="0.3">
      <c r="A330" t="s">
        <v>1081</v>
      </c>
      <c r="B330" t="str">
        <f>IFERROR(VLOOKUP(A330,'DATA MASTER'!A:O,2,0)," ")</f>
        <v>Jembatan Gantung</v>
      </c>
      <c r="C330" s="19" t="str">
        <f>IFERROR(VLOOKUP(A330,'DATA MASTER'!A:O,4,0)," ")</f>
        <v>JG100P</v>
      </c>
      <c r="D330" s="1"/>
      <c r="E330" s="1"/>
      <c r="F330" s="20" t="s">
        <v>888</v>
      </c>
      <c r="G330" s="20" t="s">
        <v>1086</v>
      </c>
      <c r="H330" s="20" t="s">
        <v>1040</v>
      </c>
      <c r="I330" s="1">
        <v>1400</v>
      </c>
      <c r="J330" s="1">
        <v>8</v>
      </c>
      <c r="K330" s="10">
        <v>29.5</v>
      </c>
      <c r="L330" s="16">
        <f>AKSESORIS[[#This Row],[Total 
(pcs)]]*AKSESORIS[[#This Row],[Berat/pcs
(Kg)]]</f>
        <v>236</v>
      </c>
      <c r="M330" s="44">
        <f>SUMIF(DATA_MASTER[NO. PON],AKSESORIS[[#This Row],[No.PON]],DATA_MASTER[Qty
(Unit)])</f>
        <v>1</v>
      </c>
      <c r="N330" s="10">
        <f>AKSESORIS[[#This Row],[Total 
(pcs)]]*AKSESORIS[[#This Row],[UNIT]]</f>
        <v>8</v>
      </c>
      <c r="O330" s="9"/>
    </row>
    <row r="331" spans="1:15" x14ac:dyDescent="0.3">
      <c r="A331" t="s">
        <v>1081</v>
      </c>
      <c r="B331" t="str">
        <f>IFERROR(VLOOKUP(A331,'DATA MASTER'!A:O,2,0)," ")</f>
        <v>Jembatan Gantung</v>
      </c>
      <c r="C331" s="19" t="str">
        <f>IFERROR(VLOOKUP(A331,'DATA MASTER'!A:O,4,0)," ")</f>
        <v>JG100P</v>
      </c>
      <c r="D331" s="1"/>
      <c r="E331" s="1"/>
      <c r="F331" s="20" t="s">
        <v>883</v>
      </c>
      <c r="G331" s="20" t="s">
        <v>1087</v>
      </c>
      <c r="H331" s="20" t="s">
        <v>815</v>
      </c>
      <c r="I331" s="1">
        <v>1350</v>
      </c>
      <c r="J331" s="1">
        <v>78</v>
      </c>
      <c r="K331" s="10">
        <v>3.65</v>
      </c>
      <c r="L331" s="16">
        <f>AKSESORIS[[#This Row],[Total 
(pcs)]]*AKSESORIS[[#This Row],[Berat/pcs
(Kg)]]</f>
        <v>284.7</v>
      </c>
      <c r="M331" s="44">
        <f>SUMIF(DATA_MASTER[NO. PON],AKSESORIS[[#This Row],[No.PON]],DATA_MASTER[Qty
(Unit)])</f>
        <v>1</v>
      </c>
      <c r="N331" s="10">
        <f>AKSESORIS[[#This Row],[Total 
(pcs)]]*AKSESORIS[[#This Row],[UNIT]]</f>
        <v>78</v>
      </c>
      <c r="O331" s="9"/>
    </row>
    <row r="332" spans="1:15" x14ac:dyDescent="0.3">
      <c r="A332" t="s">
        <v>1081</v>
      </c>
      <c r="B332" t="str">
        <f>IFERROR(VLOOKUP(A332,'DATA MASTER'!A:O,2,0)," ")</f>
        <v>Jembatan Gantung</v>
      </c>
      <c r="C332" s="19" t="str">
        <f>IFERROR(VLOOKUP(A332,'DATA MASTER'!A:O,4,0)," ")</f>
        <v>JG100P</v>
      </c>
      <c r="D332" s="1"/>
      <c r="E332" s="1"/>
      <c r="F332" s="20" t="s">
        <v>101</v>
      </c>
      <c r="G332" s="20" t="s">
        <v>1088</v>
      </c>
      <c r="H332" s="20" t="s">
        <v>1032</v>
      </c>
      <c r="I332" s="1">
        <v>165</v>
      </c>
      <c r="J332" s="1">
        <v>4</v>
      </c>
      <c r="K332" s="10">
        <v>7</v>
      </c>
      <c r="L332" s="16">
        <f>AKSESORIS[[#This Row],[Total 
(pcs)]]*AKSESORIS[[#This Row],[Berat/pcs
(Kg)]]</f>
        <v>28</v>
      </c>
      <c r="M332" s="44">
        <f>SUMIF(DATA_MASTER[NO. PON],AKSESORIS[[#This Row],[No.PON]],DATA_MASTER[Qty
(Unit)])</f>
        <v>1</v>
      </c>
      <c r="N332" s="10">
        <f>AKSESORIS[[#This Row],[Total 
(pcs)]]*AKSESORIS[[#This Row],[UNIT]]</f>
        <v>4</v>
      </c>
      <c r="O332" s="9"/>
    </row>
    <row r="333" spans="1:15" x14ac:dyDescent="0.3">
      <c r="A333" t="s">
        <v>1081</v>
      </c>
      <c r="B333" t="str">
        <f>IFERROR(VLOOKUP(A333,'DATA MASTER'!A:O,2,0)," ")</f>
        <v>Jembatan Gantung</v>
      </c>
      <c r="C333" s="19" t="str">
        <f>IFERROR(VLOOKUP(A333,'DATA MASTER'!A:O,4,0)," ")</f>
        <v>JG100P</v>
      </c>
      <c r="D333" s="1"/>
      <c r="E333" s="1"/>
      <c r="F333" s="20" t="s">
        <v>101</v>
      </c>
      <c r="G333" s="20" t="s">
        <v>1089</v>
      </c>
      <c r="H333" s="20" t="s">
        <v>1096</v>
      </c>
      <c r="I333" s="1">
        <v>150</v>
      </c>
      <c r="J333" s="1">
        <v>8</v>
      </c>
      <c r="K333" s="10">
        <v>1.7100000000000002</v>
      </c>
      <c r="L333" s="16">
        <f>AKSESORIS[[#This Row],[Total 
(pcs)]]*AKSESORIS[[#This Row],[Berat/pcs
(Kg)]]</f>
        <v>13.680000000000001</v>
      </c>
      <c r="M333" s="44">
        <f>SUMIF(DATA_MASTER[NO. PON],AKSESORIS[[#This Row],[No.PON]],DATA_MASTER[Qty
(Unit)])</f>
        <v>1</v>
      </c>
      <c r="N333" s="10">
        <f>AKSESORIS[[#This Row],[Total 
(pcs)]]*AKSESORIS[[#This Row],[UNIT]]</f>
        <v>8</v>
      </c>
      <c r="O333" s="9"/>
    </row>
    <row r="334" spans="1:15" x14ac:dyDescent="0.3">
      <c r="A334" t="s">
        <v>1081</v>
      </c>
      <c r="B334" t="str">
        <f>IFERROR(VLOOKUP(A334,'DATA MASTER'!A:O,2,0)," ")</f>
        <v>Jembatan Gantung</v>
      </c>
      <c r="C334" s="19" t="str">
        <f>IFERROR(VLOOKUP(A334,'DATA MASTER'!A:O,4,0)," ")</f>
        <v>JG100P</v>
      </c>
      <c r="D334" s="1"/>
      <c r="E334" s="1"/>
      <c r="F334" s="20" t="s">
        <v>192</v>
      </c>
      <c r="G334" s="20" t="s">
        <v>1090</v>
      </c>
      <c r="H334" s="20" t="s">
        <v>820</v>
      </c>
      <c r="I334" s="1">
        <v>185</v>
      </c>
      <c r="J334" s="1">
        <v>4</v>
      </c>
      <c r="K334" s="10">
        <v>6.5</v>
      </c>
      <c r="L334" s="16">
        <f>AKSESORIS[[#This Row],[Total 
(pcs)]]*AKSESORIS[[#This Row],[Berat/pcs
(Kg)]]</f>
        <v>26</v>
      </c>
      <c r="M334" s="44">
        <f>SUMIF(DATA_MASTER[NO. PON],AKSESORIS[[#This Row],[No.PON]],DATA_MASTER[Qty
(Unit)])</f>
        <v>1</v>
      </c>
      <c r="N334" s="10">
        <f>AKSESORIS[[#This Row],[Total 
(pcs)]]*AKSESORIS[[#This Row],[UNIT]]</f>
        <v>4</v>
      </c>
      <c r="O334" s="9"/>
    </row>
    <row r="335" spans="1:15" x14ac:dyDescent="0.3">
      <c r="A335" t="s">
        <v>1081</v>
      </c>
      <c r="B335" t="str">
        <f>IFERROR(VLOOKUP(A335,'DATA MASTER'!A:O,2,0)," ")</f>
        <v>Jembatan Gantung</v>
      </c>
      <c r="C335" s="19" t="str">
        <f>IFERROR(VLOOKUP(A335,'DATA MASTER'!A:O,4,0)," ")</f>
        <v>JG100P</v>
      </c>
      <c r="D335" s="1"/>
      <c r="E335" s="1"/>
      <c r="F335" s="20" t="s">
        <v>1094</v>
      </c>
      <c r="G335" s="20" t="s">
        <v>1091</v>
      </c>
      <c r="H335" s="20" t="s">
        <v>819</v>
      </c>
      <c r="I335" s="1">
        <v>104</v>
      </c>
      <c r="J335" s="1">
        <v>4</v>
      </c>
      <c r="K335" s="10">
        <v>13.44</v>
      </c>
      <c r="L335" s="16">
        <f>AKSESORIS[[#This Row],[Total 
(pcs)]]*AKSESORIS[[#This Row],[Berat/pcs
(Kg)]]</f>
        <v>53.76</v>
      </c>
      <c r="M335" s="44">
        <f>SUMIF(DATA_MASTER[NO. PON],AKSESORIS[[#This Row],[No.PON]],DATA_MASTER[Qty
(Unit)])</f>
        <v>1</v>
      </c>
      <c r="N335" s="10">
        <f>AKSESORIS[[#This Row],[Total 
(pcs)]]*AKSESORIS[[#This Row],[UNIT]]</f>
        <v>4</v>
      </c>
      <c r="O335" s="9"/>
    </row>
    <row r="336" spans="1:15" x14ac:dyDescent="0.3">
      <c r="A336" t="s">
        <v>1081</v>
      </c>
      <c r="B336" t="str">
        <f>IFERROR(VLOOKUP(A336,'DATA MASTER'!A:O,2,0)," ")</f>
        <v>Jembatan Gantung</v>
      </c>
      <c r="C336" s="19" t="str">
        <f>IFERROR(VLOOKUP(A336,'DATA MASTER'!A:O,4,0)," ")</f>
        <v>JG100P</v>
      </c>
      <c r="D336" s="1"/>
      <c r="E336" s="1"/>
      <c r="F336" s="20" t="s">
        <v>889</v>
      </c>
      <c r="G336" s="20" t="s">
        <v>1092</v>
      </c>
      <c r="H336" s="20" t="s">
        <v>1036</v>
      </c>
      <c r="I336" s="1">
        <v>180</v>
      </c>
      <c r="J336" s="1">
        <v>4</v>
      </c>
      <c r="K336" s="10">
        <v>31.13</v>
      </c>
      <c r="L336" s="16">
        <f>AKSESORIS[[#This Row],[Total 
(pcs)]]*AKSESORIS[[#This Row],[Berat/pcs
(Kg)]]</f>
        <v>124.52</v>
      </c>
      <c r="M336" s="44">
        <f>SUMIF(DATA_MASTER[NO. PON],AKSESORIS[[#This Row],[No.PON]],DATA_MASTER[Qty
(Unit)])</f>
        <v>1</v>
      </c>
      <c r="N336" s="10">
        <f>AKSESORIS[[#This Row],[Total 
(pcs)]]*AKSESORIS[[#This Row],[UNIT]]</f>
        <v>4</v>
      </c>
      <c r="O336" s="9"/>
    </row>
    <row r="337" spans="1:15" x14ac:dyDescent="0.3">
      <c r="A337" t="s">
        <v>1081</v>
      </c>
      <c r="B337" t="str">
        <f>IFERROR(VLOOKUP(A337,'DATA MASTER'!A:O,2,0)," ")</f>
        <v>Jembatan Gantung</v>
      </c>
      <c r="C337" s="19" t="str">
        <f>IFERROR(VLOOKUP(A337,'DATA MASTER'!A:O,4,0)," ")</f>
        <v>JG100P</v>
      </c>
      <c r="D337" s="1"/>
      <c r="E337" s="1"/>
      <c r="F337" s="20" t="s">
        <v>196</v>
      </c>
      <c r="G337" s="20" t="s">
        <v>1093</v>
      </c>
      <c r="H337" s="20" t="s">
        <v>779</v>
      </c>
      <c r="I337" s="1">
        <v>110</v>
      </c>
      <c r="J337" s="1">
        <v>78</v>
      </c>
      <c r="K337" s="10">
        <v>1.131</v>
      </c>
      <c r="L337" s="16">
        <f>AKSESORIS[[#This Row],[Total 
(pcs)]]*AKSESORIS[[#This Row],[Berat/pcs
(Kg)]]</f>
        <v>88.218000000000004</v>
      </c>
      <c r="M337" s="44">
        <f>SUMIF(DATA_MASTER[NO. PON],AKSESORIS[[#This Row],[No.PON]],DATA_MASTER[Qty
(Unit)])</f>
        <v>1</v>
      </c>
      <c r="N337" s="10">
        <f>AKSESORIS[[#This Row],[Total 
(pcs)]]*AKSESORIS[[#This Row],[UNIT]]</f>
        <v>78</v>
      </c>
      <c r="O337" s="9"/>
    </row>
    <row r="338" spans="1:15" x14ac:dyDescent="0.3">
      <c r="A338" t="s">
        <v>1081</v>
      </c>
      <c r="B338" t="str">
        <f>IFERROR(VLOOKUP(A338,'DATA MASTER'!A:O,2,0)," ")</f>
        <v>Jembatan Gantung</v>
      </c>
      <c r="C338" s="19" t="str">
        <f>IFERROR(VLOOKUP(A338,'DATA MASTER'!A:O,4,0)," ")</f>
        <v>JG100P</v>
      </c>
      <c r="D338" s="1"/>
      <c r="E338" s="1"/>
      <c r="F338" s="20" t="s">
        <v>933</v>
      </c>
      <c r="G338" s="20" t="s">
        <v>1097</v>
      </c>
      <c r="H338" s="20"/>
      <c r="J338" s="1">
        <v>60</v>
      </c>
      <c r="K338" s="10">
        <v>2.9999999999999995E-2</v>
      </c>
      <c r="L338" s="16">
        <f>AKSESORIS[[#This Row],[Total 
(pcs)]]*AKSESORIS[[#This Row],[Berat/pcs
(Kg)]]</f>
        <v>1.7999999999999998</v>
      </c>
      <c r="M338" s="44">
        <f>SUMIF(DATA_MASTER[NO. PON],AKSESORIS[[#This Row],[No.PON]],DATA_MASTER[Qty
(Unit)])</f>
        <v>1</v>
      </c>
      <c r="N338" s="10">
        <f>AKSESORIS[[#This Row],[Total 
(pcs)]]*AKSESORIS[[#This Row],[UNIT]]</f>
        <v>60</v>
      </c>
      <c r="O338" s="9"/>
    </row>
    <row r="339" spans="1:15" x14ac:dyDescent="0.3">
      <c r="A339" t="s">
        <v>1081</v>
      </c>
      <c r="B339" t="str">
        <f>IFERROR(VLOOKUP(A339,'DATA MASTER'!A:O,2,0)," ")</f>
        <v>Jembatan Gantung</v>
      </c>
      <c r="C339" s="19" t="str">
        <f>IFERROR(VLOOKUP(A339,'DATA MASTER'!A:O,4,0)," ")</f>
        <v>JG100P</v>
      </c>
      <c r="D339" s="1"/>
      <c r="E339" s="1"/>
      <c r="F339" s="20" t="s">
        <v>933</v>
      </c>
      <c r="G339" s="20" t="s">
        <v>1098</v>
      </c>
      <c r="H339" s="20"/>
      <c r="J339" s="1">
        <v>20</v>
      </c>
      <c r="K339" s="10">
        <v>0.09</v>
      </c>
      <c r="L339" s="16">
        <f>AKSESORIS[[#This Row],[Total 
(pcs)]]*AKSESORIS[[#This Row],[Berat/pcs
(Kg)]]</f>
        <v>1.7999999999999998</v>
      </c>
      <c r="M339" s="44">
        <f>SUMIF(DATA_MASTER[NO. PON],AKSESORIS[[#This Row],[No.PON]],DATA_MASTER[Qty
(Unit)])</f>
        <v>1</v>
      </c>
      <c r="N339" s="10">
        <f>AKSESORIS[[#This Row],[Total 
(pcs)]]*AKSESORIS[[#This Row],[UNIT]]</f>
        <v>20</v>
      </c>
      <c r="O339" s="9"/>
    </row>
    <row r="340" spans="1:15" x14ac:dyDescent="0.3">
      <c r="A340" t="s">
        <v>1081</v>
      </c>
      <c r="B340" t="str">
        <f>IFERROR(VLOOKUP(A340,'DATA MASTER'!A:O,2,0)," ")</f>
        <v>Jembatan Gantung</v>
      </c>
      <c r="C340" s="19" t="str">
        <f>IFERROR(VLOOKUP(A340,'DATA MASTER'!A:O,4,0)," ")</f>
        <v>JG100P</v>
      </c>
      <c r="D340" s="1"/>
      <c r="E340" s="1"/>
      <c r="F340" s="20" t="s">
        <v>885</v>
      </c>
      <c r="G340" s="20" t="s">
        <v>1099</v>
      </c>
      <c r="H340" s="20" t="s">
        <v>181</v>
      </c>
      <c r="J340" s="1">
        <v>1</v>
      </c>
      <c r="K340" s="10">
        <v>250.5</v>
      </c>
      <c r="L340" s="16">
        <f>AKSESORIS[[#This Row],[Total 
(pcs)]]*AKSESORIS[[#This Row],[Berat/pcs
(Kg)]]</f>
        <v>250.5</v>
      </c>
      <c r="M340" s="44">
        <f>SUMIF(DATA_MASTER[NO. PON],AKSESORIS[[#This Row],[No.PON]],DATA_MASTER[Qty
(Unit)])</f>
        <v>1</v>
      </c>
      <c r="N340" s="10">
        <f>AKSESORIS[[#This Row],[Total 
(pcs)]]*AKSESORIS[[#This Row],[UNIT]]</f>
        <v>1</v>
      </c>
      <c r="O340" s="9"/>
    </row>
    <row r="341" spans="1:15" x14ac:dyDescent="0.3">
      <c r="A341" t="s">
        <v>1081</v>
      </c>
      <c r="B341" t="str">
        <f>IFERROR(VLOOKUP(A341,'DATA MASTER'!A:O,2,0)," ")</f>
        <v>Jembatan Gantung</v>
      </c>
      <c r="C341" s="19" t="str">
        <f>IFERROR(VLOOKUP(A341,'DATA MASTER'!A:O,4,0)," ")</f>
        <v>JG100P</v>
      </c>
      <c r="D341" s="1"/>
      <c r="E341" s="1"/>
      <c r="F341" s="20" t="s">
        <v>885</v>
      </c>
      <c r="G341" s="20" t="s">
        <v>1100</v>
      </c>
      <c r="H341" s="20" t="s">
        <v>1109</v>
      </c>
      <c r="J341" s="1">
        <v>4</v>
      </c>
      <c r="K341" s="10">
        <v>2.17</v>
      </c>
      <c r="L341" s="16">
        <f>AKSESORIS[[#This Row],[Total 
(pcs)]]*AKSESORIS[[#This Row],[Berat/pcs
(Kg)]]</f>
        <v>8.68</v>
      </c>
      <c r="M341" s="44">
        <f>SUMIF(DATA_MASTER[NO. PON],AKSESORIS[[#This Row],[No.PON]],DATA_MASTER[Qty
(Unit)])</f>
        <v>1</v>
      </c>
      <c r="N341" s="10">
        <f>AKSESORIS[[#This Row],[Total 
(pcs)]]*AKSESORIS[[#This Row],[UNIT]]</f>
        <v>4</v>
      </c>
      <c r="O341" s="9"/>
    </row>
    <row r="342" spans="1:15" x14ac:dyDescent="0.3">
      <c r="A342" t="s">
        <v>1081</v>
      </c>
      <c r="B342" t="str">
        <f>IFERROR(VLOOKUP(A342,'DATA MASTER'!A:O,2,0)," ")</f>
        <v>Jembatan Gantung</v>
      </c>
      <c r="C342" s="19" t="str">
        <f>IFERROR(VLOOKUP(A342,'DATA MASTER'!A:O,4,0)," ")</f>
        <v>JG100P</v>
      </c>
      <c r="D342" s="1"/>
      <c r="E342" s="1"/>
      <c r="F342" s="20" t="s">
        <v>885</v>
      </c>
      <c r="G342" s="20" t="s">
        <v>1101</v>
      </c>
      <c r="H342" s="20" t="s">
        <v>1109</v>
      </c>
      <c r="J342" s="1">
        <v>4</v>
      </c>
      <c r="K342" s="10">
        <v>3.02</v>
      </c>
      <c r="L342" s="16">
        <f>AKSESORIS[[#This Row],[Total 
(pcs)]]*AKSESORIS[[#This Row],[Berat/pcs
(Kg)]]</f>
        <v>12.08</v>
      </c>
      <c r="M342" s="44">
        <f>SUMIF(DATA_MASTER[NO. PON],AKSESORIS[[#This Row],[No.PON]],DATA_MASTER[Qty
(Unit)])</f>
        <v>1</v>
      </c>
      <c r="N342" s="10">
        <f>AKSESORIS[[#This Row],[Total 
(pcs)]]*AKSESORIS[[#This Row],[UNIT]]</f>
        <v>4</v>
      </c>
      <c r="O342" s="9"/>
    </row>
    <row r="343" spans="1:15" x14ac:dyDescent="0.3">
      <c r="A343" t="s">
        <v>1081</v>
      </c>
      <c r="B343" t="str">
        <f>IFERROR(VLOOKUP(A343,'DATA MASTER'!A:O,2,0)," ")</f>
        <v>Jembatan Gantung</v>
      </c>
      <c r="C343" s="19" t="str">
        <f>IFERROR(VLOOKUP(A343,'DATA MASTER'!A:O,4,0)," ")</f>
        <v>JG100P</v>
      </c>
      <c r="D343" s="1"/>
      <c r="E343" s="1"/>
      <c r="F343" s="20" t="s">
        <v>885</v>
      </c>
      <c r="G343" s="20" t="s">
        <v>1102</v>
      </c>
      <c r="H343" s="20" t="s">
        <v>1109</v>
      </c>
      <c r="J343" s="1">
        <v>4</v>
      </c>
      <c r="K343" s="10">
        <v>3.99</v>
      </c>
      <c r="L343" s="16">
        <f>AKSESORIS[[#This Row],[Total 
(pcs)]]*AKSESORIS[[#This Row],[Berat/pcs
(Kg)]]</f>
        <v>15.96</v>
      </c>
      <c r="M343" s="44">
        <f>SUMIF(DATA_MASTER[NO. PON],AKSESORIS[[#This Row],[No.PON]],DATA_MASTER[Qty
(Unit)])</f>
        <v>1</v>
      </c>
      <c r="N343" s="10">
        <f>AKSESORIS[[#This Row],[Total 
(pcs)]]*AKSESORIS[[#This Row],[UNIT]]</f>
        <v>4</v>
      </c>
      <c r="O343" s="9"/>
    </row>
    <row r="344" spans="1:15" x14ac:dyDescent="0.3">
      <c r="A344" t="s">
        <v>1081</v>
      </c>
      <c r="B344" t="str">
        <f>IFERROR(VLOOKUP(A344,'DATA MASTER'!A:O,2,0)," ")</f>
        <v>Jembatan Gantung</v>
      </c>
      <c r="C344" s="19" t="str">
        <f>IFERROR(VLOOKUP(A344,'DATA MASTER'!A:O,4,0)," ")</f>
        <v>JG100P</v>
      </c>
      <c r="D344" s="1"/>
      <c r="E344" s="1"/>
      <c r="F344" s="20" t="s">
        <v>885</v>
      </c>
      <c r="G344" s="20" t="s">
        <v>1103</v>
      </c>
      <c r="H344" s="20" t="s">
        <v>1109</v>
      </c>
      <c r="J344" s="1">
        <v>4</v>
      </c>
      <c r="K344" s="10">
        <v>5.0199999999999996</v>
      </c>
      <c r="L344" s="16">
        <f>AKSESORIS[[#This Row],[Total 
(pcs)]]*AKSESORIS[[#This Row],[Berat/pcs
(Kg)]]</f>
        <v>20.079999999999998</v>
      </c>
      <c r="M344" s="44">
        <f>SUMIF(DATA_MASTER[NO. PON],AKSESORIS[[#This Row],[No.PON]],DATA_MASTER[Qty
(Unit)])</f>
        <v>1</v>
      </c>
      <c r="N344" s="10">
        <f>AKSESORIS[[#This Row],[Total 
(pcs)]]*AKSESORIS[[#This Row],[UNIT]]</f>
        <v>4</v>
      </c>
      <c r="O344" s="9"/>
    </row>
    <row r="345" spans="1:15" x14ac:dyDescent="0.3">
      <c r="A345" t="s">
        <v>1081</v>
      </c>
      <c r="B345" t="str">
        <f>IFERROR(VLOOKUP(A345,'DATA MASTER'!A:O,2,0)," ")</f>
        <v>Jembatan Gantung</v>
      </c>
      <c r="C345" s="19" t="str">
        <f>IFERROR(VLOOKUP(A345,'DATA MASTER'!A:O,4,0)," ")</f>
        <v>JG100P</v>
      </c>
      <c r="D345" s="1"/>
      <c r="E345" s="1"/>
      <c r="F345" s="20" t="s">
        <v>885</v>
      </c>
      <c r="G345" s="20" t="s">
        <v>1104</v>
      </c>
      <c r="H345" s="20" t="s">
        <v>1109</v>
      </c>
      <c r="J345" s="1">
        <v>4</v>
      </c>
      <c r="K345" s="10">
        <v>6.08</v>
      </c>
      <c r="L345" s="16">
        <f>AKSESORIS[[#This Row],[Total 
(pcs)]]*AKSESORIS[[#This Row],[Berat/pcs
(Kg)]]</f>
        <v>24.32</v>
      </c>
      <c r="M345" s="44">
        <f>SUMIF(DATA_MASTER[NO. PON],AKSESORIS[[#This Row],[No.PON]],DATA_MASTER[Qty
(Unit)])</f>
        <v>1</v>
      </c>
      <c r="N345" s="10">
        <f>AKSESORIS[[#This Row],[Total 
(pcs)]]*AKSESORIS[[#This Row],[UNIT]]</f>
        <v>4</v>
      </c>
      <c r="O345" s="9"/>
    </row>
    <row r="346" spans="1:15" x14ac:dyDescent="0.3">
      <c r="A346" t="s">
        <v>1081</v>
      </c>
      <c r="B346" t="str">
        <f>IFERROR(VLOOKUP(A346,'DATA MASTER'!A:O,2,0)," ")</f>
        <v>Jembatan Gantung</v>
      </c>
      <c r="C346" s="19" t="str">
        <f>IFERROR(VLOOKUP(A346,'DATA MASTER'!A:O,4,0)," ")</f>
        <v>JG100P</v>
      </c>
      <c r="D346" s="1"/>
      <c r="E346" s="1"/>
      <c r="F346" s="20" t="s">
        <v>44</v>
      </c>
      <c r="G346" s="20" t="s">
        <v>1105</v>
      </c>
      <c r="H346" s="20" t="s">
        <v>1114</v>
      </c>
      <c r="J346" s="1">
        <v>4</v>
      </c>
      <c r="K346" s="10">
        <v>13.185396000000001</v>
      </c>
      <c r="L346" s="16">
        <f>AKSESORIS[[#This Row],[Total 
(pcs)]]*AKSESORIS[[#This Row],[Berat/pcs
(Kg)]]</f>
        <v>52.741584000000003</v>
      </c>
      <c r="M346" s="44">
        <f>SUMIF(DATA_MASTER[NO. PON],AKSESORIS[[#This Row],[No.PON]],DATA_MASTER[Qty
(Unit)])</f>
        <v>1</v>
      </c>
      <c r="N346" s="10">
        <f>AKSESORIS[[#This Row],[Total 
(pcs)]]*AKSESORIS[[#This Row],[UNIT]]</f>
        <v>4</v>
      </c>
      <c r="O346" s="9"/>
    </row>
    <row r="347" spans="1:15" x14ac:dyDescent="0.3">
      <c r="A347" t="s">
        <v>1081</v>
      </c>
      <c r="B347" t="str">
        <f>IFERROR(VLOOKUP(A347,'DATA MASTER'!A:O,2,0)," ")</f>
        <v>Jembatan Gantung</v>
      </c>
      <c r="C347" s="19" t="str">
        <f>IFERROR(VLOOKUP(A347,'DATA MASTER'!A:O,4,0)," ")</f>
        <v>JG100P</v>
      </c>
      <c r="D347" s="1"/>
      <c r="E347" s="1"/>
      <c r="F347" s="20" t="s">
        <v>885</v>
      </c>
      <c r="G347" s="20" t="s">
        <v>1106</v>
      </c>
      <c r="H347" s="20" t="s">
        <v>1110</v>
      </c>
      <c r="J347" s="1">
        <v>2</v>
      </c>
      <c r="K347" s="10">
        <v>1002.8639999999999</v>
      </c>
      <c r="L347" s="16">
        <f>AKSESORIS[[#This Row],[Total 
(pcs)]]*AKSESORIS[[#This Row],[Berat/pcs
(Kg)]]</f>
        <v>2005.7279999999998</v>
      </c>
      <c r="M347" s="44">
        <f>SUMIF(DATA_MASTER[NO. PON],AKSESORIS[[#This Row],[No.PON]],DATA_MASTER[Qty
(Unit)])</f>
        <v>1</v>
      </c>
      <c r="N347" s="10">
        <f>AKSESORIS[[#This Row],[Total 
(pcs)]]*AKSESORIS[[#This Row],[UNIT]]</f>
        <v>2</v>
      </c>
      <c r="O347" s="9"/>
    </row>
    <row r="348" spans="1:15" x14ac:dyDescent="0.3">
      <c r="A348" t="s">
        <v>1081</v>
      </c>
      <c r="B348" t="str">
        <f>IFERROR(VLOOKUP(A348,'DATA MASTER'!A:O,2,0)," ")</f>
        <v>Jembatan Gantung</v>
      </c>
      <c r="C348" s="19" t="str">
        <f>IFERROR(VLOOKUP(A348,'DATA MASTER'!A:O,4,0)," ")</f>
        <v>JG100P</v>
      </c>
      <c r="D348" s="1"/>
      <c r="E348" s="1"/>
      <c r="F348" s="20" t="s">
        <v>890</v>
      </c>
      <c r="G348" s="20" t="s">
        <v>834</v>
      </c>
      <c r="H348" s="20" t="s">
        <v>1111</v>
      </c>
      <c r="J348" s="1">
        <v>4</v>
      </c>
      <c r="K348" s="10">
        <v>1.53</v>
      </c>
      <c r="L348" s="16">
        <f>AKSESORIS[[#This Row],[Total 
(pcs)]]*AKSESORIS[[#This Row],[Berat/pcs
(Kg)]]</f>
        <v>6.12</v>
      </c>
      <c r="M348" s="44">
        <f>SUMIF(DATA_MASTER[NO. PON],AKSESORIS[[#This Row],[No.PON]],DATA_MASTER[Qty
(Unit)])</f>
        <v>1</v>
      </c>
      <c r="N348" s="10">
        <f>AKSESORIS[[#This Row],[Total 
(pcs)]]*AKSESORIS[[#This Row],[UNIT]]</f>
        <v>4</v>
      </c>
      <c r="O348" s="9"/>
    </row>
    <row r="349" spans="1:15" x14ac:dyDescent="0.3">
      <c r="A349" t="s">
        <v>1081</v>
      </c>
      <c r="B349" t="str">
        <f>IFERROR(VLOOKUP(A349,'DATA MASTER'!A:O,2,0)," ")</f>
        <v>Jembatan Gantung</v>
      </c>
      <c r="C349" s="19" t="str">
        <f>IFERROR(VLOOKUP(A349,'DATA MASTER'!A:O,4,0)," ")</f>
        <v>JG100P</v>
      </c>
      <c r="D349" s="1"/>
      <c r="E349" s="1"/>
      <c r="F349" s="20" t="s">
        <v>887</v>
      </c>
      <c r="G349" s="20" t="s">
        <v>1107</v>
      </c>
      <c r="H349" s="20" t="s">
        <v>1112</v>
      </c>
      <c r="J349" s="1">
        <v>4</v>
      </c>
      <c r="K349" s="10">
        <v>0.44</v>
      </c>
      <c r="L349" s="16">
        <f>AKSESORIS[[#This Row],[Total 
(pcs)]]*AKSESORIS[[#This Row],[Berat/pcs
(Kg)]]</f>
        <v>1.76</v>
      </c>
      <c r="M349" s="44">
        <f>SUMIF(DATA_MASTER[NO. PON],AKSESORIS[[#This Row],[No.PON]],DATA_MASTER[Qty
(Unit)])</f>
        <v>1</v>
      </c>
      <c r="N349" s="10">
        <f>AKSESORIS[[#This Row],[Total 
(pcs)]]*AKSESORIS[[#This Row],[UNIT]]</f>
        <v>4</v>
      </c>
      <c r="O349" s="9"/>
    </row>
    <row r="350" spans="1:15" x14ac:dyDescent="0.3">
      <c r="A350" t="s">
        <v>1081</v>
      </c>
      <c r="B350" t="str">
        <f>IFERROR(VLOOKUP(A350,'DATA MASTER'!A:O,2,0)," ")</f>
        <v>Jembatan Gantung</v>
      </c>
      <c r="C350" s="19" t="str">
        <f>IFERROR(VLOOKUP(A350,'DATA MASTER'!A:O,4,0)," ")</f>
        <v>JG100P</v>
      </c>
      <c r="D350" s="1"/>
      <c r="E350" s="1"/>
      <c r="F350" s="20" t="s">
        <v>56</v>
      </c>
      <c r="G350" s="20" t="s">
        <v>1108</v>
      </c>
      <c r="H350" s="20" t="s">
        <v>1113</v>
      </c>
      <c r="J350" s="1">
        <v>492</v>
      </c>
      <c r="K350" s="10">
        <v>0.09</v>
      </c>
      <c r="L350" s="16">
        <f>AKSESORIS[[#This Row],[Total 
(pcs)]]*AKSESORIS[[#This Row],[Berat/pcs
(Kg)]]</f>
        <v>44.28</v>
      </c>
      <c r="M350" s="44">
        <f>SUMIF(DATA_MASTER[NO. PON],AKSESORIS[[#This Row],[No.PON]],DATA_MASTER[Qty
(Unit)])</f>
        <v>1</v>
      </c>
      <c r="N350" s="10">
        <f>AKSESORIS[[#This Row],[Total 
(pcs)]]*AKSESORIS[[#This Row],[UNIT]]</f>
        <v>492</v>
      </c>
      <c r="O350" s="9"/>
    </row>
    <row r="351" spans="1:15" x14ac:dyDescent="0.3">
      <c r="A351" t="s">
        <v>1179</v>
      </c>
      <c r="B351" t="str">
        <f>IFERROR(VLOOKUP(A351,'DATA MASTER'!A:O,2,0)," ")</f>
        <v>Jembatan Pendekat</v>
      </c>
      <c r="C351" s="19" t="str">
        <f>IFERROR(VLOOKUP(A351,'DATA MASTER'!A:O,4,0)," ")</f>
        <v>SPAN 11.87 M</v>
      </c>
      <c r="D351" s="1"/>
      <c r="E351" s="1"/>
      <c r="F351" s="20" t="s">
        <v>904</v>
      </c>
      <c r="G351" s="20" t="s">
        <v>1209</v>
      </c>
      <c r="H351" s="20" t="s">
        <v>1209</v>
      </c>
      <c r="I351" s="1">
        <v>900</v>
      </c>
      <c r="J351" s="1">
        <v>24</v>
      </c>
      <c r="K351" s="10">
        <v>1.28</v>
      </c>
      <c r="L351" s="16">
        <f>AKSESORIS[[#This Row],[Total 
(pcs)]]*AKSESORIS[[#This Row],[Berat/pcs
(Kg)]]</f>
        <v>30.72</v>
      </c>
      <c r="M351" s="44">
        <f>SUMIF(DATA_MASTER[NO. PON],AKSESORIS[[#This Row],[No.PON]],DATA_MASTER[Qty
(Unit)])</f>
        <v>2</v>
      </c>
      <c r="N351" s="10">
        <f>AKSESORIS[[#This Row],[Total 
(pcs)]]*AKSESORIS[[#This Row],[UNIT]]</f>
        <v>48</v>
      </c>
      <c r="O351" s="9"/>
    </row>
    <row r="352" spans="1:15" x14ac:dyDescent="0.3">
      <c r="A352" t="s">
        <v>1179</v>
      </c>
      <c r="B352" t="str">
        <f>IFERROR(VLOOKUP(A352,'DATA MASTER'!A:O,2,0)," ")</f>
        <v>Jembatan Pendekat</v>
      </c>
      <c r="C352" s="19" t="str">
        <f>IFERROR(VLOOKUP(A352,'DATA MASTER'!A:O,4,0)," ")</f>
        <v>SPAN 11.87 M</v>
      </c>
      <c r="D352" s="1"/>
      <c r="E352" s="1"/>
      <c r="F352" s="20" t="s">
        <v>44</v>
      </c>
      <c r="G352" s="20" t="s">
        <v>1210</v>
      </c>
      <c r="H352" s="20" t="s">
        <v>1211</v>
      </c>
      <c r="I352" s="1">
        <v>275</v>
      </c>
      <c r="J352" s="1">
        <v>6</v>
      </c>
      <c r="K352" s="10">
        <v>10.745599499999999</v>
      </c>
      <c r="L352" s="16">
        <f>AKSESORIS[[#This Row],[Total 
(pcs)]]*AKSESORIS[[#This Row],[Berat/pcs
(Kg)]]</f>
        <v>64.473596999999998</v>
      </c>
      <c r="M352" s="44">
        <f>SUMIF(DATA_MASTER[NO. PON],AKSESORIS[[#This Row],[No.PON]],DATA_MASTER[Qty
(Unit)])</f>
        <v>2</v>
      </c>
      <c r="N352" s="10">
        <f>AKSESORIS[[#This Row],[Total 
(pcs)]]*AKSESORIS[[#This Row],[UNIT]]</f>
        <v>12</v>
      </c>
      <c r="O352" s="9"/>
    </row>
    <row r="353" spans="1:15" x14ac:dyDescent="0.3">
      <c r="A353" t="s">
        <v>1180</v>
      </c>
      <c r="B353" t="str">
        <f>IFERROR(VLOOKUP(A353,'DATA MASTER'!A:O,2,0)," ")</f>
        <v>Jembatan Pendekat</v>
      </c>
      <c r="C353" s="19" t="str">
        <f>IFERROR(VLOOKUP(A353,'DATA MASTER'!A:O,4,0)," ")</f>
        <v>SPAN 14.20 M</v>
      </c>
      <c r="D353" s="1"/>
      <c r="E353" s="1"/>
      <c r="F353" s="20" t="s">
        <v>904</v>
      </c>
      <c r="G353" s="20" t="s">
        <v>1209</v>
      </c>
      <c r="H353" s="20" t="s">
        <v>1209</v>
      </c>
      <c r="I353" s="1">
        <v>900</v>
      </c>
      <c r="J353" s="1">
        <v>24</v>
      </c>
      <c r="K353" s="10">
        <v>1.08</v>
      </c>
      <c r="L353" s="16">
        <f>AKSESORIS[[#This Row],[Total 
(pcs)]]*AKSESORIS[[#This Row],[Berat/pcs
(Kg)]]</f>
        <v>25.92</v>
      </c>
      <c r="M353" s="44">
        <f>SUMIF(DATA_MASTER[NO. PON],AKSESORIS[[#This Row],[No.PON]],DATA_MASTER[Qty
(Unit)])</f>
        <v>1</v>
      </c>
      <c r="N353" s="10">
        <f>AKSESORIS[[#This Row],[Total 
(pcs)]]*AKSESORIS[[#This Row],[UNIT]]</f>
        <v>24</v>
      </c>
      <c r="O353" s="9"/>
    </row>
    <row r="354" spans="1:15" x14ac:dyDescent="0.3">
      <c r="A354" t="s">
        <v>1180</v>
      </c>
      <c r="B354" t="str">
        <f>IFERROR(VLOOKUP(A354,'DATA MASTER'!A:O,2,0)," ")</f>
        <v>Jembatan Pendekat</v>
      </c>
      <c r="C354" s="19" t="str">
        <f>IFERROR(VLOOKUP(A354,'DATA MASTER'!A:O,4,0)," ")</f>
        <v>SPAN 14.20 M</v>
      </c>
      <c r="D354" s="1"/>
      <c r="E354" s="1"/>
      <c r="F354" s="20" t="s">
        <v>44</v>
      </c>
      <c r="G354" s="20" t="s">
        <v>1212</v>
      </c>
      <c r="H354" s="20" t="s">
        <v>1211</v>
      </c>
      <c r="I354" s="1">
        <v>275</v>
      </c>
      <c r="J354" s="1">
        <v>6</v>
      </c>
      <c r="K354" s="10">
        <v>10.745599499999999</v>
      </c>
      <c r="L354" s="16">
        <f>AKSESORIS[[#This Row],[Total 
(pcs)]]*AKSESORIS[[#This Row],[Berat/pcs
(Kg)]]</f>
        <v>64.473596999999998</v>
      </c>
      <c r="M354" s="44">
        <f>SUMIF(DATA_MASTER[NO. PON],AKSESORIS[[#This Row],[No.PON]],DATA_MASTER[Qty
(Unit)])</f>
        <v>1</v>
      </c>
      <c r="N354" s="10">
        <f>AKSESORIS[[#This Row],[Total 
(pcs)]]*AKSESORIS[[#This Row],[UNIT]]</f>
        <v>6</v>
      </c>
      <c r="O354" s="9"/>
    </row>
    <row r="355" spans="1:15" x14ac:dyDescent="0.3">
      <c r="A355" t="s">
        <v>1181</v>
      </c>
      <c r="B355" t="str">
        <f>IFERROR(VLOOKUP(A355,'DATA MASTER'!A:O,2,0)," ")</f>
        <v>Jembatan Pendekat</v>
      </c>
      <c r="C355" s="19" t="str">
        <f>IFERROR(VLOOKUP(A355,'DATA MASTER'!A:O,4,0)," ")</f>
        <v>SPAN 22.82 M</v>
      </c>
      <c r="D355" s="1"/>
      <c r="E355" s="1"/>
      <c r="F355" s="20" t="s">
        <v>904</v>
      </c>
      <c r="G355" s="20" t="s">
        <v>53</v>
      </c>
      <c r="H355" s="20" t="s">
        <v>53</v>
      </c>
      <c r="I355" s="1">
        <v>420</v>
      </c>
      <c r="J355" s="1">
        <v>24</v>
      </c>
      <c r="K355" s="10">
        <v>1.55</v>
      </c>
      <c r="L355" s="16">
        <f>AKSESORIS[[#This Row],[Total 
(pcs)]]*AKSESORIS[[#This Row],[Berat/pcs
(Kg)]]</f>
        <v>37.200000000000003</v>
      </c>
      <c r="M355" s="44">
        <f>SUMIF(DATA_MASTER[NO. PON],AKSESORIS[[#This Row],[No.PON]],DATA_MASTER[Qty
(Unit)])</f>
        <v>1</v>
      </c>
      <c r="N355" s="10">
        <f>AKSESORIS[[#This Row],[Total 
(pcs)]]*AKSESORIS[[#This Row],[UNIT]]</f>
        <v>24</v>
      </c>
      <c r="O355" s="9"/>
    </row>
    <row r="356" spans="1:15" x14ac:dyDescent="0.3">
      <c r="A356" t="s">
        <v>1181</v>
      </c>
      <c r="B356" t="str">
        <f>IFERROR(VLOOKUP(A356,'DATA MASTER'!A:O,2,0)," ")</f>
        <v>Jembatan Pendekat</v>
      </c>
      <c r="C356" s="19" t="str">
        <f>IFERROR(VLOOKUP(A356,'DATA MASTER'!A:O,4,0)," ")</f>
        <v>SPAN 22.82 M</v>
      </c>
      <c r="D356" s="1"/>
      <c r="E356" s="1"/>
      <c r="F356" s="20" t="s">
        <v>44</v>
      </c>
      <c r="G356" s="20" t="s">
        <v>1213</v>
      </c>
      <c r="H356" s="20" t="s">
        <v>1214</v>
      </c>
      <c r="I356" s="1">
        <v>280</v>
      </c>
      <c r="J356" s="1">
        <v>6</v>
      </c>
      <c r="K356" s="10">
        <v>10.95</v>
      </c>
      <c r="L356" s="16">
        <f>AKSESORIS[[#This Row],[Total 
(pcs)]]*AKSESORIS[[#This Row],[Berat/pcs
(Kg)]]</f>
        <v>65.699999999999989</v>
      </c>
      <c r="M356" s="44">
        <f>SUMIF(DATA_MASTER[NO. PON],AKSESORIS[[#This Row],[No.PON]],DATA_MASTER[Qty
(Unit)])</f>
        <v>1</v>
      </c>
      <c r="N356" s="10">
        <f>AKSESORIS[[#This Row],[Total 
(pcs)]]*AKSESORIS[[#This Row],[UNIT]]</f>
        <v>6</v>
      </c>
      <c r="O356" s="9"/>
    </row>
    <row r="357" spans="1:15" x14ac:dyDescent="0.3">
      <c r="A357" t="s">
        <v>979</v>
      </c>
      <c r="B357" t="str">
        <f>IFERROR(VLOOKUP(A357,'DATA MASTER'!A:O,2,0)," ")</f>
        <v>TOWER</v>
      </c>
      <c r="C357" s="19" t="str">
        <f>IFERROR(VLOOKUP(A357,'DATA MASTER'!A:O,4,0)," ")</f>
        <v>TWR-H36</v>
      </c>
      <c r="D357" s="1"/>
      <c r="E357" s="1"/>
      <c r="F357" s="20" t="s">
        <v>904</v>
      </c>
      <c r="G357" s="20" t="s">
        <v>975</v>
      </c>
      <c r="H357" s="20" t="s">
        <v>975</v>
      </c>
      <c r="I357" s="1">
        <v>1119</v>
      </c>
      <c r="J357" s="1">
        <v>24</v>
      </c>
      <c r="K357" s="10">
        <v>10.23303235</v>
      </c>
      <c r="L357" s="16">
        <f>AKSESORIS[[#This Row],[Total 
(pcs)]]*AKSESORIS[[#This Row],[Berat/pcs
(Kg)]]</f>
        <v>245.59277639999999</v>
      </c>
      <c r="M357" s="44">
        <f>SUMIF(DATA_MASTER[NO. PON],AKSESORIS[[#This Row],[No.PON]],DATA_MASTER[Qty
(Unit)])</f>
        <v>1</v>
      </c>
      <c r="N357" s="10">
        <f>AKSESORIS[[#This Row],[Total 
(pcs)]]*AKSESORIS[[#This Row],[UNIT]]</f>
        <v>24</v>
      </c>
      <c r="O357" s="9"/>
    </row>
    <row r="358" spans="1:15" x14ac:dyDescent="0.3">
      <c r="A358" t="s">
        <v>967</v>
      </c>
      <c r="B358" t="str">
        <f>IFERROR(VLOOKUP(A358,'DATA MASTER'!A:O,2,0)," ")</f>
        <v>Panel Bailey</v>
      </c>
      <c r="C358" s="19" t="str">
        <f>IFERROR(VLOOKUP(A358,'DATA MASTER'!A:O,4,0)," ")</f>
        <v>24 DSR2-EW</v>
      </c>
      <c r="D358" s="1"/>
      <c r="E358" s="1"/>
      <c r="F358" s="20" t="s">
        <v>101</v>
      </c>
      <c r="G358" s="20" t="s">
        <v>102</v>
      </c>
      <c r="H358" s="20" t="s">
        <v>143</v>
      </c>
      <c r="I358" s="1">
        <v>213</v>
      </c>
      <c r="J358" s="1">
        <v>144</v>
      </c>
      <c r="K358" s="10">
        <v>3.1</v>
      </c>
      <c r="L358" s="16">
        <f>AKSESORIS[[#This Row],[Total 
(pcs)]]*AKSESORIS[[#This Row],[Berat/pcs
(Kg)]]</f>
        <v>446.40000000000003</v>
      </c>
      <c r="M358" s="44">
        <f>SUMIF(DATA_MASTER[NO. PON],AKSESORIS[[#This Row],[No.PON]],DATA_MASTER[Qty
(Unit)])</f>
        <v>1</v>
      </c>
      <c r="N358" s="10">
        <f>AKSESORIS[[#This Row],[Total 
(pcs)]]*AKSESORIS[[#This Row],[UNIT]]</f>
        <v>144</v>
      </c>
      <c r="O358" s="9"/>
    </row>
    <row r="359" spans="1:15" x14ac:dyDescent="0.3">
      <c r="A359" t="s">
        <v>967</v>
      </c>
      <c r="B359" t="str">
        <f>IFERROR(VLOOKUP(A359,'DATA MASTER'!A:O,2,0)," ")</f>
        <v>Panel Bailey</v>
      </c>
      <c r="C359" s="19" t="str">
        <f>IFERROR(VLOOKUP(A359,'DATA MASTER'!A:O,4,0)," ")</f>
        <v>24 DSR2-EW</v>
      </c>
      <c r="D359" s="1"/>
      <c r="E359" s="1"/>
      <c r="F359" s="20" t="s">
        <v>904</v>
      </c>
      <c r="G359" s="20" t="s">
        <v>145</v>
      </c>
      <c r="H359" s="20" t="s">
        <v>145</v>
      </c>
      <c r="I359" s="1">
        <v>420</v>
      </c>
      <c r="J359" s="1">
        <v>32</v>
      </c>
      <c r="K359" s="10">
        <v>1.08</v>
      </c>
      <c r="L359" s="16">
        <f>AKSESORIS[[#This Row],[Total 
(pcs)]]*AKSESORIS[[#This Row],[Berat/pcs
(Kg)]]</f>
        <v>34.56</v>
      </c>
      <c r="M359" s="44">
        <f>SUMIF(DATA_MASTER[NO. PON],AKSESORIS[[#This Row],[No.PON]],DATA_MASTER[Qty
(Unit)])</f>
        <v>1</v>
      </c>
      <c r="N359" s="10">
        <f>AKSESORIS[[#This Row],[Total 
(pcs)]]*AKSESORIS[[#This Row],[UNIT]]</f>
        <v>32</v>
      </c>
      <c r="O359" s="9"/>
    </row>
    <row r="360" spans="1:15" x14ac:dyDescent="0.3">
      <c r="A360" t="s">
        <v>991</v>
      </c>
      <c r="B360" t="str">
        <f>IFERROR(VLOOKUP(A360,'DATA MASTER'!A:O,2,0)," ")</f>
        <v>Girder</v>
      </c>
      <c r="C360" s="19" t="str">
        <f>IFERROR(VLOOKUP(A360,'DATA MASTER'!A:O,4,0)," ")</f>
        <v>CG12</v>
      </c>
      <c r="D360" s="1"/>
      <c r="E360" s="1"/>
      <c r="F360" s="20" t="s">
        <v>44</v>
      </c>
      <c r="G360" s="20" t="s">
        <v>716</v>
      </c>
      <c r="H360" s="20" t="s">
        <v>1142</v>
      </c>
      <c r="I360" s="1">
        <v>250</v>
      </c>
      <c r="J360" s="1">
        <v>4</v>
      </c>
      <c r="K360" s="10">
        <v>14.831771999999999</v>
      </c>
      <c r="L360" s="16">
        <f>AKSESORIS[[#This Row],[Total 
(pcs)]]*AKSESORIS[[#This Row],[Berat/pcs
(Kg)]]</f>
        <v>59.327087999999996</v>
      </c>
      <c r="M360" s="44">
        <f>SUMIF(DATA_MASTER[NO. PON],AKSESORIS[[#This Row],[No.PON]],DATA_MASTER[Qty
(Unit)])</f>
        <v>1</v>
      </c>
      <c r="N360" s="10">
        <f>AKSESORIS[[#This Row],[Total 
(pcs)]]*AKSESORIS[[#This Row],[UNIT]]</f>
        <v>4</v>
      </c>
      <c r="O360" s="9"/>
    </row>
    <row r="361" spans="1:15" x14ac:dyDescent="0.3">
      <c r="A361" t="s">
        <v>991</v>
      </c>
      <c r="B361" t="str">
        <f>IFERROR(VLOOKUP(A361,'DATA MASTER'!A:O,2,0)," ")</f>
        <v>Girder</v>
      </c>
      <c r="C361" s="19" t="str">
        <f>IFERROR(VLOOKUP(A361,'DATA MASTER'!A:O,4,0)," ")</f>
        <v>CG12</v>
      </c>
      <c r="D361" s="1"/>
      <c r="E361" s="1"/>
      <c r="F361" s="20" t="s">
        <v>44</v>
      </c>
      <c r="G361" s="20" t="s">
        <v>717</v>
      </c>
      <c r="H361" s="20" t="s">
        <v>1143</v>
      </c>
      <c r="I361" s="1">
        <v>150</v>
      </c>
      <c r="J361" s="1">
        <v>4</v>
      </c>
      <c r="K361" s="10">
        <v>3.438072</v>
      </c>
      <c r="L361" s="16">
        <f>AKSESORIS[[#This Row],[Total 
(pcs)]]*AKSESORIS[[#This Row],[Berat/pcs
(Kg)]]</f>
        <v>13.752288</v>
      </c>
      <c r="M361" s="44">
        <f>SUMIF(DATA_MASTER[NO. PON],AKSESORIS[[#This Row],[No.PON]],DATA_MASTER[Qty
(Unit)])</f>
        <v>1</v>
      </c>
      <c r="N361" s="10">
        <f>AKSESORIS[[#This Row],[Total 
(pcs)]]*AKSESORIS[[#This Row],[UNIT]]</f>
        <v>4</v>
      </c>
      <c r="O361" s="9"/>
    </row>
    <row r="362" spans="1:15" x14ac:dyDescent="0.3">
      <c r="A362" t="s">
        <v>991</v>
      </c>
      <c r="B362" t="str">
        <f>IFERROR(VLOOKUP(A362,'DATA MASTER'!A:O,2,0)," ")</f>
        <v>Girder</v>
      </c>
      <c r="C362" s="19" t="str">
        <f>IFERROR(VLOOKUP(A362,'DATA MASTER'!A:O,4,0)," ")</f>
        <v>CG12</v>
      </c>
      <c r="D362" s="1"/>
      <c r="E362" s="1"/>
      <c r="F362" s="20" t="s">
        <v>904</v>
      </c>
      <c r="G362" s="20" t="s">
        <v>53</v>
      </c>
      <c r="H362" s="20" t="s">
        <v>53</v>
      </c>
      <c r="I362" s="1">
        <v>420</v>
      </c>
      <c r="J362" s="1">
        <v>8</v>
      </c>
      <c r="K362" s="10">
        <v>1.55</v>
      </c>
      <c r="L362" s="16">
        <f>AKSESORIS[[#This Row],[Total 
(pcs)]]*AKSESORIS[[#This Row],[Berat/pcs
(Kg)]]</f>
        <v>12.4</v>
      </c>
      <c r="M362" s="44">
        <f>SUMIF(DATA_MASTER[NO. PON],AKSESORIS[[#This Row],[No.PON]],DATA_MASTER[Qty
(Unit)])</f>
        <v>1</v>
      </c>
      <c r="N362" s="10">
        <f>AKSESORIS[[#This Row],[Total 
(pcs)]]*AKSESORIS[[#This Row],[UNIT]]</f>
        <v>8</v>
      </c>
      <c r="O362" s="9"/>
    </row>
    <row r="363" spans="1:15" x14ac:dyDescent="0.3">
      <c r="A363" t="s">
        <v>991</v>
      </c>
      <c r="B363" t="str">
        <f>IFERROR(VLOOKUP(A363,'DATA MASTER'!A:O,2,0)," ")</f>
        <v>Girder</v>
      </c>
      <c r="C363" s="19" t="str">
        <f>IFERROR(VLOOKUP(A363,'DATA MASTER'!A:O,4,0)," ")</f>
        <v>CG12</v>
      </c>
      <c r="D363" s="1"/>
      <c r="E363" s="1"/>
      <c r="F363" s="20" t="s">
        <v>54</v>
      </c>
      <c r="G363" s="20" t="s">
        <v>55</v>
      </c>
      <c r="H363" s="20" t="s">
        <v>55</v>
      </c>
      <c r="I363" s="1">
        <v>185</v>
      </c>
      <c r="J363" s="1">
        <v>56</v>
      </c>
      <c r="K363" s="10">
        <v>0.21</v>
      </c>
      <c r="L363" s="16">
        <f>AKSESORIS[[#This Row],[Total 
(pcs)]]*AKSESORIS[[#This Row],[Berat/pcs
(Kg)]]</f>
        <v>11.76</v>
      </c>
      <c r="M363" s="44">
        <f>SUMIF(DATA_MASTER[NO. PON],AKSESORIS[[#This Row],[No.PON]],DATA_MASTER[Qty
(Unit)])</f>
        <v>1</v>
      </c>
      <c r="N363" s="10">
        <f>AKSESORIS[[#This Row],[Total 
(pcs)]]*AKSESORIS[[#This Row],[UNIT]]</f>
        <v>56</v>
      </c>
      <c r="O363" s="9"/>
    </row>
    <row r="364" spans="1:15" x14ac:dyDescent="0.3">
      <c r="A364" t="s">
        <v>991</v>
      </c>
      <c r="B364" t="str">
        <f>IFERROR(VLOOKUP(A364,'DATA MASTER'!A:O,2,0)," ")</f>
        <v>Girder</v>
      </c>
      <c r="C364" s="19" t="str">
        <f>IFERROR(VLOOKUP(A364,'DATA MASTER'!A:O,4,0)," ")</f>
        <v>CG12</v>
      </c>
      <c r="D364" s="1"/>
      <c r="E364" s="1"/>
      <c r="F364" s="20" t="s">
        <v>56</v>
      </c>
      <c r="G364" s="20" t="s">
        <v>56</v>
      </c>
      <c r="H364" s="20" t="s">
        <v>57</v>
      </c>
      <c r="I364" s="1" t="s">
        <v>903</v>
      </c>
      <c r="J364" s="1">
        <v>56</v>
      </c>
      <c r="K364" s="10">
        <v>0.33</v>
      </c>
      <c r="L364" s="16">
        <f>AKSESORIS[[#This Row],[Total 
(pcs)]]*AKSESORIS[[#This Row],[Berat/pcs
(Kg)]]</f>
        <v>18.48</v>
      </c>
      <c r="M364" s="44">
        <f>SUMIF(DATA_MASTER[NO. PON],AKSESORIS[[#This Row],[No.PON]],DATA_MASTER[Qty
(Unit)])</f>
        <v>1</v>
      </c>
      <c r="N364" s="10">
        <f>AKSESORIS[[#This Row],[Total 
(pcs)]]*AKSESORIS[[#This Row],[UNIT]]</f>
        <v>56</v>
      </c>
      <c r="O364" s="9"/>
    </row>
    <row r="365" spans="1:15" x14ac:dyDescent="0.3">
      <c r="A365" t="s">
        <v>1005</v>
      </c>
      <c r="B365" t="str">
        <f>IFERROR(VLOOKUP(A365,'DATA MASTER'!A:O,2,0)," ")</f>
        <v>Truss Modullar</v>
      </c>
      <c r="C365" s="19" t="str">
        <f>IFERROR(VLOOKUP(A365,'DATA MASTER'!A:O,4,0)," ")</f>
        <v>RB50</v>
      </c>
      <c r="D365" s="1"/>
      <c r="E365" s="1"/>
      <c r="F365" s="20" t="s">
        <v>44</v>
      </c>
      <c r="G365" s="20" t="s">
        <v>572</v>
      </c>
      <c r="H365" s="20" t="s">
        <v>1127</v>
      </c>
      <c r="I365" s="1">
        <v>500</v>
      </c>
      <c r="J365" s="1">
        <v>4</v>
      </c>
      <c r="K365" s="10">
        <v>48.664292000000003</v>
      </c>
      <c r="L365" s="16">
        <f>AKSESORIS[[#This Row],[Total 
(pcs)]]*AKSESORIS[[#This Row],[Berat/pcs
(Kg)]]</f>
        <v>194.65716800000001</v>
      </c>
      <c r="M365" s="44">
        <f>SUMIF(DATA_MASTER[NO. PON],AKSESORIS[[#This Row],[No.PON]],DATA_MASTER[Qty
(Unit)])</f>
        <v>1</v>
      </c>
      <c r="N365" s="10">
        <f>AKSESORIS[[#This Row],[Total 
(pcs)]]*AKSESORIS[[#This Row],[UNIT]]</f>
        <v>4</v>
      </c>
      <c r="O365" s="9"/>
    </row>
    <row r="366" spans="1:15" x14ac:dyDescent="0.3">
      <c r="A366" t="s">
        <v>1005</v>
      </c>
      <c r="B366" t="str">
        <f>IFERROR(VLOOKUP(A366,'DATA MASTER'!A:O,2,0)," ")</f>
        <v>Truss Modullar</v>
      </c>
      <c r="C366" s="19" t="str">
        <f>IFERROR(VLOOKUP(A366,'DATA MASTER'!A:O,4,0)," ")</f>
        <v>RB50</v>
      </c>
      <c r="D366" s="1"/>
      <c r="E366" s="1"/>
      <c r="F366" s="20" t="s">
        <v>44</v>
      </c>
      <c r="G366" s="20" t="s">
        <v>573</v>
      </c>
      <c r="H366" s="20" t="s">
        <v>1124</v>
      </c>
      <c r="I366" s="1">
        <v>300</v>
      </c>
      <c r="J366" s="1">
        <v>4</v>
      </c>
      <c r="K366" s="10">
        <v>14.146872</v>
      </c>
      <c r="L366" s="16">
        <f>AKSESORIS[[#This Row],[Total 
(pcs)]]*AKSESORIS[[#This Row],[Berat/pcs
(Kg)]]</f>
        <v>56.587488</v>
      </c>
      <c r="M366" s="44">
        <f>SUMIF(DATA_MASTER[NO. PON],AKSESORIS[[#This Row],[No.PON]],DATA_MASTER[Qty
(Unit)])</f>
        <v>1</v>
      </c>
      <c r="N366" s="10">
        <f>AKSESORIS[[#This Row],[Total 
(pcs)]]*AKSESORIS[[#This Row],[UNIT]]</f>
        <v>4</v>
      </c>
      <c r="O366" s="9"/>
    </row>
    <row r="367" spans="1:15" x14ac:dyDescent="0.3">
      <c r="A367" t="s">
        <v>1005</v>
      </c>
      <c r="B367" t="str">
        <f>IFERROR(VLOOKUP(A367,'DATA MASTER'!A:O,2,0)," ")</f>
        <v>Truss Modullar</v>
      </c>
      <c r="C367" s="19" t="str">
        <f>IFERROR(VLOOKUP(A367,'DATA MASTER'!A:O,4,0)," ")</f>
        <v>RB50</v>
      </c>
      <c r="D367" s="1"/>
      <c r="E367" s="1"/>
      <c r="F367" s="20" t="s">
        <v>44</v>
      </c>
      <c r="G367" s="20" t="s">
        <v>574</v>
      </c>
      <c r="H367" s="20" t="s">
        <v>1125</v>
      </c>
      <c r="I367" s="1">
        <v>250</v>
      </c>
      <c r="J367" s="1">
        <v>4</v>
      </c>
      <c r="K367" s="10">
        <v>7.369892000000001</v>
      </c>
      <c r="L367" s="16">
        <f>AKSESORIS[[#This Row],[Total 
(pcs)]]*AKSESORIS[[#This Row],[Berat/pcs
(Kg)]]</f>
        <v>29.479568000000004</v>
      </c>
      <c r="M367" s="44">
        <f>SUMIF(DATA_MASTER[NO. PON],AKSESORIS[[#This Row],[No.PON]],DATA_MASTER[Qty
(Unit)])</f>
        <v>1</v>
      </c>
      <c r="N367" s="10">
        <f>AKSESORIS[[#This Row],[Total 
(pcs)]]*AKSESORIS[[#This Row],[UNIT]]</f>
        <v>4</v>
      </c>
      <c r="O367" s="9"/>
    </row>
    <row r="368" spans="1:15" x14ac:dyDescent="0.3">
      <c r="A368" t="s">
        <v>1005</v>
      </c>
      <c r="B368" t="str">
        <f>IFERROR(VLOOKUP(A368,'DATA MASTER'!A:O,2,0)," ")</f>
        <v>Truss Modullar</v>
      </c>
      <c r="C368" s="19" t="str">
        <f>IFERROR(VLOOKUP(A368,'DATA MASTER'!A:O,4,0)," ")</f>
        <v>RB50</v>
      </c>
      <c r="D368" s="1"/>
      <c r="E368" s="1"/>
      <c r="F368" s="20" t="s">
        <v>904</v>
      </c>
      <c r="G368" s="20" t="s">
        <v>575</v>
      </c>
      <c r="H368" s="20" t="s">
        <v>576</v>
      </c>
      <c r="I368" s="1">
        <v>1000</v>
      </c>
      <c r="J368" s="1">
        <v>4</v>
      </c>
      <c r="K368" s="10">
        <v>6.03</v>
      </c>
      <c r="L368" s="16">
        <f>AKSESORIS[[#This Row],[Total 
(pcs)]]*AKSESORIS[[#This Row],[Berat/pcs
(Kg)]]</f>
        <v>24.12</v>
      </c>
      <c r="M368" s="44">
        <f>SUMIF(DATA_MASTER[NO. PON],AKSESORIS[[#This Row],[No.PON]],DATA_MASTER[Qty
(Unit)])</f>
        <v>1</v>
      </c>
      <c r="N368" s="10">
        <f>AKSESORIS[[#This Row],[Total 
(pcs)]]*AKSESORIS[[#This Row],[UNIT]]</f>
        <v>4</v>
      </c>
      <c r="O368" s="9"/>
    </row>
    <row r="369" spans="1:15" x14ac:dyDescent="0.3">
      <c r="A369" t="s">
        <v>1005</v>
      </c>
      <c r="B369" t="str">
        <f>IFERROR(VLOOKUP(A369,'DATA MASTER'!A:O,2,0)," ")</f>
        <v>Truss Modullar</v>
      </c>
      <c r="C369" s="19" t="str">
        <f>IFERROR(VLOOKUP(A369,'DATA MASTER'!A:O,4,0)," ")</f>
        <v>RB50</v>
      </c>
      <c r="D369" s="1"/>
      <c r="E369" s="1"/>
      <c r="F369" s="20" t="s">
        <v>43</v>
      </c>
      <c r="G369" s="20" t="s">
        <v>577</v>
      </c>
      <c r="H369" s="20" t="s">
        <v>581</v>
      </c>
      <c r="I369" s="1">
        <v>1256</v>
      </c>
      <c r="J369" s="1">
        <v>60</v>
      </c>
      <c r="K369" s="10">
        <v>11.65</v>
      </c>
      <c r="L369" s="16">
        <f>AKSESORIS[[#This Row],[Total 
(pcs)]]*AKSESORIS[[#This Row],[Berat/pcs
(Kg)]]</f>
        <v>699</v>
      </c>
      <c r="M369" s="44">
        <f>SUMIF(DATA_MASTER[NO. PON],AKSESORIS[[#This Row],[No.PON]],DATA_MASTER[Qty
(Unit)])</f>
        <v>1</v>
      </c>
      <c r="N369" s="10">
        <f>AKSESORIS[[#This Row],[Total 
(pcs)]]*AKSESORIS[[#This Row],[UNIT]]</f>
        <v>60</v>
      </c>
      <c r="O369" s="9"/>
    </row>
    <row r="370" spans="1:15" x14ac:dyDescent="0.3">
      <c r="A370" t="s">
        <v>1005</v>
      </c>
      <c r="B370" t="str">
        <f>IFERROR(VLOOKUP(A370,'DATA MASTER'!A:O,2,0)," ")</f>
        <v>Truss Modullar</v>
      </c>
      <c r="C370" s="19" t="str">
        <f>IFERROR(VLOOKUP(A370,'DATA MASTER'!A:O,4,0)," ")</f>
        <v>RB50</v>
      </c>
      <c r="D370" s="1"/>
      <c r="E370" s="1"/>
      <c r="F370" s="20" t="s">
        <v>43</v>
      </c>
      <c r="G370" s="20" t="s">
        <v>578</v>
      </c>
      <c r="H370" s="20" t="s">
        <v>582</v>
      </c>
      <c r="I370" s="1">
        <v>1256</v>
      </c>
      <c r="J370" s="1">
        <v>120</v>
      </c>
      <c r="K370" s="10">
        <v>10.15</v>
      </c>
      <c r="L370" s="16">
        <f>AKSESORIS[[#This Row],[Total 
(pcs)]]*AKSESORIS[[#This Row],[Berat/pcs
(Kg)]]</f>
        <v>1218</v>
      </c>
      <c r="M370" s="44">
        <f>SUMIF(DATA_MASTER[NO. PON],AKSESORIS[[#This Row],[No.PON]],DATA_MASTER[Qty
(Unit)])</f>
        <v>1</v>
      </c>
      <c r="N370" s="10">
        <f>AKSESORIS[[#This Row],[Total 
(pcs)]]*AKSESORIS[[#This Row],[UNIT]]</f>
        <v>120</v>
      </c>
      <c r="O370" s="9"/>
    </row>
    <row r="371" spans="1:15" x14ac:dyDescent="0.3">
      <c r="A371" t="s">
        <v>1005</v>
      </c>
      <c r="B371" t="str">
        <f>IFERROR(VLOOKUP(A371,'DATA MASTER'!A:O,2,0)," ")</f>
        <v>Truss Modullar</v>
      </c>
      <c r="C371" s="19" t="str">
        <f>IFERROR(VLOOKUP(A371,'DATA MASTER'!A:O,4,0)," ")</f>
        <v>RB50</v>
      </c>
      <c r="D371" s="1"/>
      <c r="E371" s="1"/>
      <c r="F371" s="20" t="s">
        <v>43</v>
      </c>
      <c r="G371" s="20" t="s">
        <v>579</v>
      </c>
      <c r="H371" s="20" t="s">
        <v>582</v>
      </c>
      <c r="I371" s="1">
        <v>1270</v>
      </c>
      <c r="J371" s="1">
        <v>48</v>
      </c>
      <c r="K371" s="10">
        <v>9.3000000000000007</v>
      </c>
      <c r="L371" s="16">
        <f>AKSESORIS[[#This Row],[Total 
(pcs)]]*AKSESORIS[[#This Row],[Berat/pcs
(Kg)]]</f>
        <v>446.40000000000003</v>
      </c>
      <c r="M371" s="44">
        <f>SUMIF(DATA_MASTER[NO. PON],AKSESORIS[[#This Row],[No.PON]],DATA_MASTER[Qty
(Unit)])</f>
        <v>1</v>
      </c>
      <c r="N371" s="10">
        <f>AKSESORIS[[#This Row],[Total 
(pcs)]]*AKSESORIS[[#This Row],[UNIT]]</f>
        <v>48</v>
      </c>
      <c r="O371" s="9"/>
    </row>
    <row r="372" spans="1:15" x14ac:dyDescent="0.3">
      <c r="A372" t="s">
        <v>1005</v>
      </c>
      <c r="B372" t="str">
        <f>IFERROR(VLOOKUP(A372,'DATA MASTER'!A:O,2,0)," ")</f>
        <v>Truss Modullar</v>
      </c>
      <c r="C372" s="19" t="str">
        <f>IFERROR(VLOOKUP(A372,'DATA MASTER'!A:O,4,0)," ")</f>
        <v>RB50</v>
      </c>
      <c r="D372" s="1"/>
      <c r="E372" s="1"/>
      <c r="F372" s="20" t="s">
        <v>43</v>
      </c>
      <c r="G372" s="20" t="s">
        <v>580</v>
      </c>
      <c r="H372" s="20" t="s">
        <v>581</v>
      </c>
      <c r="I372" s="1">
        <v>1270</v>
      </c>
      <c r="J372" s="1">
        <v>24</v>
      </c>
      <c r="K372" s="10">
        <v>10.67</v>
      </c>
      <c r="L372" s="16">
        <f>AKSESORIS[[#This Row],[Total 
(pcs)]]*AKSESORIS[[#This Row],[Berat/pcs
(Kg)]]</f>
        <v>256.08</v>
      </c>
      <c r="M372" s="44">
        <f>SUMIF(DATA_MASTER[NO. PON],AKSESORIS[[#This Row],[No.PON]],DATA_MASTER[Qty
(Unit)])</f>
        <v>1</v>
      </c>
      <c r="N372" s="10">
        <f>AKSESORIS[[#This Row],[Total 
(pcs)]]*AKSESORIS[[#This Row],[UNIT]]</f>
        <v>24</v>
      </c>
      <c r="O372" s="9"/>
    </row>
    <row r="373" spans="1:15" x14ac:dyDescent="0.3">
      <c r="A373" t="s">
        <v>1005</v>
      </c>
      <c r="B373" t="str">
        <f>IFERROR(VLOOKUP(A373,'DATA MASTER'!A:O,2,0)," ")</f>
        <v>Truss Modullar</v>
      </c>
      <c r="C373" s="19" t="str">
        <f>IFERROR(VLOOKUP(A373,'DATA MASTER'!A:O,4,0)," ")</f>
        <v>RB50</v>
      </c>
      <c r="D373" s="1"/>
      <c r="E373" s="1"/>
      <c r="F373" s="20" t="s">
        <v>43</v>
      </c>
      <c r="G373" s="20" t="s">
        <v>1128</v>
      </c>
      <c r="H373" s="20" t="s">
        <v>582</v>
      </c>
      <c r="I373" s="1">
        <v>1270</v>
      </c>
      <c r="J373" s="1">
        <v>32</v>
      </c>
      <c r="K373" s="10">
        <v>8.4499999999999993</v>
      </c>
      <c r="L373" s="16">
        <f>AKSESORIS[[#This Row],[Total 
(pcs)]]*AKSESORIS[[#This Row],[Berat/pcs
(Kg)]]</f>
        <v>270.39999999999998</v>
      </c>
      <c r="M373" s="44">
        <f>SUMIF(DATA_MASTER[NO. PON],AKSESORIS[[#This Row],[No.PON]],DATA_MASTER[Qty
(Unit)])</f>
        <v>1</v>
      </c>
      <c r="N373" s="10">
        <f>AKSESORIS[[#This Row],[Total 
(pcs)]]*AKSESORIS[[#This Row],[UNIT]]</f>
        <v>32</v>
      </c>
      <c r="O373" s="9"/>
    </row>
    <row r="374" spans="1:15" x14ac:dyDescent="0.3">
      <c r="A374" t="s">
        <v>1005</v>
      </c>
      <c r="B374" t="str">
        <f>IFERROR(VLOOKUP(A374,'DATA MASTER'!A:O,2,0)," ")</f>
        <v>Truss Modullar</v>
      </c>
      <c r="C374" s="19" t="str">
        <f>IFERROR(VLOOKUP(A374,'DATA MASTER'!A:O,4,0)," ")</f>
        <v>RB50</v>
      </c>
      <c r="D374" s="1"/>
      <c r="E374" s="1"/>
      <c r="F374" s="20" t="s">
        <v>43</v>
      </c>
      <c r="G374" s="20" t="s">
        <v>1129</v>
      </c>
      <c r="H374" s="20" t="s">
        <v>581</v>
      </c>
      <c r="I374" s="1">
        <v>1270</v>
      </c>
      <c r="J374" s="1">
        <v>16</v>
      </c>
      <c r="K374" s="10">
        <v>9.6999999999999993</v>
      </c>
      <c r="L374" s="16">
        <f>AKSESORIS[[#This Row],[Total 
(pcs)]]*AKSESORIS[[#This Row],[Berat/pcs
(Kg)]]</f>
        <v>155.19999999999999</v>
      </c>
      <c r="M374" s="44">
        <f>SUMIF(DATA_MASTER[NO. PON],AKSESORIS[[#This Row],[No.PON]],DATA_MASTER[Qty
(Unit)])</f>
        <v>1</v>
      </c>
      <c r="N374" s="10">
        <f>AKSESORIS[[#This Row],[Total 
(pcs)]]*AKSESORIS[[#This Row],[UNIT]]</f>
        <v>16</v>
      </c>
      <c r="O374" s="9"/>
    </row>
    <row r="375" spans="1:15" x14ac:dyDescent="0.3">
      <c r="A375" t="s">
        <v>1009</v>
      </c>
      <c r="B375" t="str">
        <f>IFERROR(VLOOKUP(A375,'DATA MASTER'!A:O,2,0)," ")</f>
        <v>Panel Bailey</v>
      </c>
      <c r="C375" s="19" t="str">
        <f>IFERROR(VLOOKUP(A375,'DATA MASTER'!A:O,4,0)," ")</f>
        <v>36 DSR2-EW</v>
      </c>
      <c r="D375" s="1"/>
      <c r="E375" s="1"/>
      <c r="F375" s="20" t="s">
        <v>101</v>
      </c>
      <c r="G375" s="20" t="s">
        <v>102</v>
      </c>
      <c r="H375" s="20" t="s">
        <v>143</v>
      </c>
      <c r="I375" s="1">
        <v>213</v>
      </c>
      <c r="J375" s="1">
        <v>208</v>
      </c>
      <c r="K375" s="10">
        <v>3.1</v>
      </c>
      <c r="L375" s="16">
        <f>AKSESORIS[[#This Row],[Total 
(pcs)]]*AKSESORIS[[#This Row],[Berat/pcs
(Kg)]]</f>
        <v>644.80000000000007</v>
      </c>
      <c r="M375" s="44">
        <f>SUMIF(DATA_MASTER[NO. PON],AKSESORIS[[#This Row],[No.PON]],DATA_MASTER[Qty
(Unit)])</f>
        <v>1</v>
      </c>
      <c r="N375" s="10">
        <f>AKSESORIS[[#This Row],[Total 
(pcs)]]*AKSESORIS[[#This Row],[UNIT]]</f>
        <v>208</v>
      </c>
      <c r="O375" s="9"/>
    </row>
    <row r="376" spans="1:15" x14ac:dyDescent="0.3">
      <c r="A376" t="s">
        <v>1009</v>
      </c>
      <c r="B376" t="str">
        <f>IFERROR(VLOOKUP(A376,'DATA MASTER'!A:O,2,0)," ")</f>
        <v>Panel Bailey</v>
      </c>
      <c r="C376" s="19" t="str">
        <f>IFERROR(VLOOKUP(A376,'DATA MASTER'!A:O,4,0)," ")</f>
        <v>36 DSR2-EW</v>
      </c>
      <c r="D376" s="1"/>
      <c r="E376" s="1"/>
      <c r="F376" s="20" t="s">
        <v>904</v>
      </c>
      <c r="G376" s="20" t="s">
        <v>145</v>
      </c>
      <c r="H376" s="20" t="s">
        <v>145</v>
      </c>
      <c r="I376" s="1">
        <v>420</v>
      </c>
      <c r="J376" s="1">
        <v>32</v>
      </c>
      <c r="K376" s="10">
        <v>1.08</v>
      </c>
      <c r="L376" s="16">
        <f>AKSESORIS[[#This Row],[Total 
(pcs)]]*AKSESORIS[[#This Row],[Berat/pcs
(Kg)]]</f>
        <v>34.56</v>
      </c>
      <c r="M376" s="44">
        <f>SUMIF(DATA_MASTER[NO. PON],AKSESORIS[[#This Row],[No.PON]],DATA_MASTER[Qty
(Unit)])</f>
        <v>1</v>
      </c>
      <c r="N376" s="10">
        <f>AKSESORIS[[#This Row],[Total 
(pcs)]]*AKSESORIS[[#This Row],[UNIT]]</f>
        <v>32</v>
      </c>
      <c r="O376" s="9"/>
    </row>
    <row r="377" spans="1:15" x14ac:dyDescent="0.3">
      <c r="A377" t="s">
        <v>1144</v>
      </c>
      <c r="B377" t="str">
        <f>IFERROR(VLOOKUP(A377,'DATA MASTER'!A:O,2,0)," ")</f>
        <v>Girder</v>
      </c>
      <c r="C377" s="19" t="str">
        <f>IFERROR(VLOOKUP(A377,'DATA MASTER'!A:O,4,0)," ")</f>
        <v>AG18.8</v>
      </c>
      <c r="D377" s="1"/>
      <c r="E377" s="1"/>
      <c r="F377" s="20" t="s">
        <v>44</v>
      </c>
      <c r="G377" s="20" t="s">
        <v>1149</v>
      </c>
      <c r="H377" s="20" t="s">
        <v>1151</v>
      </c>
      <c r="I377" s="1">
        <v>260</v>
      </c>
      <c r="J377" s="1">
        <v>14</v>
      </c>
      <c r="K377" s="10">
        <v>14.9933</v>
      </c>
      <c r="L377" s="16">
        <f>AKSESORIS[[#This Row],[Total 
(pcs)]]*AKSESORIS[[#This Row],[Berat/pcs
(Kg)]]</f>
        <v>209.90619999999998</v>
      </c>
      <c r="M377" s="44">
        <f>SUMIF(DATA_MASTER[NO. PON],AKSESORIS[[#This Row],[No.PON]],DATA_MASTER[Qty
(Unit)])</f>
        <v>1</v>
      </c>
      <c r="N377" s="10">
        <f>AKSESORIS[[#This Row],[Total 
(pcs)]]*AKSESORIS[[#This Row],[UNIT]]</f>
        <v>14</v>
      </c>
      <c r="O377" s="9"/>
    </row>
    <row r="378" spans="1:15" x14ac:dyDescent="0.3">
      <c r="A378" t="s">
        <v>1144</v>
      </c>
      <c r="B378" t="str">
        <f>IFERROR(VLOOKUP(A378,'DATA MASTER'!A:O,2,0)," ")</f>
        <v>Girder</v>
      </c>
      <c r="C378" s="19" t="str">
        <f>IFERROR(VLOOKUP(A378,'DATA MASTER'!A:O,4,0)," ")</f>
        <v>AG18.8</v>
      </c>
      <c r="D378" s="1"/>
      <c r="E378" s="1"/>
      <c r="F378" s="20" t="s">
        <v>44</v>
      </c>
      <c r="G378" s="20" t="s">
        <v>1150</v>
      </c>
      <c r="H378" s="20" t="s">
        <v>1143</v>
      </c>
      <c r="I378" s="1">
        <v>150</v>
      </c>
      <c r="J378" s="1">
        <v>4</v>
      </c>
      <c r="K378" s="10">
        <v>3.920528</v>
      </c>
      <c r="L378" s="16">
        <f>AKSESORIS[[#This Row],[Total 
(pcs)]]*AKSESORIS[[#This Row],[Berat/pcs
(Kg)]]</f>
        <v>15.682112</v>
      </c>
      <c r="M378" s="44">
        <f>SUMIF(DATA_MASTER[NO. PON],AKSESORIS[[#This Row],[No.PON]],DATA_MASTER[Qty
(Unit)])</f>
        <v>1</v>
      </c>
      <c r="N378" s="10">
        <f>AKSESORIS[[#This Row],[Total 
(pcs)]]*AKSESORIS[[#This Row],[UNIT]]</f>
        <v>4</v>
      </c>
      <c r="O378" s="9"/>
    </row>
    <row r="379" spans="1:15" x14ac:dyDescent="0.3">
      <c r="A379" t="s">
        <v>1144</v>
      </c>
      <c r="B379" t="str">
        <f>IFERROR(VLOOKUP(A379,'DATA MASTER'!A:O,2,0)," ")</f>
        <v>Girder</v>
      </c>
      <c r="C379" s="19" t="str">
        <f>IFERROR(VLOOKUP(A379,'DATA MASTER'!A:O,4,0)," ")</f>
        <v>AG18.8</v>
      </c>
      <c r="D379" s="1"/>
      <c r="E379" s="1"/>
      <c r="F379" s="20" t="s">
        <v>43</v>
      </c>
      <c r="G379" s="20" t="s">
        <v>1152</v>
      </c>
      <c r="H379" s="20" t="s">
        <v>1154</v>
      </c>
      <c r="J379" s="1">
        <v>102</v>
      </c>
      <c r="K379" s="10">
        <v>10.35</v>
      </c>
      <c r="L379" s="16">
        <f>AKSESORIS[[#This Row],[Total 
(pcs)]]*AKSESORIS[[#This Row],[Berat/pcs
(Kg)]]</f>
        <v>1055.7</v>
      </c>
      <c r="M379" s="44">
        <f>SUMIF(DATA_MASTER[NO. PON],AKSESORIS[[#This Row],[No.PON]],DATA_MASTER[Qty
(Unit)])</f>
        <v>1</v>
      </c>
      <c r="N379" s="10">
        <f>AKSESORIS[[#This Row],[Total 
(pcs)]]*AKSESORIS[[#This Row],[UNIT]]</f>
        <v>102</v>
      </c>
      <c r="O379" s="9"/>
    </row>
    <row r="380" spans="1:15" x14ac:dyDescent="0.3">
      <c r="A380" t="s">
        <v>1144</v>
      </c>
      <c r="B380" t="str">
        <f>IFERROR(VLOOKUP(A380,'DATA MASTER'!A:O,2,0)," ")</f>
        <v>Girder</v>
      </c>
      <c r="C380" s="19" t="str">
        <f>IFERROR(VLOOKUP(A380,'DATA MASTER'!A:O,4,0)," ")</f>
        <v>AG18.8</v>
      </c>
      <c r="D380" s="1"/>
      <c r="E380" s="1"/>
      <c r="F380" s="20" t="s">
        <v>43</v>
      </c>
      <c r="G380" s="20" t="s">
        <v>1153</v>
      </c>
      <c r="H380" s="20" t="s">
        <v>1154</v>
      </c>
      <c r="J380" s="1">
        <v>12</v>
      </c>
      <c r="K380" s="10">
        <v>9.35</v>
      </c>
      <c r="L380" s="16">
        <f>AKSESORIS[[#This Row],[Total 
(pcs)]]*AKSESORIS[[#This Row],[Berat/pcs
(Kg)]]</f>
        <v>112.19999999999999</v>
      </c>
      <c r="M380" s="44">
        <f>SUMIF(DATA_MASTER[NO. PON],AKSESORIS[[#This Row],[No.PON]],DATA_MASTER[Qty
(Unit)])</f>
        <v>1</v>
      </c>
      <c r="N380" s="10">
        <f>AKSESORIS[[#This Row],[Total 
(pcs)]]*AKSESORIS[[#This Row],[UNIT]]</f>
        <v>12</v>
      </c>
      <c r="O380" s="9"/>
    </row>
    <row r="381" spans="1:15" x14ac:dyDescent="0.3">
      <c r="A381" t="s">
        <v>1144</v>
      </c>
      <c r="B381" t="str">
        <f>IFERROR(VLOOKUP(A381,'DATA MASTER'!A:O,2,0)," ")</f>
        <v>Girder</v>
      </c>
      <c r="C381" s="19" t="str">
        <f>IFERROR(VLOOKUP(A381,'DATA MASTER'!A:O,4,0)," ")</f>
        <v>AG18.8</v>
      </c>
      <c r="D381" s="1"/>
      <c r="E381" s="1"/>
      <c r="F381" s="20" t="s">
        <v>54</v>
      </c>
      <c r="G381" s="20" t="s">
        <v>1155</v>
      </c>
      <c r="H381" s="20" t="s">
        <v>55</v>
      </c>
      <c r="I381" s="1">
        <v>185</v>
      </c>
      <c r="J381" s="1">
        <v>80</v>
      </c>
      <c r="K381" s="10">
        <v>0.21</v>
      </c>
      <c r="L381" s="16">
        <f>AKSESORIS[[#This Row],[Total 
(pcs)]]*AKSESORIS[[#This Row],[Berat/pcs
(Kg)]]</f>
        <v>16.8</v>
      </c>
      <c r="M381" s="44">
        <f>SUMIF(DATA_MASTER[NO. PON],AKSESORIS[[#This Row],[No.PON]],DATA_MASTER[Qty
(Unit)])</f>
        <v>1</v>
      </c>
      <c r="N381" s="10">
        <f>AKSESORIS[[#This Row],[Total 
(pcs)]]*AKSESORIS[[#This Row],[UNIT]]</f>
        <v>80</v>
      </c>
      <c r="O381" s="9"/>
    </row>
    <row r="382" spans="1:15" x14ac:dyDescent="0.3">
      <c r="A382" t="s">
        <v>1144</v>
      </c>
      <c r="B382" t="str">
        <f>IFERROR(VLOOKUP(A382,'DATA MASTER'!A:O,2,0)," ")</f>
        <v>Girder</v>
      </c>
      <c r="C382" s="19" t="str">
        <f>IFERROR(VLOOKUP(A382,'DATA MASTER'!A:O,4,0)," ")</f>
        <v>AG18.8</v>
      </c>
      <c r="D382" s="1"/>
      <c r="E382" s="1"/>
      <c r="F382" s="20" t="s">
        <v>904</v>
      </c>
      <c r="G382" s="20" t="s">
        <v>1156</v>
      </c>
      <c r="H382" s="20" t="s">
        <v>53</v>
      </c>
      <c r="I382" s="1">
        <v>420</v>
      </c>
      <c r="J382" s="1">
        <v>28</v>
      </c>
      <c r="K382" s="10">
        <v>1.55</v>
      </c>
      <c r="L382" s="16">
        <f>AKSESORIS[[#This Row],[Total 
(pcs)]]*AKSESORIS[[#This Row],[Berat/pcs
(Kg)]]</f>
        <v>43.4</v>
      </c>
      <c r="M382" s="44">
        <f>SUMIF(DATA_MASTER[NO. PON],AKSESORIS[[#This Row],[No.PON]],DATA_MASTER[Qty
(Unit)])</f>
        <v>1</v>
      </c>
      <c r="N382" s="10">
        <f>AKSESORIS[[#This Row],[Total 
(pcs)]]*AKSESORIS[[#This Row],[UNIT]]</f>
        <v>28</v>
      </c>
      <c r="O382" s="9"/>
    </row>
    <row r="383" spans="1:15" x14ac:dyDescent="0.3">
      <c r="A383" t="s">
        <v>1126</v>
      </c>
      <c r="B383" t="str">
        <f>IFERROR(VLOOKUP(A383,'DATA MASTER'!A:O,2,0)," ")</f>
        <v>Truss Modullar</v>
      </c>
      <c r="C383" s="19" t="str">
        <f>IFERROR(VLOOKUP(A383,'DATA MASTER'!A:O,4,0)," ")</f>
        <v>RB40</v>
      </c>
      <c r="D383" s="1"/>
      <c r="E383" s="1"/>
      <c r="F383" s="20" t="s">
        <v>904</v>
      </c>
      <c r="G383" s="20" t="s">
        <v>1122</v>
      </c>
      <c r="H383" s="20" t="s">
        <v>272</v>
      </c>
      <c r="I383" s="1">
        <v>850</v>
      </c>
      <c r="J383" s="1">
        <v>4</v>
      </c>
      <c r="K383" s="10">
        <v>5.12</v>
      </c>
      <c r="L383" s="16">
        <f>AKSESORIS[[#This Row],[Total 
(pcs)]]*AKSESORIS[[#This Row],[Berat/pcs
(Kg)]]</f>
        <v>20.48</v>
      </c>
      <c r="M383" s="44">
        <f>SUMIF(DATA_MASTER[NO. PON],AKSESORIS[[#This Row],[No.PON]],DATA_MASTER[Qty
(Unit)])</f>
        <v>1</v>
      </c>
      <c r="N383" s="10">
        <f>AKSESORIS[[#This Row],[Total 
(pcs)]]*AKSESORIS[[#This Row],[UNIT]]</f>
        <v>4</v>
      </c>
      <c r="O383" s="9"/>
    </row>
    <row r="384" spans="1:15" x14ac:dyDescent="0.3">
      <c r="A384" t="s">
        <v>1126</v>
      </c>
      <c r="B384" t="str">
        <f>IFERROR(VLOOKUP(A384,'DATA MASTER'!A:O,2,0)," ")</f>
        <v>Truss Modullar</v>
      </c>
      <c r="C384" s="19" t="str">
        <f>IFERROR(VLOOKUP(A384,'DATA MASTER'!A:O,4,0)," ")</f>
        <v>RB40</v>
      </c>
      <c r="D384" s="1"/>
      <c r="E384" s="1"/>
      <c r="F384" s="20" t="s">
        <v>44</v>
      </c>
      <c r="G384" s="20" t="s">
        <v>266</v>
      </c>
      <c r="H384" s="20" t="s">
        <v>1123</v>
      </c>
      <c r="I384" s="1">
        <v>450</v>
      </c>
      <c r="J384" s="1">
        <v>4</v>
      </c>
      <c r="K384" s="10">
        <v>39.334451999999999</v>
      </c>
      <c r="L384" s="16">
        <f>AKSESORIS[[#This Row],[Total 
(pcs)]]*AKSESORIS[[#This Row],[Berat/pcs
(Kg)]]</f>
        <v>157.337808</v>
      </c>
      <c r="M384" s="44">
        <f>SUMIF(DATA_MASTER[NO. PON],AKSESORIS[[#This Row],[No.PON]],DATA_MASTER[Qty
(Unit)])</f>
        <v>1</v>
      </c>
      <c r="N384" s="10">
        <f>AKSESORIS[[#This Row],[Total 
(pcs)]]*AKSESORIS[[#This Row],[UNIT]]</f>
        <v>4</v>
      </c>
      <c r="O384" s="9"/>
    </row>
    <row r="385" spans="1:15" x14ac:dyDescent="0.3">
      <c r="A385" t="s">
        <v>1126</v>
      </c>
      <c r="B385" t="str">
        <f>IFERROR(VLOOKUP(A385,'DATA MASTER'!A:O,2,0)," ")</f>
        <v>Truss Modullar</v>
      </c>
      <c r="C385" s="19" t="str">
        <f>IFERROR(VLOOKUP(A385,'DATA MASTER'!A:O,4,0)," ")</f>
        <v>RB40</v>
      </c>
      <c r="D385" s="1"/>
      <c r="E385" s="1"/>
      <c r="F385" s="20" t="s">
        <v>44</v>
      </c>
      <c r="G385" s="20" t="s">
        <v>267</v>
      </c>
      <c r="H385" s="20" t="s">
        <v>1124</v>
      </c>
      <c r="I385" s="1">
        <v>350</v>
      </c>
      <c r="J385" s="1">
        <v>4</v>
      </c>
      <c r="K385" s="10">
        <v>16.550561999999999</v>
      </c>
      <c r="L385" s="16">
        <f>AKSESORIS[[#This Row],[Total 
(pcs)]]*AKSESORIS[[#This Row],[Berat/pcs
(Kg)]]</f>
        <v>66.202247999999997</v>
      </c>
      <c r="M385" s="44">
        <f>SUMIF(DATA_MASTER[NO. PON],AKSESORIS[[#This Row],[No.PON]],DATA_MASTER[Qty
(Unit)])</f>
        <v>1</v>
      </c>
      <c r="N385" s="10">
        <f>AKSESORIS[[#This Row],[Total 
(pcs)]]*AKSESORIS[[#This Row],[UNIT]]</f>
        <v>4</v>
      </c>
      <c r="O385" s="9"/>
    </row>
    <row r="386" spans="1:15" x14ac:dyDescent="0.3">
      <c r="A386" t="s">
        <v>1126</v>
      </c>
      <c r="B386" t="str">
        <f>IFERROR(VLOOKUP(A386,'DATA MASTER'!A:O,2,0)," ")</f>
        <v>Truss Modullar</v>
      </c>
      <c r="C386" s="19" t="str">
        <f>IFERROR(VLOOKUP(A386,'DATA MASTER'!A:O,4,0)," ")</f>
        <v>RB40</v>
      </c>
      <c r="D386" s="1"/>
      <c r="E386" s="1"/>
      <c r="F386" s="20" t="s">
        <v>44</v>
      </c>
      <c r="G386" s="20" t="s">
        <v>268</v>
      </c>
      <c r="H386" s="20" t="s">
        <v>1125</v>
      </c>
      <c r="I386" s="1">
        <v>250</v>
      </c>
      <c r="J386" s="1">
        <v>4</v>
      </c>
      <c r="K386" s="10">
        <v>11.286582000000001</v>
      </c>
      <c r="L386" s="16">
        <f>AKSESORIS[[#This Row],[Total 
(pcs)]]*AKSESORIS[[#This Row],[Berat/pcs
(Kg)]]</f>
        <v>45.146328000000004</v>
      </c>
      <c r="M386" s="44">
        <f>SUMIF(DATA_MASTER[NO. PON],AKSESORIS[[#This Row],[No.PON]],DATA_MASTER[Qty
(Unit)])</f>
        <v>1</v>
      </c>
      <c r="N386" s="10">
        <f>AKSESORIS[[#This Row],[Total 
(pcs)]]*AKSESORIS[[#This Row],[UNIT]]</f>
        <v>4</v>
      </c>
      <c r="O386" s="9"/>
    </row>
    <row r="387" spans="1:15" x14ac:dyDescent="0.3">
      <c r="A387" t="s">
        <v>1126</v>
      </c>
      <c r="B387" t="str">
        <f>IFERROR(VLOOKUP(A387,'DATA MASTER'!A:O,2,0)," ")</f>
        <v>Truss Modullar</v>
      </c>
      <c r="C387" s="19" t="str">
        <f>IFERROR(VLOOKUP(A387,'DATA MASTER'!A:O,4,0)," ")</f>
        <v>RB40</v>
      </c>
      <c r="D387" s="1"/>
      <c r="E387" s="1"/>
      <c r="F387" s="20" t="s">
        <v>43</v>
      </c>
      <c r="G387" s="20" t="s">
        <v>273</v>
      </c>
      <c r="H387" s="20" t="s">
        <v>1223</v>
      </c>
      <c r="I387" s="1">
        <v>1270</v>
      </c>
      <c r="J387" s="1">
        <v>24</v>
      </c>
      <c r="K387" s="10">
        <v>10.25</v>
      </c>
      <c r="L387" s="16">
        <f>AKSESORIS[[#This Row],[Total 
(pcs)]]*AKSESORIS[[#This Row],[Berat/pcs
(Kg)]]</f>
        <v>246</v>
      </c>
      <c r="M387" s="44">
        <f>SUMIF(DATA_MASTER[NO. PON],AKSESORIS[[#This Row],[No.PON]],DATA_MASTER[Qty
(Unit)])</f>
        <v>1</v>
      </c>
      <c r="N387" s="10">
        <f>AKSESORIS[[#This Row],[Total 
(pcs)]]*AKSESORIS[[#This Row],[UNIT]]</f>
        <v>24</v>
      </c>
      <c r="O387" s="9"/>
    </row>
    <row r="388" spans="1:15" x14ac:dyDescent="0.3">
      <c r="A388" t="s">
        <v>1126</v>
      </c>
      <c r="B388" t="str">
        <f>IFERROR(VLOOKUP(A388,'DATA MASTER'!A:O,2,0)," ")</f>
        <v>Truss Modullar</v>
      </c>
      <c r="C388" s="19" t="str">
        <f>IFERROR(VLOOKUP(A388,'DATA MASTER'!A:O,4,0)," ")</f>
        <v>RB40</v>
      </c>
      <c r="D388" s="1"/>
      <c r="E388" s="1"/>
      <c r="F388" s="20" t="s">
        <v>43</v>
      </c>
      <c r="G388" s="20" t="s">
        <v>274</v>
      </c>
      <c r="H388" s="20" t="s">
        <v>708</v>
      </c>
      <c r="I388" s="1">
        <v>1270</v>
      </c>
      <c r="J388" s="1">
        <v>48</v>
      </c>
      <c r="K388" s="10">
        <v>9.86</v>
      </c>
      <c r="L388" s="16">
        <f>AKSESORIS[[#This Row],[Total 
(pcs)]]*AKSESORIS[[#This Row],[Berat/pcs
(Kg)]]</f>
        <v>473.28</v>
      </c>
      <c r="M388" s="44">
        <f>SUMIF(DATA_MASTER[NO. PON],AKSESORIS[[#This Row],[No.PON]],DATA_MASTER[Qty
(Unit)])</f>
        <v>1</v>
      </c>
      <c r="N388" s="10">
        <f>AKSESORIS[[#This Row],[Total 
(pcs)]]*AKSESORIS[[#This Row],[UNIT]]</f>
        <v>48</v>
      </c>
      <c r="O388" s="9"/>
    </row>
    <row r="389" spans="1:15" x14ac:dyDescent="0.3">
      <c r="A389" t="s">
        <v>1126</v>
      </c>
      <c r="B389" t="str">
        <f>IFERROR(VLOOKUP(A389,'DATA MASTER'!A:O,2,0)," ")</f>
        <v>Truss Modullar</v>
      </c>
      <c r="C389" s="19" t="str">
        <f>IFERROR(VLOOKUP(A389,'DATA MASTER'!A:O,4,0)," ")</f>
        <v>RB40</v>
      </c>
      <c r="D389" s="1"/>
      <c r="E389" s="1"/>
      <c r="F389" s="20" t="s">
        <v>43</v>
      </c>
      <c r="G389" s="20" t="s">
        <v>275</v>
      </c>
      <c r="H389" s="20" t="s">
        <v>1223</v>
      </c>
      <c r="I389" s="1">
        <v>1256</v>
      </c>
      <c r="J389" s="1">
        <v>52</v>
      </c>
      <c r="K389" s="10">
        <v>11.08</v>
      </c>
      <c r="L389" s="16">
        <f>AKSESORIS[[#This Row],[Total 
(pcs)]]*AKSESORIS[[#This Row],[Berat/pcs
(Kg)]]</f>
        <v>576.16</v>
      </c>
      <c r="M389" s="44">
        <f>SUMIF(DATA_MASTER[NO. PON],AKSESORIS[[#This Row],[No.PON]],DATA_MASTER[Qty
(Unit)])</f>
        <v>1</v>
      </c>
      <c r="N389" s="10">
        <f>AKSESORIS[[#This Row],[Total 
(pcs)]]*AKSESORIS[[#This Row],[UNIT]]</f>
        <v>52</v>
      </c>
      <c r="O389" s="9"/>
    </row>
    <row r="390" spans="1:15" x14ac:dyDescent="0.3">
      <c r="A390" t="s">
        <v>1126</v>
      </c>
      <c r="B390" t="str">
        <f>IFERROR(VLOOKUP(A390,'DATA MASTER'!A:O,2,0)," ")</f>
        <v>Truss Modullar</v>
      </c>
      <c r="C390" s="19" t="str">
        <f>IFERROR(VLOOKUP(A390,'DATA MASTER'!A:O,4,0)," ")</f>
        <v>RB40</v>
      </c>
      <c r="D390" s="1"/>
      <c r="E390" s="1"/>
      <c r="F390" s="20" t="s">
        <v>43</v>
      </c>
      <c r="G390" s="20" t="s">
        <v>276</v>
      </c>
      <c r="H390" s="20" t="s">
        <v>708</v>
      </c>
      <c r="I390" s="1">
        <v>1256</v>
      </c>
      <c r="J390" s="1">
        <v>104</v>
      </c>
      <c r="K390" s="10">
        <v>10.66</v>
      </c>
      <c r="L390" s="16">
        <f>AKSESORIS[[#This Row],[Total 
(pcs)]]*AKSESORIS[[#This Row],[Berat/pcs
(Kg)]]</f>
        <v>1108.6400000000001</v>
      </c>
      <c r="M390" s="44">
        <f>SUMIF(DATA_MASTER[NO. PON],AKSESORIS[[#This Row],[No.PON]],DATA_MASTER[Qty
(Unit)])</f>
        <v>1</v>
      </c>
      <c r="N390" s="10">
        <f>AKSESORIS[[#This Row],[Total 
(pcs)]]*AKSESORIS[[#This Row],[UNIT]]</f>
        <v>104</v>
      </c>
      <c r="O390" s="9"/>
    </row>
    <row r="391" spans="1:15" x14ac:dyDescent="0.3">
      <c r="A391" t="s">
        <v>1130</v>
      </c>
      <c r="B391" t="str">
        <f>IFERROR(VLOOKUP(A391,'DATA MASTER'!A:O,2,0)," ")</f>
        <v>Truss Modullar</v>
      </c>
      <c r="C391" s="19" t="str">
        <f>IFERROR(VLOOKUP(A391,'DATA MASTER'!A:O,4,0)," ")</f>
        <v>RB30</v>
      </c>
      <c r="D391" s="1"/>
      <c r="E391" s="1"/>
      <c r="F391" s="20" t="s">
        <v>44</v>
      </c>
      <c r="G391" s="20" t="s">
        <v>1133</v>
      </c>
      <c r="H391" s="20" t="s">
        <v>1136</v>
      </c>
      <c r="I391" s="1">
        <v>525</v>
      </c>
      <c r="J391" s="1">
        <v>4</v>
      </c>
      <c r="K391" s="10">
        <v>53.701242000000001</v>
      </c>
      <c r="L391" s="16">
        <f>AKSESORIS[[#This Row],[Total 
(pcs)]]*AKSESORIS[[#This Row],[Berat/pcs
(Kg)]]</f>
        <v>214.804968</v>
      </c>
      <c r="M391" s="44">
        <f>SUMIF(DATA_MASTER[NO. PON],AKSESORIS[[#This Row],[No.PON]],DATA_MASTER[Qty
(Unit)])</f>
        <v>1</v>
      </c>
      <c r="N391" s="10">
        <f>AKSESORIS[[#This Row],[Total 
(pcs)]]*AKSESORIS[[#This Row],[UNIT]]</f>
        <v>4</v>
      </c>
      <c r="O391" s="9"/>
    </row>
    <row r="392" spans="1:15" x14ac:dyDescent="0.3">
      <c r="A392" t="s">
        <v>1130</v>
      </c>
      <c r="B392" t="str">
        <f>IFERROR(VLOOKUP(A392,'DATA MASTER'!A:O,2,0)," ")</f>
        <v>Truss Modullar</v>
      </c>
      <c r="C392" s="19" t="str">
        <f>IFERROR(VLOOKUP(A392,'DATA MASTER'!A:O,4,0)," ")</f>
        <v>RB30</v>
      </c>
      <c r="D392" s="1"/>
      <c r="E392" s="1"/>
      <c r="F392" s="20" t="s">
        <v>44</v>
      </c>
      <c r="G392" s="20" t="s">
        <v>1134</v>
      </c>
      <c r="H392" s="20" t="s">
        <v>1124</v>
      </c>
      <c r="I392" s="1">
        <v>300</v>
      </c>
      <c r="J392" s="1">
        <v>4</v>
      </c>
      <c r="K392" s="10">
        <v>16.550561999999999</v>
      </c>
      <c r="L392" s="16">
        <f>AKSESORIS[[#This Row],[Total 
(pcs)]]*AKSESORIS[[#This Row],[Berat/pcs
(Kg)]]</f>
        <v>66.202247999999997</v>
      </c>
      <c r="M392" s="44">
        <f>SUMIF(DATA_MASTER[NO. PON],AKSESORIS[[#This Row],[No.PON]],DATA_MASTER[Qty
(Unit)])</f>
        <v>1</v>
      </c>
      <c r="N392" s="10">
        <f>AKSESORIS[[#This Row],[Total 
(pcs)]]*AKSESORIS[[#This Row],[UNIT]]</f>
        <v>4</v>
      </c>
      <c r="O392" s="9"/>
    </row>
    <row r="393" spans="1:15" x14ac:dyDescent="0.3">
      <c r="A393" t="s">
        <v>1130</v>
      </c>
      <c r="B393" t="str">
        <f>IFERROR(VLOOKUP(A393,'DATA MASTER'!A:O,2,0)," ")</f>
        <v>Truss Modullar</v>
      </c>
      <c r="C393" s="19" t="str">
        <f>IFERROR(VLOOKUP(A393,'DATA MASTER'!A:O,4,0)," ")</f>
        <v>RB30</v>
      </c>
      <c r="D393" s="1"/>
      <c r="E393" s="1"/>
      <c r="F393" s="20" t="s">
        <v>44</v>
      </c>
      <c r="G393" s="20" t="s">
        <v>1135</v>
      </c>
      <c r="H393" s="20" t="s">
        <v>1137</v>
      </c>
      <c r="I393" s="1">
        <v>250</v>
      </c>
      <c r="J393" s="1">
        <v>4</v>
      </c>
      <c r="K393" s="10">
        <v>9.3675170000000012</v>
      </c>
      <c r="L393" s="16">
        <f>AKSESORIS[[#This Row],[Total 
(pcs)]]*AKSESORIS[[#This Row],[Berat/pcs
(Kg)]]</f>
        <v>37.470068000000005</v>
      </c>
      <c r="M393" s="44">
        <f>SUMIF(DATA_MASTER[NO. PON],AKSESORIS[[#This Row],[No.PON]],DATA_MASTER[Qty
(Unit)])</f>
        <v>1</v>
      </c>
      <c r="N393" s="10">
        <f>AKSESORIS[[#This Row],[Total 
(pcs)]]*AKSESORIS[[#This Row],[UNIT]]</f>
        <v>4</v>
      </c>
      <c r="O393" s="9"/>
    </row>
    <row r="394" spans="1:15" x14ac:dyDescent="0.3">
      <c r="A394" t="s">
        <v>1130</v>
      </c>
      <c r="B394" t="str">
        <f>IFERROR(VLOOKUP(A394,'DATA MASTER'!A:O,2,0)," ")</f>
        <v>Truss Modullar</v>
      </c>
      <c r="C394" s="19" t="str">
        <f>IFERROR(VLOOKUP(A394,'DATA MASTER'!A:O,4,0)," ")</f>
        <v>RB30</v>
      </c>
      <c r="D394" s="1"/>
      <c r="E394" s="1"/>
      <c r="F394" s="20" t="s">
        <v>43</v>
      </c>
      <c r="G394" s="20" t="s">
        <v>1138</v>
      </c>
      <c r="H394" s="20" t="s">
        <v>707</v>
      </c>
      <c r="I394" s="1">
        <v>1256</v>
      </c>
      <c r="J394" s="1">
        <v>36</v>
      </c>
      <c r="K394" s="10">
        <v>10.96</v>
      </c>
      <c r="L394" s="16">
        <f>AKSESORIS[[#This Row],[Total 
(pcs)]]*AKSESORIS[[#This Row],[Berat/pcs
(Kg)]]</f>
        <v>394.56000000000006</v>
      </c>
      <c r="M394" s="44">
        <f>SUMIF(DATA_MASTER[NO. PON],AKSESORIS[[#This Row],[No.PON]],DATA_MASTER[Qty
(Unit)])</f>
        <v>1</v>
      </c>
      <c r="N394" s="10">
        <f>AKSESORIS[[#This Row],[Total 
(pcs)]]*AKSESORIS[[#This Row],[UNIT]]</f>
        <v>36</v>
      </c>
      <c r="O394" s="9"/>
    </row>
    <row r="395" spans="1:15" x14ac:dyDescent="0.3">
      <c r="A395" t="s">
        <v>1130</v>
      </c>
      <c r="B395" t="str">
        <f>IFERROR(VLOOKUP(A395,'DATA MASTER'!A:O,2,0)," ")</f>
        <v>Truss Modullar</v>
      </c>
      <c r="C395" s="19" t="str">
        <f>IFERROR(VLOOKUP(A395,'DATA MASTER'!A:O,4,0)," ")</f>
        <v>RB30</v>
      </c>
      <c r="D395" s="1"/>
      <c r="E395" s="1"/>
      <c r="F395" s="20" t="s">
        <v>43</v>
      </c>
      <c r="G395" s="20" t="s">
        <v>1139</v>
      </c>
      <c r="H395" s="20" t="s">
        <v>708</v>
      </c>
      <c r="I395" s="1">
        <v>1256</v>
      </c>
      <c r="J395" s="1">
        <v>72</v>
      </c>
      <c r="K395" s="10">
        <v>10.66</v>
      </c>
      <c r="L395" s="16">
        <f>AKSESORIS[[#This Row],[Total 
(pcs)]]*AKSESORIS[[#This Row],[Berat/pcs
(Kg)]]</f>
        <v>767.52</v>
      </c>
      <c r="M395" s="44">
        <f>SUMIF(DATA_MASTER[NO. PON],AKSESORIS[[#This Row],[No.PON]],DATA_MASTER[Qty
(Unit)])</f>
        <v>1</v>
      </c>
      <c r="N395" s="10">
        <f>AKSESORIS[[#This Row],[Total 
(pcs)]]*AKSESORIS[[#This Row],[UNIT]]</f>
        <v>72</v>
      </c>
      <c r="O395" s="9"/>
    </row>
    <row r="396" spans="1:15" x14ac:dyDescent="0.3">
      <c r="A396" t="s">
        <v>1130</v>
      </c>
      <c r="B396" t="str">
        <f>IFERROR(VLOOKUP(A396,'DATA MASTER'!A:O,2,0)," ")</f>
        <v>Truss Modullar</v>
      </c>
      <c r="C396" s="19" t="str">
        <f>IFERROR(VLOOKUP(A396,'DATA MASTER'!A:O,4,0)," ")</f>
        <v>RB30</v>
      </c>
      <c r="D396" s="1"/>
      <c r="E396" s="1"/>
      <c r="F396" s="20" t="s">
        <v>43</v>
      </c>
      <c r="G396" s="20" t="s">
        <v>1140</v>
      </c>
      <c r="H396" s="20" t="s">
        <v>707</v>
      </c>
      <c r="I396" s="1">
        <v>1270</v>
      </c>
      <c r="J396" s="1">
        <v>24</v>
      </c>
      <c r="K396" s="10">
        <v>10.17</v>
      </c>
      <c r="L396" s="16">
        <f>AKSESORIS[[#This Row],[Total 
(pcs)]]*AKSESORIS[[#This Row],[Berat/pcs
(Kg)]]</f>
        <v>244.07999999999998</v>
      </c>
      <c r="M396" s="44">
        <f>SUMIF(DATA_MASTER[NO. PON],AKSESORIS[[#This Row],[No.PON]],DATA_MASTER[Qty
(Unit)])</f>
        <v>1</v>
      </c>
      <c r="N396" s="10">
        <f>AKSESORIS[[#This Row],[Total 
(pcs)]]*AKSESORIS[[#This Row],[UNIT]]</f>
        <v>24</v>
      </c>
      <c r="O396" s="9"/>
    </row>
    <row r="397" spans="1:15" x14ac:dyDescent="0.3">
      <c r="A397" t="s">
        <v>1130</v>
      </c>
      <c r="B397" t="str">
        <f>IFERROR(VLOOKUP(A397,'DATA MASTER'!A:O,2,0)," ")</f>
        <v>Truss Modullar</v>
      </c>
      <c r="C397" s="19" t="str">
        <f>IFERROR(VLOOKUP(A397,'DATA MASTER'!A:O,4,0)," ")</f>
        <v>RB30</v>
      </c>
      <c r="D397" s="1"/>
      <c r="E397" s="1"/>
      <c r="F397" s="20" t="s">
        <v>43</v>
      </c>
      <c r="G397" s="20" t="s">
        <v>1141</v>
      </c>
      <c r="H397" s="20" t="s">
        <v>708</v>
      </c>
      <c r="I397" s="1">
        <v>1270</v>
      </c>
      <c r="J397" s="1">
        <v>48</v>
      </c>
      <c r="K397" s="10">
        <v>9.89</v>
      </c>
      <c r="L397" s="16">
        <f>AKSESORIS[[#This Row],[Total 
(pcs)]]*AKSESORIS[[#This Row],[Berat/pcs
(Kg)]]</f>
        <v>474.72</v>
      </c>
      <c r="M397" s="44">
        <f>SUMIF(DATA_MASTER[NO. PON],AKSESORIS[[#This Row],[No.PON]],DATA_MASTER[Qty
(Unit)])</f>
        <v>1</v>
      </c>
      <c r="N397" s="10">
        <f>AKSESORIS[[#This Row],[Total 
(pcs)]]*AKSESORIS[[#This Row],[UNIT]]</f>
        <v>48</v>
      </c>
      <c r="O397" s="9"/>
    </row>
    <row r="398" spans="1:15" x14ac:dyDescent="0.3">
      <c r="A398" t="s">
        <v>1130</v>
      </c>
      <c r="B398" t="str">
        <f>IFERROR(VLOOKUP(A398,'DATA MASTER'!A:O,2,0)," ")</f>
        <v>Truss Modullar</v>
      </c>
      <c r="C398" s="19" t="str">
        <f>IFERROR(VLOOKUP(A398,'DATA MASTER'!A:O,4,0)," ")</f>
        <v>RB30</v>
      </c>
      <c r="D398" s="1"/>
      <c r="E398" s="1"/>
      <c r="F398" s="20" t="s">
        <v>904</v>
      </c>
      <c r="G398" s="20" t="s">
        <v>575</v>
      </c>
      <c r="H398" s="20" t="s">
        <v>576</v>
      </c>
      <c r="I398" s="1">
        <v>1000</v>
      </c>
      <c r="J398" s="1">
        <v>4</v>
      </c>
      <c r="K398" s="10">
        <v>6.03</v>
      </c>
      <c r="L398" s="16">
        <f>AKSESORIS[[#This Row],[Total 
(pcs)]]*AKSESORIS[[#This Row],[Berat/pcs
(Kg)]]</f>
        <v>24.12</v>
      </c>
      <c r="M398" s="44">
        <f>SUMIF(DATA_MASTER[NO. PON],AKSESORIS[[#This Row],[No.PON]],DATA_MASTER[Qty
(Unit)])</f>
        <v>1</v>
      </c>
      <c r="N398" s="10">
        <f>AKSESORIS[[#This Row],[Total 
(pcs)]]*AKSESORIS[[#This Row],[UNIT]]</f>
        <v>4</v>
      </c>
      <c r="O398" s="9"/>
    </row>
    <row r="399" spans="1:15" x14ac:dyDescent="0.3">
      <c r="A399" t="s">
        <v>1203</v>
      </c>
      <c r="B399" t="str">
        <f>IFERROR(VLOOKUP(A399,'DATA MASTER'!A:O,2,0)," ")</f>
        <v>Panel Bailey</v>
      </c>
      <c r="C399" s="19" t="str">
        <f>IFERROR(VLOOKUP(A399,'DATA MASTER'!A:O,4,0)," ")</f>
        <v>30 DSR2-EW</v>
      </c>
      <c r="D399" s="1"/>
      <c r="E399" s="1"/>
      <c r="F399" s="20" t="s">
        <v>101</v>
      </c>
      <c r="G399" s="20" t="s">
        <v>102</v>
      </c>
      <c r="H399" s="20" t="s">
        <v>143</v>
      </c>
      <c r="I399" s="1">
        <v>213</v>
      </c>
      <c r="J399" s="1">
        <v>192</v>
      </c>
      <c r="K399" s="10">
        <v>3.1</v>
      </c>
      <c r="L399" s="16">
        <f>AKSESORIS[[#This Row],[Total 
(pcs)]]*AKSESORIS[[#This Row],[Berat/pcs
(Kg)]]</f>
        <v>595.20000000000005</v>
      </c>
      <c r="M399" s="44">
        <f>SUMIF(DATA_MASTER[NO. PON],AKSESORIS[[#This Row],[No.PON]],DATA_MASTER[Qty
(Unit)])</f>
        <v>1</v>
      </c>
      <c r="N399" s="10">
        <f>AKSESORIS[[#This Row],[Total 
(pcs)]]*AKSESORIS[[#This Row],[UNIT]]</f>
        <v>192</v>
      </c>
      <c r="O399" s="9"/>
    </row>
    <row r="400" spans="1:15" x14ac:dyDescent="0.3">
      <c r="A400" t="s">
        <v>1203</v>
      </c>
      <c r="B400" t="str">
        <f>IFERROR(VLOOKUP(A400,'DATA MASTER'!A:O,2,0)," ")</f>
        <v>Panel Bailey</v>
      </c>
      <c r="C400" s="19" t="str">
        <f>IFERROR(VLOOKUP(A400,'DATA MASTER'!A:O,4,0)," ")</f>
        <v>30 DSR2-EW</v>
      </c>
      <c r="D400" s="1"/>
      <c r="E400" s="1"/>
      <c r="F400" s="20" t="s">
        <v>904</v>
      </c>
      <c r="G400" s="20" t="s">
        <v>145</v>
      </c>
      <c r="H400" s="20" t="s">
        <v>145</v>
      </c>
      <c r="I400" s="1">
        <v>420</v>
      </c>
      <c r="J400" s="1">
        <f>32</f>
        <v>32</v>
      </c>
      <c r="K400" s="10">
        <v>1.08</v>
      </c>
      <c r="L400" s="16">
        <f>AKSESORIS[[#This Row],[Total 
(pcs)]]*AKSESORIS[[#This Row],[Berat/pcs
(Kg)]]</f>
        <v>34.56</v>
      </c>
      <c r="M400" s="44">
        <f>SUMIF(DATA_MASTER[NO. PON],AKSESORIS[[#This Row],[No.PON]],DATA_MASTER[Qty
(Unit)])</f>
        <v>1</v>
      </c>
      <c r="N400" s="10">
        <f>AKSESORIS[[#This Row],[Total 
(pcs)]]*AKSESORIS[[#This Row],[UNIT]]</f>
        <v>32</v>
      </c>
      <c r="O400" s="9"/>
    </row>
    <row r="401" spans="1:16" x14ac:dyDescent="0.3">
      <c r="A401" t="s">
        <v>1170</v>
      </c>
      <c r="B401" t="str">
        <f>IFERROR(VLOOKUP(A401,'DATA MASTER'!A:O,2,0)," ")</f>
        <v>Panel Bailey</v>
      </c>
      <c r="C401" s="19" t="str">
        <f>IFERROR(VLOOKUP(A401,'DATA MASTER'!A:O,4,0)," ")</f>
        <v>21 SSR-EW</v>
      </c>
      <c r="D401" s="1"/>
      <c r="E401" s="1"/>
      <c r="F401" s="20" t="s">
        <v>101</v>
      </c>
      <c r="G401" s="20" t="s">
        <v>102</v>
      </c>
      <c r="H401" s="20" t="s">
        <v>143</v>
      </c>
      <c r="I401" s="1">
        <v>213</v>
      </c>
      <c r="J401" s="1">
        <v>144</v>
      </c>
      <c r="K401" s="10">
        <v>3.1</v>
      </c>
      <c r="L401" s="16">
        <f>AKSESORIS[[#This Row],[Total 
(pcs)]]*AKSESORIS[[#This Row],[Berat/pcs
(Kg)]]</f>
        <v>446.40000000000003</v>
      </c>
      <c r="M401" s="44">
        <f>SUMIF(DATA_MASTER[NO. PON],AKSESORIS[[#This Row],[No.PON]],DATA_MASTER[Qty
(Unit)])</f>
        <v>1</v>
      </c>
      <c r="N401" s="10">
        <f>AKSESORIS[[#This Row],[Total 
(pcs)]]*AKSESORIS[[#This Row],[UNIT]]</f>
        <v>144</v>
      </c>
      <c r="O401" s="9"/>
    </row>
    <row r="402" spans="1:16" x14ac:dyDescent="0.3">
      <c r="A402" t="s">
        <v>1170</v>
      </c>
      <c r="B402" t="str">
        <f>IFERROR(VLOOKUP(A402,'DATA MASTER'!A:O,2,0)," ")</f>
        <v>Panel Bailey</v>
      </c>
      <c r="C402" s="19" t="str">
        <f>IFERROR(VLOOKUP(A402,'DATA MASTER'!A:O,4,0)," ")</f>
        <v>21 SSR-EW</v>
      </c>
      <c r="D402" s="1"/>
      <c r="E402" s="1"/>
      <c r="F402" s="20" t="s">
        <v>904</v>
      </c>
      <c r="G402" s="20" t="s">
        <v>145</v>
      </c>
      <c r="H402" s="20" t="s">
        <v>145</v>
      </c>
      <c r="I402" s="1">
        <v>420</v>
      </c>
      <c r="J402" s="1">
        <v>32</v>
      </c>
      <c r="K402" s="10">
        <v>1.08</v>
      </c>
      <c r="L402" s="16">
        <f>AKSESORIS[[#This Row],[Total 
(pcs)]]*AKSESORIS[[#This Row],[Berat/pcs
(Kg)]]</f>
        <v>34.56</v>
      </c>
      <c r="M402" s="44">
        <f>SUMIF(DATA_MASTER[NO. PON],AKSESORIS[[#This Row],[No.PON]],DATA_MASTER[Qty
(Unit)])</f>
        <v>1</v>
      </c>
      <c r="N402" s="10">
        <f>AKSESORIS[[#This Row],[Total 
(pcs)]]*AKSESORIS[[#This Row],[UNIT]]</f>
        <v>32</v>
      </c>
      <c r="O402" s="9"/>
    </row>
    <row r="403" spans="1:16" x14ac:dyDescent="0.3">
      <c r="A403" t="s">
        <v>1208</v>
      </c>
      <c r="B403" t="str">
        <f>IFERROR(VLOOKUP(A403,'DATA MASTER'!A:O,2,0)," ")</f>
        <v>Truss Modullar</v>
      </c>
      <c r="C403" s="19" t="str">
        <f>IFERROR(VLOOKUP(A403,'DATA MASTER'!A:O,4,0)," ")</f>
        <v>RB40</v>
      </c>
      <c r="D403" s="1"/>
      <c r="E403" s="1"/>
      <c r="F403" s="20" t="s">
        <v>44</v>
      </c>
      <c r="G403" s="20" t="s">
        <v>266</v>
      </c>
      <c r="H403" s="20" t="s">
        <v>269</v>
      </c>
      <c r="J403" s="1">
        <v>4</v>
      </c>
      <c r="K403" s="10">
        <v>45.459955999999998</v>
      </c>
      <c r="L403" s="10">
        <f>AKSESORIS[[#This Row],[Total 
(pcs)]]*AKSESORIS[[#This Row],[Berat/pcs
(Kg)]]</f>
        <v>181.83982399999999</v>
      </c>
      <c r="M403" s="44">
        <f>SUMIF(DATA_MASTER[NO. PON],AKSESORIS[[#This Row],[No.PON]],DATA_MASTER[Qty
(Unit)])</f>
        <v>1</v>
      </c>
      <c r="N403" s="10">
        <f>AKSESORIS[[#This Row],[Total 
(pcs)]]*AKSESORIS[[#This Row],[UNIT]]</f>
        <v>4</v>
      </c>
      <c r="O403" s="9"/>
      <c r="P403"/>
    </row>
    <row r="404" spans="1:16" x14ac:dyDescent="0.3">
      <c r="A404" t="s">
        <v>1208</v>
      </c>
      <c r="B404" t="str">
        <f>IFERROR(VLOOKUP(A404,'DATA MASTER'!A:O,2,0)," ")</f>
        <v>Truss Modullar</v>
      </c>
      <c r="C404" s="19" t="str">
        <f>IFERROR(VLOOKUP(A404,'DATA MASTER'!A:O,4,0)," ")</f>
        <v>RB40</v>
      </c>
      <c r="D404" s="1"/>
      <c r="E404" s="1"/>
      <c r="F404" s="20" t="s">
        <v>44</v>
      </c>
      <c r="G404" s="20" t="s">
        <v>267</v>
      </c>
      <c r="H404" s="20" t="s">
        <v>270</v>
      </c>
      <c r="J404" s="1">
        <v>4</v>
      </c>
      <c r="K404" s="10">
        <v>14.146872</v>
      </c>
      <c r="L404" s="10">
        <f>AKSESORIS[[#This Row],[Total 
(pcs)]]*AKSESORIS[[#This Row],[Berat/pcs
(Kg)]]</f>
        <v>56.587488</v>
      </c>
      <c r="M404" s="44">
        <f>SUMIF(DATA_MASTER[NO. PON],AKSESORIS[[#This Row],[No.PON]],DATA_MASTER[Qty
(Unit)])</f>
        <v>1</v>
      </c>
      <c r="N404" s="10">
        <f>AKSESORIS[[#This Row],[Total 
(pcs)]]*AKSESORIS[[#This Row],[UNIT]]</f>
        <v>4</v>
      </c>
      <c r="O404" s="9"/>
      <c r="P404"/>
    </row>
    <row r="405" spans="1:16" x14ac:dyDescent="0.3">
      <c r="A405" t="s">
        <v>1208</v>
      </c>
      <c r="B405" t="str">
        <f>IFERROR(VLOOKUP(A405,'DATA MASTER'!A:O,2,0)," ")</f>
        <v>Truss Modullar</v>
      </c>
      <c r="C405" s="19" t="str">
        <f>IFERROR(VLOOKUP(A405,'DATA MASTER'!A:O,4,0)," ")</f>
        <v>RB40</v>
      </c>
      <c r="D405" s="1"/>
      <c r="E405" s="1"/>
      <c r="F405" s="20" t="s">
        <v>44</v>
      </c>
      <c r="G405" s="20" t="s">
        <v>268</v>
      </c>
      <c r="H405" s="20" t="s">
        <v>271</v>
      </c>
      <c r="J405" s="1">
        <v>4</v>
      </c>
      <c r="K405" s="10">
        <v>4.6442119999999996</v>
      </c>
      <c r="L405" s="10">
        <f>AKSESORIS[[#This Row],[Total 
(pcs)]]*AKSESORIS[[#This Row],[Berat/pcs
(Kg)]]</f>
        <v>18.576847999999998</v>
      </c>
      <c r="M405" s="44">
        <f>SUMIF(DATA_MASTER[NO. PON],AKSESORIS[[#This Row],[No.PON]],DATA_MASTER[Qty
(Unit)])</f>
        <v>1</v>
      </c>
      <c r="N405" s="10">
        <f>AKSESORIS[[#This Row],[Total 
(pcs)]]*AKSESORIS[[#This Row],[UNIT]]</f>
        <v>4</v>
      </c>
      <c r="O405" s="9"/>
      <c r="P405"/>
    </row>
    <row r="406" spans="1:16" x14ac:dyDescent="0.3">
      <c r="A406" t="s">
        <v>1208</v>
      </c>
      <c r="B406" t="str">
        <f>IFERROR(VLOOKUP(A406,'DATA MASTER'!A:O,2,0)," ")</f>
        <v>Truss Modullar</v>
      </c>
      <c r="C406" s="19" t="str">
        <f>IFERROR(VLOOKUP(A406,'DATA MASTER'!A:O,4,0)," ")</f>
        <v>RB40</v>
      </c>
      <c r="D406" s="1"/>
      <c r="E406" s="1"/>
      <c r="F406" s="20" t="s">
        <v>904</v>
      </c>
      <c r="G406" s="20" t="s">
        <v>272</v>
      </c>
      <c r="H406" s="20" t="s">
        <v>272</v>
      </c>
      <c r="I406" s="1">
        <v>850</v>
      </c>
      <c r="J406" s="1">
        <v>4</v>
      </c>
      <c r="K406" s="10">
        <v>5.12</v>
      </c>
      <c r="L406" s="10">
        <f>AKSESORIS[[#This Row],[Total 
(pcs)]]*AKSESORIS[[#This Row],[Berat/pcs
(Kg)]]</f>
        <v>20.48</v>
      </c>
      <c r="M406" s="44">
        <f>SUMIF(DATA_MASTER[NO. PON],AKSESORIS[[#This Row],[No.PON]],DATA_MASTER[Qty
(Unit)])</f>
        <v>1</v>
      </c>
      <c r="N406" s="10">
        <f>AKSESORIS[[#This Row],[Total 
(pcs)]]*AKSESORIS[[#This Row],[UNIT]]</f>
        <v>4</v>
      </c>
      <c r="O406" s="9"/>
      <c r="P406"/>
    </row>
    <row r="407" spans="1:16" x14ac:dyDescent="0.3">
      <c r="A407" t="s">
        <v>1208</v>
      </c>
      <c r="B407" t="str">
        <f>IFERROR(VLOOKUP(A407,'DATA MASTER'!A:O,2,0)," ")</f>
        <v>Truss Modullar</v>
      </c>
      <c r="C407" s="19" t="str">
        <f>IFERROR(VLOOKUP(A407,'DATA MASTER'!A:O,4,0)," ")</f>
        <v>RB40</v>
      </c>
      <c r="D407" s="1"/>
      <c r="E407" s="1"/>
      <c r="F407" s="20" t="s">
        <v>43</v>
      </c>
      <c r="G407" s="20" t="s">
        <v>273</v>
      </c>
      <c r="H407" s="20" t="s">
        <v>277</v>
      </c>
      <c r="J407" s="1">
        <v>32</v>
      </c>
      <c r="K407" s="10">
        <v>10.25</v>
      </c>
      <c r="L407" s="10">
        <f>AKSESORIS[[#This Row],[Total 
(pcs)]]*AKSESORIS[[#This Row],[Berat/pcs
(Kg)]]</f>
        <v>328</v>
      </c>
      <c r="M407" s="44">
        <f>SUMIF(DATA_MASTER[NO. PON],AKSESORIS[[#This Row],[No.PON]],DATA_MASTER[Qty
(Unit)])</f>
        <v>1</v>
      </c>
      <c r="N407" s="10">
        <f>AKSESORIS[[#This Row],[Total 
(pcs)]]*AKSESORIS[[#This Row],[UNIT]]</f>
        <v>32</v>
      </c>
      <c r="O407" s="9"/>
      <c r="P407"/>
    </row>
    <row r="408" spans="1:16" x14ac:dyDescent="0.3">
      <c r="A408" t="s">
        <v>1208</v>
      </c>
      <c r="B408" t="str">
        <f>IFERROR(VLOOKUP(A408,'DATA MASTER'!A:O,2,0)," ")</f>
        <v>Truss Modullar</v>
      </c>
      <c r="C408" s="19" t="str">
        <f>IFERROR(VLOOKUP(A408,'DATA MASTER'!A:O,4,0)," ")</f>
        <v>RB40</v>
      </c>
      <c r="D408" s="1"/>
      <c r="E408" s="1"/>
      <c r="F408" s="20" t="s">
        <v>43</v>
      </c>
      <c r="G408" s="20" t="s">
        <v>274</v>
      </c>
      <c r="H408" s="20" t="s">
        <v>278</v>
      </c>
      <c r="J408" s="1">
        <v>64</v>
      </c>
      <c r="K408" s="10">
        <v>9.86</v>
      </c>
      <c r="L408" s="10">
        <f>AKSESORIS[[#This Row],[Total 
(pcs)]]*AKSESORIS[[#This Row],[Berat/pcs
(Kg)]]</f>
        <v>631.04</v>
      </c>
      <c r="M408" s="44">
        <f>SUMIF(DATA_MASTER[NO. PON],AKSESORIS[[#This Row],[No.PON]],DATA_MASTER[Qty
(Unit)])</f>
        <v>1</v>
      </c>
      <c r="N408" s="10">
        <f>AKSESORIS[[#This Row],[Total 
(pcs)]]*AKSESORIS[[#This Row],[UNIT]]</f>
        <v>64</v>
      </c>
      <c r="O408" s="9"/>
      <c r="P408"/>
    </row>
    <row r="409" spans="1:16" x14ac:dyDescent="0.3">
      <c r="A409" t="s">
        <v>1208</v>
      </c>
      <c r="B409" t="str">
        <f>IFERROR(VLOOKUP(A409,'DATA MASTER'!A:O,2,0)," ")</f>
        <v>Truss Modullar</v>
      </c>
      <c r="C409" s="19" t="str">
        <f>IFERROR(VLOOKUP(A409,'DATA MASTER'!A:O,4,0)," ")</f>
        <v>RB40</v>
      </c>
      <c r="D409" s="1"/>
      <c r="E409" s="1"/>
      <c r="F409" s="20" t="s">
        <v>43</v>
      </c>
      <c r="G409" s="20" t="s">
        <v>275</v>
      </c>
      <c r="H409" s="20" t="s">
        <v>279</v>
      </c>
      <c r="J409" s="1">
        <v>48</v>
      </c>
      <c r="K409" s="10">
        <v>11.08</v>
      </c>
      <c r="L409" s="10">
        <f>AKSESORIS[[#This Row],[Total 
(pcs)]]*AKSESORIS[[#This Row],[Berat/pcs
(Kg)]]</f>
        <v>531.84</v>
      </c>
      <c r="M409" s="44">
        <f>SUMIF(DATA_MASTER[NO. PON],AKSESORIS[[#This Row],[No.PON]],DATA_MASTER[Qty
(Unit)])</f>
        <v>1</v>
      </c>
      <c r="N409" s="10">
        <f>AKSESORIS[[#This Row],[Total 
(pcs)]]*AKSESORIS[[#This Row],[UNIT]]</f>
        <v>48</v>
      </c>
      <c r="O409" s="9"/>
      <c r="P409"/>
    </row>
    <row r="410" spans="1:16" x14ac:dyDescent="0.3">
      <c r="A410" t="s">
        <v>1208</v>
      </c>
      <c r="B410" t="str">
        <f>IFERROR(VLOOKUP(A410,'DATA MASTER'!A:O,2,0)," ")</f>
        <v>Truss Modullar</v>
      </c>
      <c r="C410" s="19" t="str">
        <f>IFERROR(VLOOKUP(A410,'DATA MASTER'!A:O,4,0)," ")</f>
        <v>RB40</v>
      </c>
      <c r="D410" s="1"/>
      <c r="E410" s="1"/>
      <c r="F410" s="20" t="s">
        <v>43</v>
      </c>
      <c r="G410" s="20" t="s">
        <v>276</v>
      </c>
      <c r="H410" s="20" t="s">
        <v>280</v>
      </c>
      <c r="J410" s="1">
        <v>96</v>
      </c>
      <c r="K410" s="10">
        <v>10.66</v>
      </c>
      <c r="L410" s="10">
        <f>AKSESORIS[[#This Row],[Total 
(pcs)]]*AKSESORIS[[#This Row],[Berat/pcs
(Kg)]]</f>
        <v>1023.36</v>
      </c>
      <c r="M410" s="44">
        <f>SUMIF(DATA_MASTER[NO. PON],AKSESORIS[[#This Row],[No.PON]],DATA_MASTER[Qty
(Unit)])</f>
        <v>1</v>
      </c>
      <c r="N410" s="10">
        <f>AKSESORIS[[#This Row],[Total 
(pcs)]]*AKSESORIS[[#This Row],[UNIT]]</f>
        <v>96</v>
      </c>
      <c r="O410" s="9"/>
      <c r="P410"/>
    </row>
    <row r="411" spans="1:16" x14ac:dyDescent="0.3">
      <c r="A411" t="s">
        <v>1220</v>
      </c>
      <c r="B411" t="str">
        <f>IFERROR(VLOOKUP(A411,'DATA MASTER'!A:O,2,0)," ")</f>
        <v>Panel Bailey</v>
      </c>
      <c r="C411" s="19" t="str">
        <f>IFERROR(VLOOKUP(A411,'DATA MASTER'!A:O,4,0)," ")</f>
        <v>18 SSR - EW</v>
      </c>
      <c r="D411" s="1"/>
      <c r="E411" s="1"/>
      <c r="F411" s="20" t="s">
        <v>101</v>
      </c>
      <c r="G411" s="20" t="s">
        <v>102</v>
      </c>
      <c r="H411" s="20" t="s">
        <v>143</v>
      </c>
      <c r="I411" s="1">
        <v>213</v>
      </c>
      <c r="J411" s="1">
        <v>56</v>
      </c>
      <c r="K411" s="10">
        <v>3.1</v>
      </c>
      <c r="L411" s="16">
        <f>AKSESORIS[[#This Row],[Total 
(pcs)]]*AKSESORIS[[#This Row],[Berat/pcs
(Kg)]]</f>
        <v>173.6</v>
      </c>
      <c r="M411" s="44">
        <f>SUMIF(DATA_MASTER[NO. PON],AKSESORIS[[#This Row],[No.PON]],DATA_MASTER[Qty
(Unit)])</f>
        <v>1</v>
      </c>
      <c r="N411" s="10">
        <f>AKSESORIS[[#This Row],[Total 
(pcs)]]*AKSESORIS[[#This Row],[UNIT]]</f>
        <v>56</v>
      </c>
      <c r="O411" s="9"/>
    </row>
    <row r="412" spans="1:16" x14ac:dyDescent="0.3">
      <c r="A412" t="s">
        <v>1220</v>
      </c>
      <c r="B412" t="str">
        <f>IFERROR(VLOOKUP(A412,'DATA MASTER'!A:O,2,0)," ")</f>
        <v>Panel Bailey</v>
      </c>
      <c r="C412" s="19" t="str">
        <f>IFERROR(VLOOKUP(A412,'DATA MASTER'!A:O,4,0)," ")</f>
        <v>18 SSR - EW</v>
      </c>
      <c r="D412" s="1"/>
      <c r="E412" s="1"/>
      <c r="F412" s="20" t="s">
        <v>904</v>
      </c>
      <c r="G412" s="20" t="s">
        <v>145</v>
      </c>
      <c r="H412" s="20" t="s">
        <v>145</v>
      </c>
      <c r="I412" s="1">
        <v>420</v>
      </c>
      <c r="J412" s="1">
        <v>16</v>
      </c>
      <c r="K412" s="10">
        <v>1.08</v>
      </c>
      <c r="L412" s="16">
        <f>AKSESORIS[[#This Row],[Total 
(pcs)]]*AKSESORIS[[#This Row],[Berat/pcs
(Kg)]]</f>
        <v>17.28</v>
      </c>
      <c r="M412" s="44">
        <f>SUMIF(DATA_MASTER[NO. PON],AKSESORIS[[#This Row],[No.PON]],DATA_MASTER[Qty
(Unit)])</f>
        <v>1</v>
      </c>
      <c r="N412" s="10">
        <f>AKSESORIS[[#This Row],[Total 
(pcs)]]*AKSESORIS[[#This Row],[UNIT]]</f>
        <v>16</v>
      </c>
      <c r="O412" s="9"/>
    </row>
    <row r="413" spans="1:16" x14ac:dyDescent="0.3">
      <c r="A413" t="s">
        <v>1221</v>
      </c>
      <c r="B413" t="str">
        <f>IFERROR(VLOOKUP(A413,'DATA MASTER'!A:O,2,0)," ")</f>
        <v>Panel Bailey</v>
      </c>
      <c r="C413" s="19" t="str">
        <f>IFERROR(VLOOKUP(A413,'DATA MASTER'!A:O,4,0)," ")</f>
        <v>12 SSR-EW</v>
      </c>
      <c r="D413" s="1"/>
      <c r="E413" s="1"/>
      <c r="F413" s="20" t="s">
        <v>101</v>
      </c>
      <c r="G413" s="20" t="s">
        <v>102</v>
      </c>
      <c r="H413" s="20" t="s">
        <v>143</v>
      </c>
      <c r="I413" s="1">
        <v>213</v>
      </c>
      <c r="J413" s="1">
        <v>40</v>
      </c>
      <c r="K413" s="10">
        <v>3.1</v>
      </c>
      <c r="L413" s="16">
        <f>AKSESORIS[[#This Row],[Total 
(pcs)]]*AKSESORIS[[#This Row],[Berat/pcs
(Kg)]]</f>
        <v>124</v>
      </c>
      <c r="M413" s="44">
        <f>SUMIF(DATA_MASTER[NO. PON],AKSESORIS[[#This Row],[No.PON]],DATA_MASTER[Qty
(Unit)])</f>
        <v>1</v>
      </c>
      <c r="N413" s="10">
        <f>AKSESORIS[[#This Row],[Total 
(pcs)]]*AKSESORIS[[#This Row],[UNIT]]</f>
        <v>40</v>
      </c>
      <c r="O413" s="9"/>
    </row>
    <row r="414" spans="1:16" x14ac:dyDescent="0.3">
      <c r="A414" t="s">
        <v>1221</v>
      </c>
      <c r="B414" t="str">
        <f>IFERROR(VLOOKUP(A414,'DATA MASTER'!A:O,2,0)," ")</f>
        <v>Panel Bailey</v>
      </c>
      <c r="C414" s="19" t="str">
        <f>IFERROR(VLOOKUP(A414,'DATA MASTER'!A:O,4,0)," ")</f>
        <v>12 SSR-EW</v>
      </c>
      <c r="D414" s="1"/>
      <c r="E414" s="1"/>
      <c r="F414" s="20" t="s">
        <v>904</v>
      </c>
      <c r="G414" s="20" t="s">
        <v>145</v>
      </c>
      <c r="H414" s="20" t="s">
        <v>145</v>
      </c>
      <c r="I414" s="1">
        <v>420</v>
      </c>
      <c r="J414" s="1">
        <v>16</v>
      </c>
      <c r="K414" s="10">
        <v>1.08</v>
      </c>
      <c r="L414" s="16">
        <f>AKSESORIS[[#This Row],[Total 
(pcs)]]*AKSESORIS[[#This Row],[Berat/pcs
(Kg)]]</f>
        <v>17.28</v>
      </c>
      <c r="M414" s="44">
        <f>SUMIF(DATA_MASTER[NO. PON],AKSESORIS[[#This Row],[No.PON]],DATA_MASTER[Qty
(Unit)])</f>
        <v>1</v>
      </c>
      <c r="N414" s="10">
        <f>AKSESORIS[[#This Row],[Total 
(pcs)]]*AKSESORIS[[#This Row],[UNIT]]</f>
        <v>16</v>
      </c>
      <c r="O414" s="9"/>
    </row>
    <row r="415" spans="1:16" x14ac:dyDescent="0.3">
      <c r="A415" t="s">
        <v>1224</v>
      </c>
      <c r="B415" t="str">
        <f>IFERROR(VLOOKUP(A415,'DATA MASTER'!A:O,2,0)," ")</f>
        <v>Truss Modullar</v>
      </c>
      <c r="C415" s="19" t="str">
        <f>IFERROR(VLOOKUP(A415,'DATA MASTER'!A:O,4,0)," ")</f>
        <v>RC45+15</v>
      </c>
      <c r="D415" s="1"/>
      <c r="E415" s="1"/>
      <c r="F415" s="20" t="s">
        <v>904</v>
      </c>
      <c r="G415" s="20" t="s">
        <v>1229</v>
      </c>
      <c r="H415" s="20" t="s">
        <v>1229</v>
      </c>
      <c r="I415" s="1">
        <v>420</v>
      </c>
      <c r="J415" s="1">
        <v>8</v>
      </c>
      <c r="K415" s="10">
        <v>1.42</v>
      </c>
      <c r="L415" s="16">
        <f>AKSESORIS[[#This Row],[Total 
(pcs)]]*AKSESORIS[[#This Row],[Berat/pcs
(Kg)]]</f>
        <v>11.36</v>
      </c>
      <c r="M415" s="44">
        <f>SUMIF(DATA_MASTER[NO. PON],AKSESORIS[[#This Row],[No.PON]],DATA_MASTER[Qty
(Unit)])</f>
        <v>1</v>
      </c>
      <c r="N415" s="10">
        <f>AKSESORIS[[#This Row],[Total 
(pcs)]]*AKSESORIS[[#This Row],[UNIT]]</f>
        <v>8</v>
      </c>
      <c r="O415" s="9"/>
    </row>
    <row r="416" spans="1:16" x14ac:dyDescent="0.3">
      <c r="A416" t="s">
        <v>1224</v>
      </c>
      <c r="B416" t="str">
        <f>IFERROR(VLOOKUP(A416,'DATA MASTER'!A:O,2,0)," ")</f>
        <v>Truss Modullar</v>
      </c>
      <c r="C416" s="19" t="str">
        <f>IFERROR(VLOOKUP(A416,'DATA MASTER'!A:O,4,0)," ")</f>
        <v>RC45+15</v>
      </c>
      <c r="D416" s="1"/>
      <c r="E416" s="1"/>
      <c r="F416" s="20" t="s">
        <v>904</v>
      </c>
      <c r="G416" s="20" t="s">
        <v>1230</v>
      </c>
      <c r="H416" s="20" t="s">
        <v>1230</v>
      </c>
      <c r="I416" s="1">
        <v>850</v>
      </c>
      <c r="J416" s="1">
        <v>2</v>
      </c>
      <c r="K416" s="10">
        <v>3.97</v>
      </c>
      <c r="L416" s="16">
        <f>AKSESORIS[[#This Row],[Total 
(pcs)]]*AKSESORIS[[#This Row],[Berat/pcs
(Kg)]]</f>
        <v>7.94</v>
      </c>
      <c r="M416" s="44">
        <f>SUMIF(DATA_MASTER[NO. PON],AKSESORIS[[#This Row],[No.PON]],DATA_MASTER[Qty
(Unit)])</f>
        <v>1</v>
      </c>
      <c r="N416" s="10">
        <f>AKSESORIS[[#This Row],[Total 
(pcs)]]*AKSESORIS[[#This Row],[UNIT]]</f>
        <v>2</v>
      </c>
      <c r="O416" s="9"/>
    </row>
    <row r="417" spans="1:15" x14ac:dyDescent="0.3">
      <c r="A417" t="s">
        <v>1224</v>
      </c>
      <c r="B417" t="str">
        <f>IFERROR(VLOOKUP(A417,'DATA MASTER'!A:O,2,0)," ")</f>
        <v>Truss Modullar</v>
      </c>
      <c r="C417" s="19" t="str">
        <f>IFERROR(VLOOKUP(A417,'DATA MASTER'!A:O,4,0)," ")</f>
        <v>RC45+15</v>
      </c>
      <c r="D417" s="1"/>
      <c r="E417" s="1"/>
      <c r="F417" s="20" t="s">
        <v>904</v>
      </c>
      <c r="G417" s="20" t="s">
        <v>1231</v>
      </c>
      <c r="H417" s="20" t="s">
        <v>1231</v>
      </c>
      <c r="I417" s="1">
        <v>850</v>
      </c>
      <c r="J417" s="1">
        <v>2</v>
      </c>
      <c r="K417" s="10">
        <v>8.7799999999999994</v>
      </c>
      <c r="L417" s="16">
        <f>AKSESORIS[[#This Row],[Total 
(pcs)]]*AKSESORIS[[#This Row],[Berat/pcs
(Kg)]]</f>
        <v>17.559999999999999</v>
      </c>
      <c r="M417" s="44">
        <f>SUMIF(DATA_MASTER[NO. PON],AKSESORIS[[#This Row],[No.PON]],DATA_MASTER[Qty
(Unit)])</f>
        <v>1</v>
      </c>
      <c r="N417" s="10">
        <f>AKSESORIS[[#This Row],[Total 
(pcs)]]*AKSESORIS[[#This Row],[UNIT]]</f>
        <v>2</v>
      </c>
      <c r="O417" s="9"/>
    </row>
    <row r="418" spans="1:15" x14ac:dyDescent="0.3">
      <c r="A418" t="s">
        <v>1224</v>
      </c>
      <c r="B418" t="str">
        <f>IFERROR(VLOOKUP(A418,'DATA MASTER'!A:O,2,0)," ")</f>
        <v>Truss Modullar</v>
      </c>
      <c r="C418" s="19" t="str">
        <f>IFERROR(VLOOKUP(A418,'DATA MASTER'!A:O,4,0)," ")</f>
        <v>RC45+15</v>
      </c>
      <c r="D418" s="1"/>
      <c r="E418" s="1"/>
      <c r="F418" s="20" t="s">
        <v>44</v>
      </c>
      <c r="G418" s="20" t="s">
        <v>1232</v>
      </c>
      <c r="H418" s="20" t="s">
        <v>1236</v>
      </c>
      <c r="I418" s="1">
        <v>450</v>
      </c>
      <c r="J418" s="1">
        <v>4</v>
      </c>
      <c r="K418" s="10">
        <v>34.094966999999997</v>
      </c>
      <c r="L418" s="16">
        <f>AKSESORIS[[#This Row],[Total 
(pcs)]]*AKSESORIS[[#This Row],[Berat/pcs
(Kg)]]</f>
        <v>136.37986799999999</v>
      </c>
      <c r="M418" s="44">
        <f>SUMIF(DATA_MASTER[NO. PON],AKSESORIS[[#This Row],[No.PON]],DATA_MASTER[Qty
(Unit)])</f>
        <v>1</v>
      </c>
      <c r="N418" s="10">
        <f>AKSESORIS[[#This Row],[Total 
(pcs)]]*AKSESORIS[[#This Row],[UNIT]]</f>
        <v>4</v>
      </c>
      <c r="O418" s="9"/>
    </row>
    <row r="419" spans="1:15" x14ac:dyDescent="0.3">
      <c r="A419" t="s">
        <v>1224</v>
      </c>
      <c r="B419" t="str">
        <f>IFERROR(VLOOKUP(A419,'DATA MASTER'!A:O,2,0)," ")</f>
        <v>Truss Modullar</v>
      </c>
      <c r="C419" s="19" t="str">
        <f>IFERROR(VLOOKUP(A419,'DATA MASTER'!A:O,4,0)," ")</f>
        <v>RC45+15</v>
      </c>
      <c r="D419" s="1"/>
      <c r="E419" s="1"/>
      <c r="F419" s="20" t="s">
        <v>44</v>
      </c>
      <c r="G419" s="20" t="s">
        <v>1233</v>
      </c>
      <c r="H419" s="20" t="s">
        <v>1237</v>
      </c>
      <c r="I419" s="1">
        <v>250</v>
      </c>
      <c r="J419" s="1">
        <v>4</v>
      </c>
      <c r="K419" s="10">
        <v>9.748016999999999</v>
      </c>
      <c r="L419" s="16">
        <f>AKSESORIS[[#This Row],[Total 
(pcs)]]*AKSESORIS[[#This Row],[Berat/pcs
(Kg)]]</f>
        <v>38.992067999999996</v>
      </c>
      <c r="M419" s="44">
        <f>SUMIF(DATA_MASTER[NO. PON],AKSESORIS[[#This Row],[No.PON]],DATA_MASTER[Qty
(Unit)])</f>
        <v>1</v>
      </c>
      <c r="N419" s="10">
        <f>AKSESORIS[[#This Row],[Total 
(pcs)]]*AKSESORIS[[#This Row],[UNIT]]</f>
        <v>4</v>
      </c>
      <c r="O419" s="9"/>
    </row>
    <row r="420" spans="1:15" x14ac:dyDescent="0.3">
      <c r="A420" t="s">
        <v>1224</v>
      </c>
      <c r="B420" t="str">
        <f>IFERROR(VLOOKUP(A420,'DATA MASTER'!A:O,2,0)," ")</f>
        <v>Truss Modullar</v>
      </c>
      <c r="C420" s="19" t="str">
        <f>IFERROR(VLOOKUP(A420,'DATA MASTER'!A:O,4,0)," ")</f>
        <v>RC45+15</v>
      </c>
      <c r="D420" s="1"/>
      <c r="E420" s="1"/>
      <c r="F420" s="20" t="s">
        <v>44</v>
      </c>
      <c r="G420" s="20" t="s">
        <v>1234</v>
      </c>
      <c r="H420" s="20" t="s">
        <v>712</v>
      </c>
      <c r="I420" s="1">
        <v>250</v>
      </c>
      <c r="J420" s="1">
        <v>6</v>
      </c>
      <c r="K420" s="10">
        <v>9.3675170000000012</v>
      </c>
      <c r="L420" s="16">
        <f>AKSESORIS[[#This Row],[Total 
(pcs)]]*AKSESORIS[[#This Row],[Berat/pcs
(Kg)]]</f>
        <v>56.205102000000011</v>
      </c>
      <c r="M420" s="44">
        <f>SUMIF(DATA_MASTER[NO. PON],AKSESORIS[[#This Row],[No.PON]],DATA_MASTER[Qty
(Unit)])</f>
        <v>1</v>
      </c>
      <c r="N420" s="10">
        <f>AKSESORIS[[#This Row],[Total 
(pcs)]]*AKSESORIS[[#This Row],[UNIT]]</f>
        <v>6</v>
      </c>
      <c r="O420" s="9"/>
    </row>
    <row r="421" spans="1:15" x14ac:dyDescent="0.3">
      <c r="A421" t="s">
        <v>1224</v>
      </c>
      <c r="B421" t="str">
        <f>IFERROR(VLOOKUP(A421,'DATA MASTER'!A:O,2,0)," ")</f>
        <v>Truss Modullar</v>
      </c>
      <c r="C421" s="19" t="str">
        <f>IFERROR(VLOOKUP(A421,'DATA MASTER'!A:O,4,0)," ")</f>
        <v>RC45+15</v>
      </c>
      <c r="D421" s="1"/>
      <c r="E421" s="1"/>
      <c r="F421" s="20" t="s">
        <v>44</v>
      </c>
      <c r="G421" s="20" t="s">
        <v>1235</v>
      </c>
      <c r="H421" s="20" t="s">
        <v>1238</v>
      </c>
      <c r="I421" s="1">
        <v>400</v>
      </c>
      <c r="J421" s="1">
        <v>2</v>
      </c>
      <c r="K421" s="10">
        <v>26.856852000000003</v>
      </c>
      <c r="L421" s="16">
        <f>AKSESORIS[[#This Row],[Total 
(pcs)]]*AKSESORIS[[#This Row],[Berat/pcs
(Kg)]]</f>
        <v>53.713704000000007</v>
      </c>
      <c r="M421" s="44">
        <f>SUMIF(DATA_MASTER[NO. PON],AKSESORIS[[#This Row],[No.PON]],DATA_MASTER[Qty
(Unit)])</f>
        <v>1</v>
      </c>
      <c r="N421" s="10">
        <f>AKSESORIS[[#This Row],[Total 
(pcs)]]*AKSESORIS[[#This Row],[UNIT]]</f>
        <v>2</v>
      </c>
      <c r="O421" s="9"/>
    </row>
    <row r="422" spans="1:15" x14ac:dyDescent="0.3">
      <c r="A422" t="s">
        <v>1224</v>
      </c>
      <c r="B422" t="str">
        <f>IFERROR(VLOOKUP(A422,'DATA MASTER'!A:O,2,0)," ")</f>
        <v>Truss Modullar</v>
      </c>
      <c r="C422" s="19" t="str">
        <f>IFERROR(VLOOKUP(A422,'DATA MASTER'!A:O,4,0)," ")</f>
        <v>RC45+15</v>
      </c>
      <c r="D422" s="1"/>
      <c r="E422" s="1"/>
      <c r="F422" s="20" t="s">
        <v>885</v>
      </c>
      <c r="G422" s="20" t="s">
        <v>1239</v>
      </c>
      <c r="H422" s="20" t="s">
        <v>781</v>
      </c>
      <c r="I422" s="1">
        <v>47761</v>
      </c>
      <c r="J422" s="1">
        <v>2</v>
      </c>
      <c r="K422" s="10">
        <v>111.79</v>
      </c>
      <c r="L422" s="16">
        <f>AKSESORIS[[#This Row],[Total 
(pcs)]]*AKSESORIS[[#This Row],[Berat/pcs
(Kg)]]</f>
        <v>223.58</v>
      </c>
      <c r="M422" s="44">
        <f>SUMIF(DATA_MASTER[NO. PON],AKSESORIS[[#This Row],[No.PON]],DATA_MASTER[Qty
(Unit)])</f>
        <v>1</v>
      </c>
      <c r="N422" s="10">
        <f>AKSESORIS[[#This Row],[Total 
(pcs)]]*AKSESORIS[[#This Row],[UNIT]]</f>
        <v>2</v>
      </c>
      <c r="O422" s="9"/>
    </row>
    <row r="423" spans="1:15" x14ac:dyDescent="0.3">
      <c r="A423" t="s">
        <v>1224</v>
      </c>
      <c r="B423" t="str">
        <f>IFERROR(VLOOKUP(A423,'DATA MASTER'!A:O,2,0)," ")</f>
        <v>Truss Modullar</v>
      </c>
      <c r="C423" s="19" t="str">
        <f>IFERROR(VLOOKUP(A423,'DATA MASTER'!A:O,4,0)," ")</f>
        <v>RC45+15</v>
      </c>
      <c r="D423" s="1"/>
      <c r="E423" s="1"/>
      <c r="F423" s="20" t="s">
        <v>885</v>
      </c>
      <c r="G423" s="20" t="s">
        <v>1240</v>
      </c>
      <c r="H423" s="20" t="s">
        <v>781</v>
      </c>
      <c r="I423" s="1">
        <v>29355</v>
      </c>
      <c r="J423" s="1">
        <v>2</v>
      </c>
      <c r="K423" s="10">
        <v>70.23</v>
      </c>
      <c r="L423" s="16">
        <f>AKSESORIS[[#This Row],[Total 
(pcs)]]*AKSESORIS[[#This Row],[Berat/pcs
(Kg)]]</f>
        <v>140.46</v>
      </c>
      <c r="M423" s="44">
        <f>SUMIF(DATA_MASTER[NO. PON],AKSESORIS[[#This Row],[No.PON]],DATA_MASTER[Qty
(Unit)])</f>
        <v>1</v>
      </c>
      <c r="N423" s="10">
        <f>AKSESORIS[[#This Row],[Total 
(pcs)]]*AKSESORIS[[#This Row],[UNIT]]</f>
        <v>2</v>
      </c>
      <c r="O423" s="9"/>
    </row>
    <row r="424" spans="1:15" x14ac:dyDescent="0.3">
      <c r="A424" t="s">
        <v>1224</v>
      </c>
      <c r="B424" t="str">
        <f>IFERROR(VLOOKUP(A424,'DATA MASTER'!A:O,2,0)," ")</f>
        <v>Truss Modullar</v>
      </c>
      <c r="C424" s="19" t="str">
        <f>IFERROR(VLOOKUP(A424,'DATA MASTER'!A:O,4,0)," ")</f>
        <v>RC45+15</v>
      </c>
      <c r="D424" s="1"/>
      <c r="E424" s="1"/>
      <c r="F424" s="20" t="s">
        <v>885</v>
      </c>
      <c r="G424" s="20" t="s">
        <v>1241</v>
      </c>
      <c r="H424" s="20" t="s">
        <v>781</v>
      </c>
      <c r="I424" s="1">
        <v>9765</v>
      </c>
      <c r="J424" s="1">
        <v>2</v>
      </c>
      <c r="K424" s="10">
        <v>28.74</v>
      </c>
      <c r="L424" s="16">
        <f>AKSESORIS[[#This Row],[Total 
(pcs)]]*AKSESORIS[[#This Row],[Berat/pcs
(Kg)]]</f>
        <v>57.48</v>
      </c>
      <c r="M424" s="44">
        <f>SUMIF(DATA_MASTER[NO. PON],AKSESORIS[[#This Row],[No.PON]],DATA_MASTER[Qty
(Unit)])</f>
        <v>1</v>
      </c>
      <c r="N424" s="10">
        <f>AKSESORIS[[#This Row],[Total 
(pcs)]]*AKSESORIS[[#This Row],[UNIT]]</f>
        <v>2</v>
      </c>
      <c r="O424" s="9"/>
    </row>
    <row r="425" spans="1:15" x14ac:dyDescent="0.3">
      <c r="A425" t="s">
        <v>1224</v>
      </c>
      <c r="B425" t="str">
        <f>IFERROR(VLOOKUP(A425,'DATA MASTER'!A:O,2,0)," ")</f>
        <v>Truss Modullar</v>
      </c>
      <c r="C425" s="19" t="str">
        <f>IFERROR(VLOOKUP(A425,'DATA MASTER'!A:O,4,0)," ")</f>
        <v>RC45+15</v>
      </c>
      <c r="D425" s="1"/>
      <c r="E425" s="1"/>
      <c r="F425" s="20" t="s">
        <v>885</v>
      </c>
      <c r="G425" s="20" t="s">
        <v>1242</v>
      </c>
      <c r="H425" s="20" t="s">
        <v>781</v>
      </c>
      <c r="I425" s="1">
        <v>13968</v>
      </c>
      <c r="J425" s="1">
        <v>2</v>
      </c>
      <c r="K425" s="10">
        <v>31.01</v>
      </c>
      <c r="L425" s="16">
        <f>AKSESORIS[[#This Row],[Total 
(pcs)]]*AKSESORIS[[#This Row],[Berat/pcs
(Kg)]]</f>
        <v>62.02</v>
      </c>
      <c r="M425" s="44">
        <f>SUMIF(DATA_MASTER[NO. PON],AKSESORIS[[#This Row],[No.PON]],DATA_MASTER[Qty
(Unit)])</f>
        <v>1</v>
      </c>
      <c r="N425" s="10">
        <f>AKSESORIS[[#This Row],[Total 
(pcs)]]*AKSESORIS[[#This Row],[UNIT]]</f>
        <v>2</v>
      </c>
      <c r="O425" s="9"/>
    </row>
    <row r="426" spans="1:15" x14ac:dyDescent="0.3">
      <c r="A426" t="s">
        <v>1224</v>
      </c>
      <c r="B426" t="str">
        <f>IFERROR(VLOOKUP(A426,'DATA MASTER'!A:O,2,0)," ")</f>
        <v>Truss Modullar</v>
      </c>
      <c r="C426" s="19" t="str">
        <f>IFERROR(VLOOKUP(A426,'DATA MASTER'!A:O,4,0)," ")</f>
        <v>RC45+15</v>
      </c>
      <c r="D426" s="1"/>
      <c r="E426" s="1"/>
      <c r="F426" s="20" t="s">
        <v>885</v>
      </c>
      <c r="G426" s="20" t="s">
        <v>1243</v>
      </c>
      <c r="H426" s="20" t="s">
        <v>781</v>
      </c>
      <c r="I426" s="1">
        <v>28946</v>
      </c>
      <c r="J426" s="1">
        <v>2</v>
      </c>
      <c r="K426" s="10">
        <v>64.27</v>
      </c>
      <c r="L426" s="16">
        <f>AKSESORIS[[#This Row],[Total 
(pcs)]]*AKSESORIS[[#This Row],[Berat/pcs
(Kg)]]</f>
        <v>128.54</v>
      </c>
      <c r="M426" s="44">
        <f>SUMIF(DATA_MASTER[NO. PON],AKSESORIS[[#This Row],[No.PON]],DATA_MASTER[Qty
(Unit)])</f>
        <v>1</v>
      </c>
      <c r="N426" s="10">
        <f>AKSESORIS[[#This Row],[Total 
(pcs)]]*AKSESORIS[[#This Row],[UNIT]]</f>
        <v>2</v>
      </c>
      <c r="O426" s="9"/>
    </row>
    <row r="427" spans="1:15" x14ac:dyDescent="0.3">
      <c r="A427" t="s">
        <v>1224</v>
      </c>
      <c r="B427" t="str">
        <f>IFERROR(VLOOKUP(A427,'DATA MASTER'!A:O,2,0)," ")</f>
        <v>Truss Modullar</v>
      </c>
      <c r="C427" s="19" t="str">
        <f>IFERROR(VLOOKUP(A427,'DATA MASTER'!A:O,4,0)," ")</f>
        <v>RC45+15</v>
      </c>
      <c r="D427" s="1"/>
      <c r="E427" s="1"/>
      <c r="F427" s="20" t="s">
        <v>43</v>
      </c>
      <c r="G427" s="20" t="s">
        <v>1244</v>
      </c>
      <c r="H427" s="20" t="s">
        <v>1253</v>
      </c>
      <c r="I427" s="1">
        <v>668</v>
      </c>
      <c r="J427" s="1">
        <v>4</v>
      </c>
      <c r="K427" s="10">
        <v>2.14</v>
      </c>
      <c r="L427" s="16">
        <f>AKSESORIS[[#This Row],[Total 
(pcs)]]*AKSESORIS[[#This Row],[Berat/pcs
(Kg)]]</f>
        <v>8.56</v>
      </c>
      <c r="M427" s="44">
        <f>SUMIF(DATA_MASTER[NO. PON],AKSESORIS[[#This Row],[No.PON]],DATA_MASTER[Qty
(Unit)])</f>
        <v>1</v>
      </c>
      <c r="N427" s="10">
        <f>AKSESORIS[[#This Row],[Total 
(pcs)]]*AKSESORIS[[#This Row],[UNIT]]</f>
        <v>4</v>
      </c>
      <c r="O427" s="9"/>
    </row>
    <row r="428" spans="1:15" x14ac:dyDescent="0.3">
      <c r="A428" t="s">
        <v>1224</v>
      </c>
      <c r="B428" t="str">
        <f>IFERROR(VLOOKUP(A428,'DATA MASTER'!A:O,2,0)," ")</f>
        <v>Truss Modullar</v>
      </c>
      <c r="C428" s="19" t="str">
        <f>IFERROR(VLOOKUP(A428,'DATA MASTER'!A:O,4,0)," ")</f>
        <v>RC45+15</v>
      </c>
      <c r="D428" s="1"/>
      <c r="E428" s="1"/>
      <c r="F428" s="20" t="s">
        <v>43</v>
      </c>
      <c r="G428" s="20" t="s">
        <v>1245</v>
      </c>
      <c r="H428" s="20" t="s">
        <v>1253</v>
      </c>
      <c r="I428" s="1">
        <v>672</v>
      </c>
      <c r="J428" s="1">
        <v>4</v>
      </c>
      <c r="K428" s="10">
        <v>2.16</v>
      </c>
      <c r="L428" s="16">
        <f>AKSESORIS[[#This Row],[Total 
(pcs)]]*AKSESORIS[[#This Row],[Berat/pcs
(Kg)]]</f>
        <v>8.64</v>
      </c>
      <c r="M428" s="44">
        <f>SUMIF(DATA_MASTER[NO. PON],AKSESORIS[[#This Row],[No.PON]],DATA_MASTER[Qty
(Unit)])</f>
        <v>1</v>
      </c>
      <c r="N428" s="10">
        <f>AKSESORIS[[#This Row],[Total 
(pcs)]]*AKSESORIS[[#This Row],[UNIT]]</f>
        <v>4</v>
      </c>
      <c r="O428" s="9"/>
    </row>
    <row r="429" spans="1:15" x14ac:dyDescent="0.3">
      <c r="A429" t="s">
        <v>1224</v>
      </c>
      <c r="B429" t="str">
        <f>IFERROR(VLOOKUP(A429,'DATA MASTER'!A:O,2,0)," ")</f>
        <v>Truss Modullar</v>
      </c>
      <c r="C429" s="19" t="str">
        <f>IFERROR(VLOOKUP(A429,'DATA MASTER'!A:O,4,0)," ")</f>
        <v>RC45+15</v>
      </c>
      <c r="D429" s="1"/>
      <c r="E429" s="1"/>
      <c r="F429" s="20" t="s">
        <v>43</v>
      </c>
      <c r="G429" s="20" t="s">
        <v>1246</v>
      </c>
      <c r="H429" s="20" t="s">
        <v>1253</v>
      </c>
      <c r="I429" s="1">
        <v>1256</v>
      </c>
      <c r="J429" s="1">
        <v>8</v>
      </c>
      <c r="K429" s="10">
        <v>4.03</v>
      </c>
      <c r="L429" s="16">
        <f>AKSESORIS[[#This Row],[Total 
(pcs)]]*AKSESORIS[[#This Row],[Berat/pcs
(Kg)]]</f>
        <v>32.24</v>
      </c>
      <c r="M429" s="44">
        <f>SUMIF(DATA_MASTER[NO. PON],AKSESORIS[[#This Row],[No.PON]],DATA_MASTER[Qty
(Unit)])</f>
        <v>1</v>
      </c>
      <c r="N429" s="10">
        <f>AKSESORIS[[#This Row],[Total 
(pcs)]]*AKSESORIS[[#This Row],[UNIT]]</f>
        <v>8</v>
      </c>
      <c r="O429" s="9"/>
    </row>
    <row r="430" spans="1:15" x14ac:dyDescent="0.3">
      <c r="A430" t="s">
        <v>1224</v>
      </c>
      <c r="B430" t="str">
        <f>IFERROR(VLOOKUP(A430,'DATA MASTER'!A:O,2,0)," ")</f>
        <v>Truss Modullar</v>
      </c>
      <c r="C430" s="19" t="str">
        <f>IFERROR(VLOOKUP(A430,'DATA MASTER'!A:O,4,0)," ")</f>
        <v>RC45+15</v>
      </c>
      <c r="D430" s="1"/>
      <c r="E430" s="1"/>
      <c r="F430" s="20" t="s">
        <v>43</v>
      </c>
      <c r="G430" s="20" t="s">
        <v>1247</v>
      </c>
      <c r="H430" s="20" t="s">
        <v>1254</v>
      </c>
      <c r="I430" s="1">
        <v>1256</v>
      </c>
      <c r="J430" s="1">
        <v>8</v>
      </c>
      <c r="K430" s="10">
        <v>8.35</v>
      </c>
      <c r="L430" s="16">
        <f>AKSESORIS[[#This Row],[Total 
(pcs)]]*AKSESORIS[[#This Row],[Berat/pcs
(Kg)]]</f>
        <v>66.8</v>
      </c>
      <c r="M430" s="44">
        <f>SUMIF(DATA_MASTER[NO. PON],AKSESORIS[[#This Row],[No.PON]],DATA_MASTER[Qty
(Unit)])</f>
        <v>1</v>
      </c>
      <c r="N430" s="10">
        <f>AKSESORIS[[#This Row],[Total 
(pcs)]]*AKSESORIS[[#This Row],[UNIT]]</f>
        <v>8</v>
      </c>
      <c r="O430" s="9"/>
    </row>
    <row r="431" spans="1:15" x14ac:dyDescent="0.3">
      <c r="A431" t="s">
        <v>1224</v>
      </c>
      <c r="B431" t="str">
        <f>IFERROR(VLOOKUP(A431,'DATA MASTER'!A:O,2,0)," ")</f>
        <v>Truss Modullar</v>
      </c>
      <c r="C431" s="19" t="str">
        <f>IFERROR(VLOOKUP(A431,'DATA MASTER'!A:O,4,0)," ")</f>
        <v>RC45+15</v>
      </c>
      <c r="D431" s="1"/>
      <c r="E431" s="1"/>
      <c r="F431" s="20" t="s">
        <v>43</v>
      </c>
      <c r="G431" s="20" t="s">
        <v>1248</v>
      </c>
      <c r="H431" s="20" t="s">
        <v>1255</v>
      </c>
      <c r="I431" s="1">
        <v>1256</v>
      </c>
      <c r="J431" s="1">
        <v>64</v>
      </c>
      <c r="K431" s="10">
        <v>9.09</v>
      </c>
      <c r="L431" s="16">
        <f>AKSESORIS[[#This Row],[Total 
(pcs)]]*AKSESORIS[[#This Row],[Berat/pcs
(Kg)]]</f>
        <v>581.76</v>
      </c>
      <c r="M431" s="44">
        <f>SUMIF(DATA_MASTER[NO. PON],AKSESORIS[[#This Row],[No.PON]],DATA_MASTER[Qty
(Unit)])</f>
        <v>1</v>
      </c>
      <c r="N431" s="10">
        <f>AKSESORIS[[#This Row],[Total 
(pcs)]]*AKSESORIS[[#This Row],[UNIT]]</f>
        <v>64</v>
      </c>
      <c r="O431" s="9"/>
    </row>
    <row r="432" spans="1:15" x14ac:dyDescent="0.3">
      <c r="A432" t="s">
        <v>1224</v>
      </c>
      <c r="B432" t="str">
        <f>IFERROR(VLOOKUP(A432,'DATA MASTER'!A:O,2,0)," ")</f>
        <v>Truss Modullar</v>
      </c>
      <c r="C432" s="19" t="str">
        <f>IFERROR(VLOOKUP(A432,'DATA MASTER'!A:O,4,0)," ")</f>
        <v>RC45+15</v>
      </c>
      <c r="D432" s="1"/>
      <c r="E432" s="1"/>
      <c r="F432" s="20" t="s">
        <v>43</v>
      </c>
      <c r="G432" s="20" t="s">
        <v>1249</v>
      </c>
      <c r="H432" s="20" t="s">
        <v>1254</v>
      </c>
      <c r="I432" s="1">
        <v>1000</v>
      </c>
      <c r="J432" s="1">
        <v>4</v>
      </c>
      <c r="K432" s="10">
        <v>6.65</v>
      </c>
      <c r="L432" s="16">
        <f>AKSESORIS[[#This Row],[Total 
(pcs)]]*AKSESORIS[[#This Row],[Berat/pcs
(Kg)]]</f>
        <v>26.6</v>
      </c>
      <c r="M432" s="44">
        <f>SUMIF(DATA_MASTER[NO. PON],AKSESORIS[[#This Row],[No.PON]],DATA_MASTER[Qty
(Unit)])</f>
        <v>1</v>
      </c>
      <c r="N432" s="10">
        <f>AKSESORIS[[#This Row],[Total 
(pcs)]]*AKSESORIS[[#This Row],[UNIT]]</f>
        <v>4</v>
      </c>
      <c r="O432" s="9"/>
    </row>
    <row r="433" spans="1:15" x14ac:dyDescent="0.3">
      <c r="A433" t="s">
        <v>1224</v>
      </c>
      <c r="B433" t="str">
        <f>IFERROR(VLOOKUP(A433,'DATA MASTER'!A:O,2,0)," ")</f>
        <v>Truss Modullar</v>
      </c>
      <c r="C433" s="19" t="str">
        <f>IFERROR(VLOOKUP(A433,'DATA MASTER'!A:O,4,0)," ")</f>
        <v>RC45+15</v>
      </c>
      <c r="D433" s="1"/>
      <c r="E433" s="1"/>
      <c r="F433" s="20" t="s">
        <v>43</v>
      </c>
      <c r="G433" s="20" t="s">
        <v>1250</v>
      </c>
      <c r="H433" s="20" t="s">
        <v>1254</v>
      </c>
      <c r="I433" s="1">
        <v>1008</v>
      </c>
      <c r="J433" s="1">
        <v>4</v>
      </c>
      <c r="K433" s="10">
        <v>6.7</v>
      </c>
      <c r="L433" s="16">
        <f>AKSESORIS[[#This Row],[Total 
(pcs)]]*AKSESORIS[[#This Row],[Berat/pcs
(Kg)]]</f>
        <v>26.8</v>
      </c>
      <c r="M433" s="44">
        <f>SUMIF(DATA_MASTER[NO. PON],AKSESORIS[[#This Row],[No.PON]],DATA_MASTER[Qty
(Unit)])</f>
        <v>1</v>
      </c>
      <c r="N433" s="10">
        <f>AKSESORIS[[#This Row],[Total 
(pcs)]]*AKSESORIS[[#This Row],[UNIT]]</f>
        <v>4</v>
      </c>
      <c r="O433" s="9"/>
    </row>
    <row r="434" spans="1:15" x14ac:dyDescent="0.3">
      <c r="A434" t="s">
        <v>1224</v>
      </c>
      <c r="B434" t="str">
        <f>IFERROR(VLOOKUP(A434,'DATA MASTER'!A:O,2,0)," ")</f>
        <v>Truss Modullar</v>
      </c>
      <c r="C434" s="19" t="str">
        <f>IFERROR(VLOOKUP(A434,'DATA MASTER'!A:O,4,0)," ")</f>
        <v>RC45+15</v>
      </c>
      <c r="D434" s="1"/>
      <c r="E434" s="1"/>
      <c r="F434" s="20" t="s">
        <v>43</v>
      </c>
      <c r="G434" s="20" t="s">
        <v>1251</v>
      </c>
      <c r="H434" s="20" t="s">
        <v>1255</v>
      </c>
      <c r="I434" s="1">
        <v>1000</v>
      </c>
      <c r="J434" s="1">
        <v>32</v>
      </c>
      <c r="K434" s="10">
        <v>7.24</v>
      </c>
      <c r="L434" s="16">
        <f>AKSESORIS[[#This Row],[Total 
(pcs)]]*AKSESORIS[[#This Row],[Berat/pcs
(Kg)]]</f>
        <v>231.68</v>
      </c>
      <c r="M434" s="44">
        <f>SUMIF(DATA_MASTER[NO. PON],AKSESORIS[[#This Row],[No.PON]],DATA_MASTER[Qty
(Unit)])</f>
        <v>1</v>
      </c>
      <c r="N434" s="10">
        <f>AKSESORIS[[#This Row],[Total 
(pcs)]]*AKSESORIS[[#This Row],[UNIT]]</f>
        <v>32</v>
      </c>
      <c r="O434" s="9"/>
    </row>
    <row r="435" spans="1:15" x14ac:dyDescent="0.3">
      <c r="A435" t="s">
        <v>1224</v>
      </c>
      <c r="B435" t="str">
        <f>IFERROR(VLOOKUP(A435,'DATA MASTER'!A:O,2,0)," ")</f>
        <v>Truss Modullar</v>
      </c>
      <c r="C435" s="19" t="str">
        <f>IFERROR(VLOOKUP(A435,'DATA MASTER'!A:O,4,0)," ")</f>
        <v>RC45+15</v>
      </c>
      <c r="D435" s="1"/>
      <c r="E435" s="1"/>
      <c r="F435" s="20" t="s">
        <v>43</v>
      </c>
      <c r="G435" s="20" t="s">
        <v>1252</v>
      </c>
      <c r="H435" s="20" t="s">
        <v>1255</v>
      </c>
      <c r="I435" s="1">
        <v>1008</v>
      </c>
      <c r="J435" s="1">
        <v>32</v>
      </c>
      <c r="K435" s="10">
        <v>7.3</v>
      </c>
      <c r="L435" s="16">
        <f>AKSESORIS[[#This Row],[Total 
(pcs)]]*AKSESORIS[[#This Row],[Berat/pcs
(Kg)]]</f>
        <v>233.6</v>
      </c>
      <c r="M435" s="44">
        <f>SUMIF(DATA_MASTER[NO. PON],AKSESORIS[[#This Row],[No.PON]],DATA_MASTER[Qty
(Unit)])</f>
        <v>1</v>
      </c>
      <c r="N435" s="10">
        <f>AKSESORIS[[#This Row],[Total 
(pcs)]]*AKSESORIS[[#This Row],[UNIT]]</f>
        <v>32</v>
      </c>
      <c r="O435" s="9"/>
    </row>
    <row r="436" spans="1:15" x14ac:dyDescent="0.3">
      <c r="A436" t="s">
        <v>1258</v>
      </c>
      <c r="B436" t="str">
        <f>IFERROR(VLOOKUP(A436,'DATA MASTER'!A:O,2,0)," ")</f>
        <v>Girder</v>
      </c>
      <c r="C436" s="19" t="str">
        <f>IFERROR(VLOOKUP(A436,'DATA MASTER'!A:O,4,0)," ")</f>
        <v>C43</v>
      </c>
      <c r="D436" s="1"/>
      <c r="E436" s="1"/>
      <c r="F436" s="20" t="s">
        <v>904</v>
      </c>
      <c r="G436" s="20" t="s">
        <v>1262</v>
      </c>
      <c r="H436" s="20" t="s">
        <v>776</v>
      </c>
      <c r="I436" s="1">
        <v>500</v>
      </c>
      <c r="J436" s="1">
        <v>40</v>
      </c>
      <c r="K436" s="10">
        <v>1.1100000000000001</v>
      </c>
      <c r="L436" s="16">
        <f>AKSESORIS[[#This Row],[Total 
(pcs)]]*AKSESORIS[[#This Row],[Berat/pcs
(Kg)]]</f>
        <v>44.400000000000006</v>
      </c>
      <c r="M436" s="44">
        <f>SUMIF(DATA_MASTER[NO. PON],AKSESORIS[[#This Row],[No.PON]],DATA_MASTER[Qty
(Unit)])</f>
        <v>1</v>
      </c>
      <c r="N436" s="10">
        <f>AKSESORIS[[#This Row],[Total 
(pcs)]]*AKSESORIS[[#This Row],[UNIT]]</f>
        <v>40</v>
      </c>
      <c r="O436" s="9"/>
    </row>
    <row r="437" spans="1:15" x14ac:dyDescent="0.3">
      <c r="A437" t="s">
        <v>1258</v>
      </c>
      <c r="B437" t="str">
        <f>IFERROR(VLOOKUP(A437,'DATA MASTER'!A:O,2,0)," ")</f>
        <v>Girder</v>
      </c>
      <c r="C437" s="19" t="str">
        <f>IFERROR(VLOOKUP(A437,'DATA MASTER'!A:O,4,0)," ")</f>
        <v>C43</v>
      </c>
      <c r="D437" s="1"/>
      <c r="E437" s="1"/>
      <c r="F437" s="20" t="s">
        <v>44</v>
      </c>
      <c r="G437" s="20" t="s">
        <v>1263</v>
      </c>
      <c r="H437" s="20" t="s">
        <v>1274</v>
      </c>
      <c r="I437" s="1">
        <v>220</v>
      </c>
      <c r="J437" s="1">
        <v>8</v>
      </c>
      <c r="K437" s="10">
        <v>10.223642</v>
      </c>
      <c r="L437" s="16">
        <f>AKSESORIS[[#This Row],[Total 
(pcs)]]*AKSESORIS[[#This Row],[Berat/pcs
(Kg)]]</f>
        <v>81.789135999999999</v>
      </c>
      <c r="M437" s="44">
        <f>SUMIF(DATA_MASTER[NO. PON],AKSESORIS[[#This Row],[No.PON]],DATA_MASTER[Qty
(Unit)])</f>
        <v>1</v>
      </c>
      <c r="N437" s="10">
        <f>AKSESORIS[[#This Row],[Total 
(pcs)]]*AKSESORIS[[#This Row],[UNIT]]</f>
        <v>8</v>
      </c>
      <c r="O437" s="9"/>
    </row>
    <row r="438" spans="1:15" x14ac:dyDescent="0.3">
      <c r="A438" t="s">
        <v>1258</v>
      </c>
      <c r="B438" t="str">
        <f>IFERROR(VLOOKUP(A438,'DATA MASTER'!A:O,2,0)," ")</f>
        <v>Girder</v>
      </c>
      <c r="C438" s="19" t="str">
        <f>IFERROR(VLOOKUP(A438,'DATA MASTER'!A:O,4,0)," ")</f>
        <v>C43</v>
      </c>
      <c r="D438" s="1"/>
      <c r="E438" s="1"/>
      <c r="F438" s="20" t="s">
        <v>44</v>
      </c>
      <c r="G438" s="20" t="s">
        <v>1264</v>
      </c>
      <c r="H438" s="20" t="s">
        <v>1275</v>
      </c>
      <c r="I438" s="1">
        <v>150</v>
      </c>
      <c r="J438" s="1">
        <v>4</v>
      </c>
      <c r="K438" s="10">
        <v>3.438072</v>
      </c>
      <c r="L438" s="16">
        <f>AKSESORIS[[#This Row],[Total 
(pcs)]]*AKSESORIS[[#This Row],[Berat/pcs
(Kg)]]</f>
        <v>13.752288</v>
      </c>
      <c r="M438" s="44">
        <f>SUMIF(DATA_MASTER[NO. PON],AKSESORIS[[#This Row],[No.PON]],DATA_MASTER[Qty
(Unit)])</f>
        <v>1</v>
      </c>
      <c r="N438" s="10">
        <f>AKSESORIS[[#This Row],[Total 
(pcs)]]*AKSESORIS[[#This Row],[UNIT]]</f>
        <v>4</v>
      </c>
      <c r="O438" s="9"/>
    </row>
    <row r="439" spans="1:15" x14ac:dyDescent="0.3">
      <c r="A439" t="s">
        <v>1258</v>
      </c>
      <c r="B439" t="str">
        <f>IFERROR(VLOOKUP(A439,'DATA MASTER'!A:O,2,0)," ")</f>
        <v>Girder</v>
      </c>
      <c r="C439" s="19" t="str">
        <f>IFERROR(VLOOKUP(A439,'DATA MASTER'!A:O,4,0)," ")</f>
        <v>C43</v>
      </c>
      <c r="D439" s="1"/>
      <c r="E439" s="1"/>
      <c r="F439" s="20" t="s">
        <v>885</v>
      </c>
      <c r="G439" s="20" t="s">
        <v>1265</v>
      </c>
      <c r="H439" s="20" t="s">
        <v>1276</v>
      </c>
      <c r="I439" s="1">
        <v>2689</v>
      </c>
      <c r="J439" s="1">
        <v>4</v>
      </c>
      <c r="K439" s="10">
        <v>1.51</v>
      </c>
      <c r="L439" s="16">
        <f>AKSESORIS[[#This Row],[Total 
(pcs)]]*AKSESORIS[[#This Row],[Berat/pcs
(Kg)]]</f>
        <v>6.04</v>
      </c>
      <c r="M439" s="44">
        <f>SUMIF(DATA_MASTER[NO. PON],AKSESORIS[[#This Row],[No.PON]],DATA_MASTER[Qty
(Unit)])</f>
        <v>1</v>
      </c>
      <c r="N439" s="10">
        <f>AKSESORIS[[#This Row],[Total 
(pcs)]]*AKSESORIS[[#This Row],[UNIT]]</f>
        <v>4</v>
      </c>
      <c r="O439" s="9"/>
    </row>
    <row r="440" spans="1:15" x14ac:dyDescent="0.3">
      <c r="A440" t="s">
        <v>1258</v>
      </c>
      <c r="B440" t="str">
        <f>IFERROR(VLOOKUP(A440,'DATA MASTER'!A:O,2,0)," ")</f>
        <v>Girder</v>
      </c>
      <c r="C440" s="19" t="str">
        <f>IFERROR(VLOOKUP(A440,'DATA MASTER'!A:O,4,0)," ")</f>
        <v>C43</v>
      </c>
      <c r="D440" s="1"/>
      <c r="E440" s="1"/>
      <c r="F440" s="20" t="s">
        <v>885</v>
      </c>
      <c r="G440" s="20" t="s">
        <v>1266</v>
      </c>
      <c r="H440" s="20" t="s">
        <v>1276</v>
      </c>
      <c r="I440" s="1">
        <v>2086</v>
      </c>
      <c r="J440" s="1">
        <v>4</v>
      </c>
      <c r="K440" s="10">
        <v>1.17</v>
      </c>
      <c r="L440" s="16">
        <f>AKSESORIS[[#This Row],[Total 
(pcs)]]*AKSESORIS[[#This Row],[Berat/pcs
(Kg)]]</f>
        <v>4.68</v>
      </c>
      <c r="M440" s="44">
        <f>SUMIF(DATA_MASTER[NO. PON],AKSESORIS[[#This Row],[No.PON]],DATA_MASTER[Qty
(Unit)])</f>
        <v>1</v>
      </c>
      <c r="N440" s="10">
        <f>AKSESORIS[[#This Row],[Total 
(pcs)]]*AKSESORIS[[#This Row],[UNIT]]</f>
        <v>4</v>
      </c>
      <c r="O440" s="9"/>
    </row>
    <row r="441" spans="1:15" x14ac:dyDescent="0.3">
      <c r="A441" t="s">
        <v>1258</v>
      </c>
      <c r="B441" t="str">
        <f>IFERROR(VLOOKUP(A441,'DATA MASTER'!A:O,2,0)," ")</f>
        <v>Girder</v>
      </c>
      <c r="C441" s="19" t="str">
        <f>IFERROR(VLOOKUP(A441,'DATA MASTER'!A:O,4,0)," ")</f>
        <v>C43</v>
      </c>
      <c r="D441" s="1"/>
      <c r="E441" s="1"/>
      <c r="F441" s="20" t="s">
        <v>885</v>
      </c>
      <c r="G441" s="20" t="s">
        <v>1267</v>
      </c>
      <c r="H441" s="20" t="s">
        <v>1276</v>
      </c>
      <c r="I441" s="1">
        <v>1791</v>
      </c>
      <c r="J441" s="1">
        <v>4</v>
      </c>
      <c r="K441" s="10">
        <v>1.17</v>
      </c>
      <c r="L441" s="16">
        <f>AKSESORIS[[#This Row],[Total 
(pcs)]]*AKSESORIS[[#This Row],[Berat/pcs
(Kg)]]</f>
        <v>4.68</v>
      </c>
      <c r="M441" s="44">
        <f>SUMIF(DATA_MASTER[NO. PON],AKSESORIS[[#This Row],[No.PON]],DATA_MASTER[Qty
(Unit)])</f>
        <v>1</v>
      </c>
      <c r="N441" s="10">
        <f>AKSESORIS[[#This Row],[Total 
(pcs)]]*AKSESORIS[[#This Row],[UNIT]]</f>
        <v>4</v>
      </c>
      <c r="O441" s="9"/>
    </row>
    <row r="442" spans="1:15" x14ac:dyDescent="0.3">
      <c r="A442" t="s">
        <v>1258</v>
      </c>
      <c r="B442" t="str">
        <f>IFERROR(VLOOKUP(A442,'DATA MASTER'!A:O,2,0)," ")</f>
        <v>Girder</v>
      </c>
      <c r="C442" s="19" t="str">
        <f>IFERROR(VLOOKUP(A442,'DATA MASTER'!A:O,4,0)," ")</f>
        <v>C43</v>
      </c>
      <c r="D442" s="1"/>
      <c r="E442" s="1"/>
      <c r="F442" s="20" t="s">
        <v>885</v>
      </c>
      <c r="G442" s="20" t="s">
        <v>1268</v>
      </c>
      <c r="H442" s="20" t="s">
        <v>1276</v>
      </c>
      <c r="I442" s="1">
        <v>3616</v>
      </c>
      <c r="J442" s="1">
        <v>4</v>
      </c>
      <c r="K442" s="10">
        <f>0.000560882070949185*AKSESORIS[[#This Row],[Panjang]]</f>
        <v>2.0281495685522528</v>
      </c>
      <c r="L442" s="16">
        <f>AKSESORIS[[#This Row],[Total 
(pcs)]]*AKSESORIS[[#This Row],[Berat/pcs
(Kg)]]</f>
        <v>8.1125982742090113</v>
      </c>
      <c r="M442" s="44">
        <f>SUMIF(DATA_MASTER[NO. PON],AKSESORIS[[#This Row],[No.PON]],DATA_MASTER[Qty
(Unit)])</f>
        <v>1</v>
      </c>
      <c r="N442" s="10">
        <f>AKSESORIS[[#This Row],[Total 
(pcs)]]*AKSESORIS[[#This Row],[UNIT]]</f>
        <v>4</v>
      </c>
      <c r="O442" s="9"/>
    </row>
    <row r="443" spans="1:15" x14ac:dyDescent="0.3">
      <c r="A443" t="s">
        <v>1258</v>
      </c>
      <c r="B443" t="str">
        <f>IFERROR(VLOOKUP(A443,'DATA MASTER'!A:O,2,0)," ")</f>
        <v>Girder</v>
      </c>
      <c r="C443" s="19" t="str">
        <f>IFERROR(VLOOKUP(A443,'DATA MASTER'!A:O,4,0)," ")</f>
        <v>C43</v>
      </c>
      <c r="D443" s="1"/>
      <c r="E443" s="1"/>
      <c r="F443" s="20" t="s">
        <v>885</v>
      </c>
      <c r="G443" s="20" t="s">
        <v>1269</v>
      </c>
      <c r="H443" s="20" t="s">
        <v>1277</v>
      </c>
      <c r="I443" s="1">
        <v>294</v>
      </c>
      <c r="J443" s="1">
        <v>1</v>
      </c>
      <c r="K443" s="10">
        <v>2.4</v>
      </c>
      <c r="L443" s="16">
        <f>AKSESORIS[[#This Row],[Total 
(pcs)]]*AKSESORIS[[#This Row],[Berat/pcs
(Kg)]]</f>
        <v>2.4</v>
      </c>
      <c r="M443" s="44">
        <f>SUMIF(DATA_MASTER[NO. PON],AKSESORIS[[#This Row],[No.PON]],DATA_MASTER[Qty
(Unit)])</f>
        <v>1</v>
      </c>
      <c r="N443" s="10">
        <f>AKSESORIS[[#This Row],[Total 
(pcs)]]*AKSESORIS[[#This Row],[UNIT]]</f>
        <v>1</v>
      </c>
      <c r="O443" s="9"/>
    </row>
    <row r="444" spans="1:15" x14ac:dyDescent="0.3">
      <c r="A444" t="s">
        <v>1258</v>
      </c>
      <c r="B444" t="str">
        <f>IFERROR(VLOOKUP(A444,'DATA MASTER'!A:O,2,0)," ")</f>
        <v>Girder</v>
      </c>
      <c r="C444" s="19" t="str">
        <f>IFERROR(VLOOKUP(A444,'DATA MASTER'!A:O,4,0)," ")</f>
        <v>C43</v>
      </c>
      <c r="D444" s="1"/>
      <c r="E444" s="1"/>
      <c r="F444" s="20" t="s">
        <v>885</v>
      </c>
      <c r="G444" s="20" t="s">
        <v>1270</v>
      </c>
      <c r="H444" s="20" t="s">
        <v>1277</v>
      </c>
      <c r="I444" s="1">
        <v>1256</v>
      </c>
      <c r="J444" s="1">
        <v>43</v>
      </c>
      <c r="K444" s="10">
        <v>10.27</v>
      </c>
      <c r="L444" s="16">
        <f>AKSESORIS[[#This Row],[Total 
(pcs)]]*AKSESORIS[[#This Row],[Berat/pcs
(Kg)]]</f>
        <v>441.60999999999996</v>
      </c>
      <c r="M444" s="44">
        <f>SUMIF(DATA_MASTER[NO. PON],AKSESORIS[[#This Row],[No.PON]],DATA_MASTER[Qty
(Unit)])</f>
        <v>1</v>
      </c>
      <c r="N444" s="10">
        <f>AKSESORIS[[#This Row],[Total 
(pcs)]]*AKSESORIS[[#This Row],[UNIT]]</f>
        <v>43</v>
      </c>
      <c r="O444" s="9"/>
    </row>
    <row r="445" spans="1:15" x14ac:dyDescent="0.3">
      <c r="A445" t="s">
        <v>1258</v>
      </c>
      <c r="B445" t="str">
        <f>IFERROR(VLOOKUP(A445,'DATA MASTER'!A:O,2,0)," ")</f>
        <v>Girder</v>
      </c>
      <c r="C445" s="19" t="str">
        <f>IFERROR(VLOOKUP(A445,'DATA MASTER'!A:O,4,0)," ")</f>
        <v>C43</v>
      </c>
      <c r="D445" s="1"/>
      <c r="E445" s="1"/>
      <c r="F445" s="20" t="s">
        <v>885</v>
      </c>
      <c r="G445" s="20" t="s">
        <v>1271</v>
      </c>
      <c r="H445" s="20" t="s">
        <v>1277</v>
      </c>
      <c r="I445" s="1">
        <v>962</v>
      </c>
      <c r="J445" s="1">
        <v>1</v>
      </c>
      <c r="K445" s="10">
        <v>7.87</v>
      </c>
      <c r="L445" s="16">
        <f>AKSESORIS[[#This Row],[Total 
(pcs)]]*AKSESORIS[[#This Row],[Berat/pcs
(Kg)]]</f>
        <v>7.87</v>
      </c>
      <c r="M445" s="44">
        <f>SUMIF(DATA_MASTER[NO. PON],AKSESORIS[[#This Row],[No.PON]],DATA_MASTER[Qty
(Unit)])</f>
        <v>1</v>
      </c>
      <c r="N445" s="10">
        <f>AKSESORIS[[#This Row],[Total 
(pcs)]]*AKSESORIS[[#This Row],[UNIT]]</f>
        <v>1</v>
      </c>
      <c r="O445" s="9"/>
    </row>
    <row r="446" spans="1:15" x14ac:dyDescent="0.3">
      <c r="A446" t="s">
        <v>1258</v>
      </c>
      <c r="B446" t="str">
        <f>IFERROR(VLOOKUP(A446,'DATA MASTER'!A:O,2,0)," ")</f>
        <v>Girder</v>
      </c>
      <c r="C446" s="19" t="str">
        <f>IFERROR(VLOOKUP(A446,'DATA MASTER'!A:O,4,0)," ")</f>
        <v>C43</v>
      </c>
      <c r="D446" s="1"/>
      <c r="E446" s="1"/>
      <c r="F446" s="20" t="s">
        <v>885</v>
      </c>
      <c r="G446" s="20" t="s">
        <v>1272</v>
      </c>
      <c r="H446" s="20" t="s">
        <v>182</v>
      </c>
      <c r="I446" s="1">
        <v>28238</v>
      </c>
      <c r="J446" s="1">
        <v>2</v>
      </c>
      <c r="K446" s="10">
        <v>183.24</v>
      </c>
      <c r="L446" s="16">
        <f>AKSESORIS[[#This Row],[Total 
(pcs)]]*AKSESORIS[[#This Row],[Berat/pcs
(Kg)]]</f>
        <v>366.48</v>
      </c>
      <c r="M446" s="44">
        <f>SUMIF(DATA_MASTER[NO. PON],AKSESORIS[[#This Row],[No.PON]],DATA_MASTER[Qty
(Unit)])</f>
        <v>1</v>
      </c>
      <c r="N446" s="10">
        <f>AKSESORIS[[#This Row],[Total 
(pcs)]]*AKSESORIS[[#This Row],[UNIT]]</f>
        <v>2</v>
      </c>
      <c r="O446" s="9"/>
    </row>
    <row r="447" spans="1:15" x14ac:dyDescent="0.3">
      <c r="A447" t="s">
        <v>1258</v>
      </c>
      <c r="B447" t="str">
        <f>IFERROR(VLOOKUP(A447,'DATA MASTER'!A:O,2,0)," ")</f>
        <v>Girder</v>
      </c>
      <c r="C447" s="19" t="str">
        <f>IFERROR(VLOOKUP(A447,'DATA MASTER'!A:O,4,0)," ")</f>
        <v>C43</v>
      </c>
      <c r="D447" s="1"/>
      <c r="E447" s="1"/>
      <c r="F447" s="20" t="s">
        <v>885</v>
      </c>
      <c r="G447" s="20" t="s">
        <v>1273</v>
      </c>
      <c r="H447" s="20" t="s">
        <v>182</v>
      </c>
      <c r="I447" s="1">
        <v>9338</v>
      </c>
      <c r="J447" s="1">
        <v>4</v>
      </c>
      <c r="K447" s="10">
        <v>55.62</v>
      </c>
      <c r="L447" s="16">
        <f>AKSESORIS[[#This Row],[Total 
(pcs)]]*AKSESORIS[[#This Row],[Berat/pcs
(Kg)]]</f>
        <v>222.48</v>
      </c>
      <c r="M447" s="44">
        <f>SUMIF(DATA_MASTER[NO. PON],AKSESORIS[[#This Row],[No.PON]],DATA_MASTER[Qty
(Unit)])</f>
        <v>1</v>
      </c>
      <c r="N447" s="10">
        <f>AKSESORIS[[#This Row],[Total 
(pcs)]]*AKSESORIS[[#This Row],[UNIT]]</f>
        <v>4</v>
      </c>
      <c r="O447" s="9"/>
    </row>
    <row r="448" spans="1:15" x14ac:dyDescent="0.3">
      <c r="A448" t="s">
        <v>1278</v>
      </c>
      <c r="B448" t="str">
        <f>IFERROR(VLOOKUP(A448,'DATA MASTER'!A:O,2,0)," ")</f>
        <v>Girder</v>
      </c>
      <c r="C448" s="19" t="str">
        <f>IFERROR(VLOOKUP(A448,'DATA MASTER'!A:O,4,0)," ")</f>
        <v>AG20</v>
      </c>
      <c r="D448" s="1"/>
      <c r="E448" s="1"/>
      <c r="F448" s="20" t="s">
        <v>44</v>
      </c>
      <c r="G448" s="20" t="s">
        <v>59</v>
      </c>
      <c r="H448" s="20" t="s">
        <v>60</v>
      </c>
      <c r="J448" s="1">
        <v>12</v>
      </c>
      <c r="K448" s="16">
        <v>14.9933</v>
      </c>
      <c r="L448" s="16">
        <f>AKSESORIS[[#This Row],[Total 
(pcs)]]*AKSESORIS[[#This Row],[Berat/pcs
(Kg)]]</f>
        <v>179.9196</v>
      </c>
      <c r="M448" s="44">
        <f>SUMIF(DATA_MASTER[NO. PON],AKSESORIS[[#This Row],[No.PON]],DATA_MASTER[Qty
(Unit)])</f>
        <v>1</v>
      </c>
      <c r="N448" s="10">
        <f>AKSESORIS[[#This Row],[Total 
(pcs)]]*AKSESORIS[[#This Row],[UNIT]]</f>
        <v>12</v>
      </c>
      <c r="O448" s="9"/>
    </row>
    <row r="449" spans="1:15" x14ac:dyDescent="0.3">
      <c r="A449" t="s">
        <v>1278</v>
      </c>
      <c r="B449" t="str">
        <f>IFERROR(VLOOKUP(A449,'DATA MASTER'!A:O,2,0)," ")</f>
        <v>Girder</v>
      </c>
      <c r="C449" s="19" t="str">
        <f>IFERROR(VLOOKUP(A449,'DATA MASTER'!A:O,4,0)," ")</f>
        <v>AG20</v>
      </c>
      <c r="D449" s="1"/>
      <c r="E449" s="1"/>
      <c r="F449" s="20" t="s">
        <v>44</v>
      </c>
      <c r="G449" s="20" t="s">
        <v>61</v>
      </c>
      <c r="H449" s="20" t="s">
        <v>62</v>
      </c>
      <c r="J449" s="1">
        <v>4</v>
      </c>
      <c r="K449" s="16">
        <v>3.438072</v>
      </c>
      <c r="L449" s="16">
        <f>AKSESORIS[[#This Row],[Total 
(pcs)]]*AKSESORIS[[#This Row],[Berat/pcs
(Kg)]]</f>
        <v>13.752288</v>
      </c>
      <c r="M449" s="44">
        <f>SUMIF(DATA_MASTER[NO. PON],AKSESORIS[[#This Row],[No.PON]],DATA_MASTER[Qty
(Unit)])</f>
        <v>1</v>
      </c>
      <c r="N449" s="10">
        <f>AKSESORIS[[#This Row],[Total 
(pcs)]]*AKSESORIS[[#This Row],[UNIT]]</f>
        <v>4</v>
      </c>
      <c r="O449" s="9"/>
    </row>
    <row r="450" spans="1:15" x14ac:dyDescent="0.3">
      <c r="A450" t="s">
        <v>1278</v>
      </c>
      <c r="B450" t="str">
        <f>IFERROR(VLOOKUP(A450,'DATA MASTER'!A:O,2,0)," ")</f>
        <v>Girder</v>
      </c>
      <c r="C450" s="19" t="str">
        <f>IFERROR(VLOOKUP(A450,'DATA MASTER'!A:O,4,0)," ")</f>
        <v>AG20</v>
      </c>
      <c r="D450" s="1"/>
      <c r="E450" s="1"/>
      <c r="F450" s="20" t="s">
        <v>904</v>
      </c>
      <c r="G450" s="20" t="s">
        <v>53</v>
      </c>
      <c r="H450" s="20" t="s">
        <v>53</v>
      </c>
      <c r="I450" s="1">
        <v>420</v>
      </c>
      <c r="J450" s="1">
        <v>24</v>
      </c>
      <c r="K450" s="16">
        <v>1.55</v>
      </c>
      <c r="L450" s="16">
        <f>AKSESORIS[[#This Row],[Total 
(pcs)]]*AKSESORIS[[#This Row],[Berat/pcs
(Kg)]]</f>
        <v>37.200000000000003</v>
      </c>
      <c r="M450" s="44">
        <f>SUMIF(DATA_MASTER[NO. PON],AKSESORIS[[#This Row],[No.PON]],DATA_MASTER[Qty
(Unit)])</f>
        <v>1</v>
      </c>
      <c r="N450" s="10">
        <f>AKSESORIS[[#This Row],[Total 
(pcs)]]*AKSESORIS[[#This Row],[UNIT]]</f>
        <v>24</v>
      </c>
      <c r="O450" s="9"/>
    </row>
    <row r="451" spans="1:15" x14ac:dyDescent="0.3">
      <c r="A451" t="s">
        <v>1278</v>
      </c>
      <c r="B451" t="str">
        <f>IFERROR(VLOOKUP(A451,'DATA MASTER'!A:O,2,0)," ")</f>
        <v>Girder</v>
      </c>
      <c r="C451" s="19" t="str">
        <f>IFERROR(VLOOKUP(A451,'DATA MASTER'!A:O,4,0)," ")</f>
        <v>AG20</v>
      </c>
      <c r="D451" s="1"/>
      <c r="E451" s="1"/>
      <c r="F451" s="20" t="s">
        <v>54</v>
      </c>
      <c r="G451" s="20" t="s">
        <v>55</v>
      </c>
      <c r="H451" s="20" t="s">
        <v>55</v>
      </c>
      <c r="I451" s="1">
        <v>185</v>
      </c>
      <c r="J451" s="1">
        <v>88</v>
      </c>
      <c r="K451" s="16">
        <v>0.21</v>
      </c>
      <c r="L451" s="16">
        <f>AKSESORIS[[#This Row],[Total 
(pcs)]]*AKSESORIS[[#This Row],[Berat/pcs
(Kg)]]</f>
        <v>18.48</v>
      </c>
      <c r="M451" s="44">
        <f>SUMIF(DATA_MASTER[NO. PON],AKSESORIS[[#This Row],[No.PON]],DATA_MASTER[Qty
(Unit)])</f>
        <v>1</v>
      </c>
      <c r="N451" s="10">
        <f>AKSESORIS[[#This Row],[Total 
(pcs)]]*AKSESORIS[[#This Row],[UNIT]]</f>
        <v>88</v>
      </c>
      <c r="O451" s="9"/>
    </row>
    <row r="452" spans="1:15" x14ac:dyDescent="0.3">
      <c r="A452" t="s">
        <v>1278</v>
      </c>
      <c r="B452" t="str">
        <f>IFERROR(VLOOKUP(A452,'DATA MASTER'!A:O,2,0)," ")</f>
        <v>Girder</v>
      </c>
      <c r="C452" s="19" t="str">
        <f>IFERROR(VLOOKUP(A452,'DATA MASTER'!A:O,4,0)," ")</f>
        <v>AG20</v>
      </c>
      <c r="D452" s="1"/>
      <c r="E452" s="1"/>
      <c r="F452" s="20" t="s">
        <v>56</v>
      </c>
      <c r="G452" s="20" t="s">
        <v>58</v>
      </c>
      <c r="H452" s="20" t="s">
        <v>57</v>
      </c>
      <c r="I452" s="1" t="s">
        <v>903</v>
      </c>
      <c r="J452" s="1">
        <v>88</v>
      </c>
      <c r="K452" s="16">
        <v>0.33</v>
      </c>
      <c r="L452" s="16">
        <f>AKSESORIS[[#This Row],[Total 
(pcs)]]*AKSESORIS[[#This Row],[Berat/pcs
(Kg)]]</f>
        <v>29.040000000000003</v>
      </c>
      <c r="M452" s="44">
        <f>SUMIF(DATA_MASTER[NO. PON],AKSESORIS[[#This Row],[No.PON]],DATA_MASTER[Qty
(Unit)])</f>
        <v>1</v>
      </c>
      <c r="N452" s="10">
        <f>AKSESORIS[[#This Row],[Total 
(pcs)]]*AKSESORIS[[#This Row],[UNIT]]</f>
        <v>88</v>
      </c>
      <c r="O452" s="9"/>
    </row>
    <row r="453" spans="1:15" x14ac:dyDescent="0.3">
      <c r="A453" t="s">
        <v>1278</v>
      </c>
      <c r="B453" t="str">
        <f>IFERROR(VLOOKUP(A453,'DATA MASTER'!A:O,2,0)," ")</f>
        <v>Girder</v>
      </c>
      <c r="C453" s="19" t="str">
        <f>IFERROR(VLOOKUP(A453,'DATA MASTER'!A:O,4,0)," ")</f>
        <v>AG20</v>
      </c>
      <c r="D453" s="1"/>
      <c r="E453" s="1"/>
      <c r="F453" s="20" t="s">
        <v>43</v>
      </c>
      <c r="G453" s="20" t="s">
        <v>63</v>
      </c>
      <c r="H453" s="20" t="s">
        <v>64</v>
      </c>
      <c r="J453" s="1">
        <v>5</v>
      </c>
      <c r="K453" s="16">
        <v>7.38</v>
      </c>
      <c r="L453" s="16">
        <f>AKSESORIS[[#This Row],[Total 
(pcs)]]*AKSESORIS[[#This Row],[Berat/pcs
(Kg)]]</f>
        <v>36.9</v>
      </c>
      <c r="M453" s="44">
        <f>SUMIF(DATA_MASTER[NO. PON],AKSESORIS[[#This Row],[No.PON]],DATA_MASTER[Qty
(Unit)])</f>
        <v>1</v>
      </c>
      <c r="N453" s="10">
        <f>AKSESORIS[[#This Row],[Total 
(pcs)]]*AKSESORIS[[#This Row],[UNIT]]</f>
        <v>5</v>
      </c>
      <c r="O453" s="9"/>
    </row>
    <row r="454" spans="1:15" x14ac:dyDescent="0.3">
      <c r="A454" t="s">
        <v>1278</v>
      </c>
      <c r="B454" t="str">
        <f>IFERROR(VLOOKUP(A454,'DATA MASTER'!A:O,2,0)," ")</f>
        <v>Girder</v>
      </c>
      <c r="C454" s="19" t="str">
        <f>IFERROR(VLOOKUP(A454,'DATA MASTER'!A:O,4,0)," ")</f>
        <v>AG20</v>
      </c>
      <c r="D454" s="1"/>
      <c r="E454" s="1"/>
      <c r="F454" s="20" t="s">
        <v>43</v>
      </c>
      <c r="G454" s="20" t="s">
        <v>65</v>
      </c>
      <c r="H454" s="20" t="s">
        <v>64</v>
      </c>
      <c r="J454" s="1">
        <v>95</v>
      </c>
      <c r="K454" s="16">
        <v>10.72</v>
      </c>
      <c r="L454" s="16">
        <f>AKSESORIS[[#This Row],[Total 
(pcs)]]*AKSESORIS[[#This Row],[Berat/pcs
(Kg)]]</f>
        <v>1018.4000000000001</v>
      </c>
      <c r="M454" s="44">
        <f>SUMIF(DATA_MASTER[NO. PON],AKSESORIS[[#This Row],[No.PON]],DATA_MASTER[Qty
(Unit)])</f>
        <v>1</v>
      </c>
      <c r="N454" s="10">
        <f>AKSESORIS[[#This Row],[Total 
(pcs)]]*AKSESORIS[[#This Row],[UNIT]]</f>
        <v>95</v>
      </c>
      <c r="O454" s="9"/>
    </row>
    <row r="455" spans="1:15" x14ac:dyDescent="0.3">
      <c r="A455" t="s">
        <v>1278</v>
      </c>
      <c r="B455" t="str">
        <f>IFERROR(VLOOKUP(A455,'DATA MASTER'!A:O,2,0)," ")</f>
        <v>Girder</v>
      </c>
      <c r="C455" s="19" t="str">
        <f>IFERROR(VLOOKUP(A455,'DATA MASTER'!A:O,4,0)," ")</f>
        <v>AG20</v>
      </c>
      <c r="D455" s="1"/>
      <c r="E455" s="1"/>
      <c r="F455" s="20" t="s">
        <v>43</v>
      </c>
      <c r="G455" s="20" t="s">
        <v>66</v>
      </c>
      <c r="H455" s="20" t="s">
        <v>64</v>
      </c>
      <c r="J455" s="1">
        <v>5</v>
      </c>
      <c r="K455" s="16">
        <v>7.38</v>
      </c>
      <c r="L455" s="16">
        <f>AKSESORIS[[#This Row],[Total 
(pcs)]]*AKSESORIS[[#This Row],[Berat/pcs
(Kg)]]</f>
        <v>36.9</v>
      </c>
      <c r="M455" s="44">
        <f>SUMIF(DATA_MASTER[NO. PON],AKSESORIS[[#This Row],[No.PON]],DATA_MASTER[Qty
(Unit)])</f>
        <v>1</v>
      </c>
      <c r="N455" s="10">
        <f>AKSESORIS[[#This Row],[Total 
(pcs)]]*AKSESORIS[[#This Row],[UNIT]]</f>
        <v>5</v>
      </c>
      <c r="O455" s="9"/>
    </row>
    <row r="456" spans="1:15" x14ac:dyDescent="0.3">
      <c r="A456" t="s">
        <v>1291</v>
      </c>
      <c r="B456" t="str">
        <f>IFERROR(VLOOKUP(A456,'DATA MASTER'!A:O,2,0)," ")</f>
        <v>Panel Bailey</v>
      </c>
      <c r="C456" s="19" t="str">
        <f>IFERROR(VLOOKUP(A456,'DATA MASTER'!A:O,4,0)," ")</f>
        <v>30 DSR2-EW</v>
      </c>
      <c r="D456" s="1"/>
      <c r="E456" s="1"/>
      <c r="F456" s="20" t="s">
        <v>101</v>
      </c>
      <c r="G456" s="20" t="s">
        <v>102</v>
      </c>
      <c r="H456" s="20" t="s">
        <v>143</v>
      </c>
      <c r="I456" s="1">
        <v>213</v>
      </c>
      <c r="J456" s="1">
        <v>192</v>
      </c>
      <c r="K456" s="16">
        <v>7.38</v>
      </c>
      <c r="L456" s="16">
        <f>AKSESORIS[[#This Row],[Total 
(pcs)]]*AKSESORIS[[#This Row],[Berat/pcs
(Kg)]]</f>
        <v>1416.96</v>
      </c>
      <c r="M456" s="44">
        <f>SUMIF(DATA_MASTER[NO. PON],AKSESORIS[[#This Row],[No.PON]],DATA_MASTER[Qty
(Unit)])</f>
        <v>2</v>
      </c>
      <c r="N456" s="10">
        <f>AKSESORIS[[#This Row],[Total 
(pcs)]]*AKSESORIS[[#This Row],[UNIT]]</f>
        <v>384</v>
      </c>
      <c r="O456" s="9"/>
    </row>
    <row r="457" spans="1:15" x14ac:dyDescent="0.3">
      <c r="A457" t="s">
        <v>1291</v>
      </c>
      <c r="B457" t="str">
        <f>IFERROR(VLOOKUP(A457,'DATA MASTER'!A:O,2,0)," ")</f>
        <v>Panel Bailey</v>
      </c>
      <c r="C457" s="19" t="str">
        <f>IFERROR(VLOOKUP(A457,'DATA MASTER'!A:O,4,0)," ")</f>
        <v>30 DSR2-EW</v>
      </c>
      <c r="D457" s="1"/>
      <c r="E457" s="1"/>
      <c r="F457" s="20" t="s">
        <v>904</v>
      </c>
      <c r="G457" s="20" t="s">
        <v>145</v>
      </c>
      <c r="H457" s="20" t="s">
        <v>145</v>
      </c>
      <c r="I457" s="1">
        <v>420</v>
      </c>
      <c r="J457" s="1">
        <v>32</v>
      </c>
      <c r="K457" s="16">
        <v>7.38</v>
      </c>
      <c r="L457" s="16">
        <f>AKSESORIS[[#This Row],[Total 
(pcs)]]*AKSESORIS[[#This Row],[Berat/pcs
(Kg)]]</f>
        <v>236.16</v>
      </c>
      <c r="M457" s="44">
        <f>SUMIF(DATA_MASTER[NO. PON],AKSESORIS[[#This Row],[No.PON]],DATA_MASTER[Qty
(Unit)])</f>
        <v>2</v>
      </c>
      <c r="N457" s="10">
        <f>AKSESORIS[[#This Row],[Total 
(pcs)]]*AKSESORIS[[#This Row],[UNIT]]</f>
        <v>64</v>
      </c>
      <c r="O457" s="9"/>
    </row>
    <row r="458" spans="1:15" x14ac:dyDescent="0.3">
      <c r="A458" t="s">
        <v>1294</v>
      </c>
      <c r="B458" t="str">
        <f>IFERROR(VLOOKUP(A458,'DATA MASTER'!A:O,2,0)," ")</f>
        <v>Panel Bailey</v>
      </c>
      <c r="C458" s="19" t="str">
        <f>IFERROR(VLOOKUP(A458,'DATA MASTER'!A:O,4,0)," ")</f>
        <v>36 DSR2-EW</v>
      </c>
      <c r="D458" s="1"/>
      <c r="E458" s="1"/>
      <c r="F458" s="20" t="s">
        <v>101</v>
      </c>
      <c r="G458" s="20" t="s">
        <v>102</v>
      </c>
      <c r="H458" s="20" t="s">
        <v>143</v>
      </c>
      <c r="I458" s="1">
        <v>213</v>
      </c>
      <c r="J458" s="1">
        <v>208</v>
      </c>
      <c r="K458" s="44">
        <v>3.1</v>
      </c>
      <c r="L458" s="16">
        <f>AKSESORIS[[#This Row],[Total 
(pcs)]]*AKSESORIS[[#This Row],[Berat/pcs
(Kg)]]</f>
        <v>644.80000000000007</v>
      </c>
      <c r="M458" s="44">
        <f>SUMIF(DATA_MASTER[NO. PON],AKSESORIS[[#This Row],[No.PON]],DATA_MASTER[Qty
(Unit)])</f>
        <v>2</v>
      </c>
      <c r="N458" s="10">
        <f>AKSESORIS[[#This Row],[Total 
(pcs)]]*AKSESORIS[[#This Row],[UNIT]]</f>
        <v>416</v>
      </c>
      <c r="O458" s="9"/>
    </row>
    <row r="459" spans="1:15" x14ac:dyDescent="0.3">
      <c r="A459" t="s">
        <v>1294</v>
      </c>
      <c r="B459" t="str">
        <f>IFERROR(VLOOKUP(A459,'DATA MASTER'!A:O,2,0)," ")</f>
        <v>Panel Bailey</v>
      </c>
      <c r="C459" s="19" t="str">
        <f>IFERROR(VLOOKUP(A459,'DATA MASTER'!A:O,4,0)," ")</f>
        <v>36 DSR2-EW</v>
      </c>
      <c r="D459" s="1"/>
      <c r="E459" s="1"/>
      <c r="F459" s="20" t="s">
        <v>904</v>
      </c>
      <c r="G459" s="20" t="s">
        <v>145</v>
      </c>
      <c r="H459" s="20" t="s">
        <v>145</v>
      </c>
      <c r="I459" s="1">
        <v>420</v>
      </c>
      <c r="J459" s="1">
        <v>32</v>
      </c>
      <c r="K459" s="44">
        <v>1.08</v>
      </c>
      <c r="L459" s="16">
        <f>AKSESORIS[[#This Row],[Total 
(pcs)]]*AKSESORIS[[#This Row],[Berat/pcs
(Kg)]]</f>
        <v>34.56</v>
      </c>
      <c r="M459" s="44">
        <f>SUMIF(DATA_MASTER[NO. PON],AKSESORIS[[#This Row],[No.PON]],DATA_MASTER[Qty
(Unit)])</f>
        <v>2</v>
      </c>
      <c r="N459" s="10">
        <f>AKSESORIS[[#This Row],[Total 
(pcs)]]*AKSESORIS[[#This Row],[UNIT]]</f>
        <v>64</v>
      </c>
      <c r="O459" s="9"/>
    </row>
    <row r="460" spans="1:15" x14ac:dyDescent="0.3">
      <c r="A460" t="s">
        <v>1293</v>
      </c>
      <c r="B460" t="str">
        <f>IFERROR(VLOOKUP(A460,'DATA MASTER'!A:O,2,0)," ")</f>
        <v>Panel Bailey</v>
      </c>
      <c r="C460" s="19" t="str">
        <f>IFERROR(VLOOKUP(A460,'DATA MASTER'!A:O,4,0)," ")</f>
        <v>39 DSR2H**-EW</v>
      </c>
      <c r="D460" s="1"/>
      <c r="E460" s="1"/>
      <c r="F460" s="20" t="s">
        <v>101</v>
      </c>
      <c r="G460" s="20" t="s">
        <v>102</v>
      </c>
      <c r="H460" s="20" t="s">
        <v>143</v>
      </c>
      <c r="I460" s="1">
        <v>213</v>
      </c>
      <c r="J460" s="1">
        <v>174</v>
      </c>
      <c r="K460" s="44">
        <v>3.1</v>
      </c>
      <c r="L460" s="16">
        <f>AKSESORIS[[#This Row],[Total 
(pcs)]]*AKSESORIS[[#This Row],[Berat/pcs
(Kg)]]</f>
        <v>539.4</v>
      </c>
      <c r="M460" s="44">
        <f>SUMIF(DATA_MASTER[NO. PON],AKSESORIS[[#This Row],[No.PON]],DATA_MASTER[Qty
(Unit)])</f>
        <v>2</v>
      </c>
      <c r="N460" s="10">
        <f>AKSESORIS[[#This Row],[Total 
(pcs)]]*AKSESORIS[[#This Row],[UNIT]]</f>
        <v>348</v>
      </c>
      <c r="O460" s="9"/>
    </row>
    <row r="461" spans="1:15" x14ac:dyDescent="0.3">
      <c r="A461" t="s">
        <v>1293</v>
      </c>
      <c r="B461" t="str">
        <f>IFERROR(VLOOKUP(A461,'DATA MASTER'!A:O,2,0)," ")</f>
        <v>Panel Bailey</v>
      </c>
      <c r="C461" s="19" t="str">
        <f>IFERROR(VLOOKUP(A461,'DATA MASTER'!A:O,4,0)," ")</f>
        <v>39 DSR2H**-EW</v>
      </c>
      <c r="D461" s="1"/>
      <c r="E461" s="1"/>
      <c r="F461" s="20" t="s">
        <v>904</v>
      </c>
      <c r="G461" s="20" t="s">
        <v>145</v>
      </c>
      <c r="H461" s="20" t="s">
        <v>145</v>
      </c>
      <c r="I461" s="1">
        <v>420</v>
      </c>
      <c r="J461" s="1">
        <v>32</v>
      </c>
      <c r="K461" s="44">
        <v>1.08</v>
      </c>
      <c r="L461" s="16">
        <f>AKSESORIS[[#This Row],[Total 
(pcs)]]*AKSESORIS[[#This Row],[Berat/pcs
(Kg)]]</f>
        <v>34.56</v>
      </c>
      <c r="M461" s="44">
        <f>SUMIF(DATA_MASTER[NO. PON],AKSESORIS[[#This Row],[No.PON]],DATA_MASTER[Qty
(Unit)])</f>
        <v>2</v>
      </c>
      <c r="N461" s="10">
        <f>AKSESORIS[[#This Row],[Total 
(pcs)]]*AKSESORIS[[#This Row],[UNIT]]</f>
        <v>64</v>
      </c>
      <c r="O461" s="9"/>
    </row>
    <row r="462" spans="1:15" x14ac:dyDescent="0.3">
      <c r="A462" t="s">
        <v>1295</v>
      </c>
      <c r="B462" t="str">
        <f>IFERROR(VLOOKUP(A462,'DATA MASTER'!A:O,2,0)," ")</f>
        <v>Komponen Jembatan</v>
      </c>
      <c r="C462" s="19" t="str">
        <f>IFERROR(VLOOKUP(A462,'DATA MASTER'!A:O,4,0)," ")</f>
        <v>WB BEAM</v>
      </c>
      <c r="D462" s="1"/>
      <c r="E462" s="1"/>
      <c r="F462" s="20" t="s">
        <v>904</v>
      </c>
      <c r="G462" s="20" t="s">
        <v>1298</v>
      </c>
      <c r="H462" s="20" t="s">
        <v>145</v>
      </c>
      <c r="I462" s="1">
        <v>400</v>
      </c>
      <c r="J462" s="1">
        <v>20</v>
      </c>
      <c r="K462" s="44">
        <v>1.6</v>
      </c>
      <c r="L462" s="16">
        <f>AKSESORIS[[#This Row],[Total 
(pcs)]]*AKSESORIS[[#This Row],[Berat/pcs
(Kg)]]</f>
        <v>32</v>
      </c>
      <c r="M462" s="44">
        <f>SUMIF(DATA_MASTER[NO. PON],AKSESORIS[[#This Row],[No.PON]],DATA_MASTER[Qty
(Unit)])</f>
        <v>1</v>
      </c>
      <c r="N462" s="10">
        <f>AKSESORIS[[#This Row],[Total 
(pcs)]]*AKSESORIS[[#This Row],[UNIT]]</f>
        <v>20</v>
      </c>
      <c r="O462" s="9"/>
    </row>
    <row r="463" spans="1:15" x14ac:dyDescent="0.3">
      <c r="A463" t="s">
        <v>1295</v>
      </c>
      <c r="B463" t="str">
        <f>IFERROR(VLOOKUP(A463,'DATA MASTER'!A:O,2,0)," ")</f>
        <v>Komponen Jembatan</v>
      </c>
      <c r="C463" s="19" t="str">
        <f>IFERROR(VLOOKUP(A463,'DATA MASTER'!A:O,4,0)," ")</f>
        <v>WB BEAM</v>
      </c>
      <c r="D463" s="1"/>
      <c r="E463" s="1"/>
      <c r="F463" s="20" t="s">
        <v>44</v>
      </c>
      <c r="G463" s="20"/>
      <c r="H463" s="20" t="s">
        <v>1299</v>
      </c>
      <c r="I463" s="1">
        <v>400</v>
      </c>
      <c r="J463" s="1">
        <v>10</v>
      </c>
      <c r="K463" s="44">
        <v>12.288</v>
      </c>
      <c r="L463" s="16">
        <f>AKSESORIS[[#This Row],[Total 
(pcs)]]*AKSESORIS[[#This Row],[Berat/pcs
(Kg)]]</f>
        <v>122.88</v>
      </c>
      <c r="M463" s="44">
        <f>SUMIF(DATA_MASTER[NO. PON],AKSESORIS[[#This Row],[No.PON]],DATA_MASTER[Qty
(Unit)])</f>
        <v>1</v>
      </c>
      <c r="N463" s="10">
        <f>AKSESORIS[[#This Row],[Total 
(pcs)]]*AKSESORIS[[#This Row],[UNIT]]</f>
        <v>10</v>
      </c>
      <c r="O463" s="9"/>
    </row>
    <row r="464" spans="1:15" x14ac:dyDescent="0.3">
      <c r="A464" t="s">
        <v>1300</v>
      </c>
      <c r="B464" t="str">
        <f>IFERROR(VLOOKUP(A464,'DATA MASTER'!A:O,2,0)," ")</f>
        <v>Komponen Jembatan</v>
      </c>
      <c r="C464" s="19" t="str">
        <f>IFERROR(VLOOKUP(A464,'DATA MASTER'!A:O,4,0)," ")</f>
        <v>WB BEAM</v>
      </c>
      <c r="D464" s="1"/>
      <c r="E464" s="1"/>
      <c r="F464" s="20" t="s">
        <v>44</v>
      </c>
      <c r="G464" s="20"/>
      <c r="H464" s="1" t="s">
        <v>1302</v>
      </c>
      <c r="I464" s="1">
        <v>300</v>
      </c>
      <c r="J464" s="1">
        <v>18</v>
      </c>
      <c r="K464" s="44">
        <v>14.4</v>
      </c>
      <c r="L464" s="16">
        <f>AKSESORIS[[#This Row],[Total 
(pcs)]]*AKSESORIS[[#This Row],[Berat/pcs
(Kg)]]</f>
        <v>259.2</v>
      </c>
      <c r="M464" s="44">
        <f>SUMIF(DATA_MASTER[NO. PON],AKSESORIS[[#This Row],[No.PON]],DATA_MASTER[Qty
(Unit)])</f>
        <v>1</v>
      </c>
      <c r="N464" s="10">
        <f>AKSESORIS[[#This Row],[Total 
(pcs)]]*AKSESORIS[[#This Row],[UNIT]]</f>
        <v>18</v>
      </c>
      <c r="O464" s="9"/>
    </row>
    <row r="465" spans="1:15" x14ac:dyDescent="0.3">
      <c r="A465" t="s">
        <v>1300</v>
      </c>
      <c r="B465" t="str">
        <f>IFERROR(VLOOKUP(A465,'DATA MASTER'!A:O,2,0)," ")</f>
        <v>Komponen Jembatan</v>
      </c>
      <c r="C465" s="19" t="str">
        <f>IFERROR(VLOOKUP(A465,'DATA MASTER'!A:O,4,0)," ")</f>
        <v>WB BEAM</v>
      </c>
      <c r="D465" s="1"/>
      <c r="E465" s="1"/>
      <c r="F465" s="20" t="s">
        <v>44</v>
      </c>
      <c r="G465" s="20"/>
      <c r="H465" s="1" t="s">
        <v>1303</v>
      </c>
      <c r="I465" s="1">
        <v>600</v>
      </c>
      <c r="J465" s="1">
        <v>6</v>
      </c>
      <c r="K465" s="44">
        <v>40.32</v>
      </c>
      <c r="L465" s="16">
        <f>AKSESORIS[[#This Row],[Total 
(pcs)]]*AKSESORIS[[#This Row],[Berat/pcs
(Kg)]]</f>
        <v>241.92000000000002</v>
      </c>
      <c r="M465" s="44">
        <f>SUMIF(DATA_MASTER[NO. PON],AKSESORIS[[#This Row],[No.PON]],DATA_MASTER[Qty
(Unit)])</f>
        <v>1</v>
      </c>
      <c r="N465" s="10">
        <f>AKSESORIS[[#This Row],[Total 
(pcs)]]*AKSESORIS[[#This Row],[UNIT]]</f>
        <v>6</v>
      </c>
      <c r="O465" s="9"/>
    </row>
    <row r="466" spans="1:15" x14ac:dyDescent="0.3">
      <c r="A466" t="s">
        <v>1300</v>
      </c>
      <c r="B466" t="str">
        <f>IFERROR(VLOOKUP(A466,'DATA MASTER'!A:O,2,0)," ")</f>
        <v>Komponen Jembatan</v>
      </c>
      <c r="C466" s="19" t="str">
        <f>IFERROR(VLOOKUP(A466,'DATA MASTER'!A:O,4,0)," ")</f>
        <v>WB BEAM</v>
      </c>
      <c r="D466" s="1"/>
      <c r="E466" s="1"/>
      <c r="F466" s="20" t="s">
        <v>44</v>
      </c>
      <c r="G466" s="20"/>
      <c r="H466" s="1" t="s">
        <v>1302</v>
      </c>
      <c r="I466" s="1">
        <v>320</v>
      </c>
      <c r="J466" s="1">
        <v>10</v>
      </c>
      <c r="K466" s="44">
        <v>15.36</v>
      </c>
      <c r="L466" s="16">
        <f>AKSESORIS[[#This Row],[Total 
(pcs)]]*AKSESORIS[[#This Row],[Berat/pcs
(Kg)]]</f>
        <v>153.6</v>
      </c>
      <c r="M466" s="44">
        <f>SUMIF(DATA_MASTER[NO. PON],AKSESORIS[[#This Row],[No.PON]],DATA_MASTER[Qty
(Unit)])</f>
        <v>1</v>
      </c>
      <c r="N466" s="10">
        <f>AKSESORIS[[#This Row],[Total 
(pcs)]]*AKSESORIS[[#This Row],[UNIT]]</f>
        <v>10</v>
      </c>
      <c r="O466" s="9"/>
    </row>
    <row r="467" spans="1:15" x14ac:dyDescent="0.3">
      <c r="C467" s="19"/>
      <c r="D467" s="1"/>
      <c r="E467" s="1"/>
      <c r="F467" s="20"/>
      <c r="G467" s="20"/>
      <c r="H467" s="1"/>
      <c r="J467" s="165"/>
      <c r="K467" s="16"/>
      <c r="L467" s="16">
        <f>SUBTOTAL(109,AKSESORIS[Total Berat
Aksesories
(Kg)])</f>
        <v>120914.08777625467</v>
      </c>
      <c r="M467" s="165"/>
      <c r="N467" s="16"/>
      <c r="O467" s="9"/>
    </row>
    <row r="468" spans="1:15" x14ac:dyDescent="0.3">
      <c r="I468" s="165">
        <f>AKSESORIS[[#Totals],[Total Berat
Aksesories
(Kg)]]+FABRIKASI[[#Totals],[Berat Fabrikasi]]</f>
        <v>2441664.1435260824</v>
      </c>
    </row>
  </sheetData>
  <dataConsolidate/>
  <phoneticPr fontId="2" type="noConversion"/>
  <pageMargins left="0.7" right="0.7" top="0.75" bottom="0.75" header="0.3" footer="0.3"/>
  <pageSetup orientation="portrait" r:id="rId1"/>
  <tableParts count="1">
    <tablePart r:id="rId2"/>
  </tableParts>
  <extLst>
    <ext xmlns:x14="http://schemas.microsoft.com/office/spreadsheetml/2009/9/main" uri="{CCE6A557-97BC-4b89-ADB6-D9C93CAAB3DF}">
      <x14:dataValidations xmlns:xm="http://schemas.microsoft.com/office/excel/2006/main" count="1">
        <x14:dataValidation type="list" allowBlank="1" showInputMessage="1" showErrorMessage="1" xr:uid="{AFABA638-9227-47A0-9731-3F92760398B1}">
          <x14:formula1>
            <xm:f>'DATA MASTER'!$A:$A</xm:f>
          </x14:formula1>
          <xm:sqref>A2:A466</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T a b l e 2 " > < C u s t o m C o n t e n t > < ! [ C D A T A [ < T a b l e W i d g e t G r i d S e r i a l i z a t i o n   x m l n s : x s d = " h t t p : / / w w w . w 3 . o r g / 2 0 0 1 / X M L S c h e m a "   x m l n s : x s i = " h t t p : / / w w w . w 3 . o r g / 2 0 0 1 / X M L S c h e m a - i n s t a n c e " > < C o l u m n S u g g e s t e d T y p e   / > < C o l u m n F o r m a t   / > < C o l u m n A c c u r a c y   / > < C o l u m n C u r r e n c y S y m b o l   / > < C o l u m n P o s i t i v e P a t t e r n   / > < C o l u m n N e g a t i v e P a t t e r n   / > < C o l u m n W i d t h s > < i t e m > < k e y > < s t r i n g > N o . < / s t r i n g > < / k e y > < v a l u e > < i n t > 7 0 < / i n t > < / v a l u e > < / i t e m > < i t e m > < k e y > < s t r i n g > N O .   P O N < / s t r i n g > < / k e y > < v a l u e > < i n t > 1 1 2 < / i n t > < / v a l u e > < / i t e m > < i t e m > < k e y > < s t r i n g > T y p e     S t r u k t u r < / s t r i n g > < / k e y > < v a l u e > < i n t > 1 5 1 < / i n t > < / v a l u e > < / i t e m > < i t e m > < k e y > < s t r i n g > Q t y   ( U n i t ) < / s t r i n g > < / k e y > < v a l u e > < i n t > 1 1 9 < / i n t > < / v a l u e > < / i t e m > < i t e m > < k e y > < s t r i n g > M a r k i n g   S t r u k t u r < / s t r i n g > < / k e y > < v a l u e > < i n t > 1 7 5 < / i n t > < / v a l u e > < / i t e m > < i t e m > < k e y > < s t r i n g > D e s k r i p s i     P e k e r j a a n < / s t r i n g > < / k e y > < v a l u e > < i n t > 1 9 8 < / i n t > < / v a l u e > < / i t e m > < i t e m > < k e y > < s t r i n g > C l i e n t < / s t r i n g > < / k e y > < v a l u e > < i n t > 8 6 < / i n t > < / v a l u e > < / i t e m > < i t e m > < k e y > < s t r i n g > D a e r a h < / s t r i n g > < / k e y > < v a l u e > < i n t > 9 9 < / i n t > < / v a l u e > < / i t e m > < i t e m > < k e y > < s t r i n g > T o t a l   B e r a t   ( K g ) < / s t r i n g > < / k e y > < v a l u e > < i n t > 1 5 9 < / i n t > < / v a l u e > < / i t e m > < i t e m > < k e y > < s t r i n g > S t a t u s < / s t r i n g > < / k e y > < v a l u e > < i n t > 9 1 < / i n t > < / v a l u e > < / i t e m > < i t e m > < k e y > < s t r i n g > M a r k e t i n g < / s t r i n g > < / k e y > < v a l u e > < i n t > 1 2 2 < / i n t > < / v a l u e > < / i t e m > < i t e m > < k e y > < s t r i n g > P R O G R E S S   ( % ) < / s t r i n g > < / k e y > < v a l u e > < i n t > 1 5 5 < / i n t > < / v a l u e > < / i t e m > < i t e m > < k e y > < s t r i n g > D a t e   P O N < / s t r i n g > < / k e y > < v a l u e > < i n t > 1 1 8 < / i n t > < / v a l u e > < / i t e m > < i t e m > < k e y > < s t r i n g > D a t e   F i n i s h < / s t r i n g > < / k e y > < v a l u e > < i n t > 1 2 8 < / i n t > < / v a l u e > < / i t e m > < / C o l u m n W i d t h s > < C o l u m n D i s p l a y I n d e x > < i t e m > < k e y > < s t r i n g > N o . < / s t r i n g > < / k e y > < v a l u e > < i n t > 0 < / i n t > < / v a l u e > < / i t e m > < i t e m > < k e y > < s t r i n g > N O .   P O N < / s t r i n g > < / k e y > < v a l u e > < i n t > 1 < / i n t > < / v a l u e > < / i t e m > < i t e m > < k e y > < s t r i n g > T y p e     S t r u k t u r < / s t r i n g > < / k e y > < v a l u e > < i n t > 2 < / i n t > < / v a l u e > < / i t e m > < i t e m > < k e y > < s t r i n g > Q t y   ( U n i t ) < / s t r i n g > < / k e y > < v a l u e > < i n t > 3 < / i n t > < / v a l u e > < / i t e m > < i t e m > < k e y > < s t r i n g > M a r k i n g   S t r u k t u r < / s t r i n g > < / k e y > < v a l u e > < i n t > 4 < / i n t > < / v a l u e > < / i t e m > < i t e m > < k e y > < s t r i n g > D e s k r i p s i     P e k e r j a a n < / s t r i n g > < / k e y > < v a l u e > < i n t > 5 < / i n t > < / v a l u e > < / i t e m > < i t e m > < k e y > < s t r i n g > C l i e n t < / s t r i n g > < / k e y > < v a l u e > < i n t > 6 < / i n t > < / v a l u e > < / i t e m > < i t e m > < k e y > < s t r i n g > D a e r a h < / s t r i n g > < / k e y > < v a l u e > < i n t > 7 < / i n t > < / v a l u e > < / i t e m > < i t e m > < k e y > < s t r i n g > T o t a l   B e r a t   ( K g ) < / s t r i n g > < / k e y > < v a l u e > < i n t > 8 < / i n t > < / v a l u e > < / i t e m > < i t e m > < k e y > < s t r i n g > S t a t u s < / s t r i n g > < / k e y > < v a l u e > < i n t > 9 < / i n t > < / v a l u e > < / i t e m > < i t e m > < k e y > < s t r i n g > M a r k e t i n g < / s t r i n g > < / k e y > < v a l u e > < i n t > 1 0 < / i n t > < / v a l u e > < / i t e m > < i t e m > < k e y > < s t r i n g > P R O G R E S S   ( % ) < / s t r i n g > < / k e y > < v a l u e > < i n t > 1 1 < / i n t > < / v a l u e > < / i t e m > < i t e m > < k e y > < s t r i n g > D a t e   P O N < / s t r i n g > < / k e y > < v a l u e > < i n t > 1 2 < / i n t > < / v a l u e > < / i t e m > < i t e m > < k e y > < s t r i n g > D a t e   F i n i s h < / s t r i n g > < / k e y > < v a l u e > < i n t > 1 3 < / 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T a b l e O r d e r " > < C u s t o m C o n t e n t > < ! [ C D A T A [ T a b l e 4 , T a b l e 2 , T a b l e 3 , T a b l e 5 , B N W ] ] > < / C u s t o m C o n t e n t > < / G e m i n i > 
</file>

<file path=customXml/item11.xml>��< ? x m l   v e r s i o n = " 1 . 0 "   e n c o d i n g = " u t f - 1 6 " ? > < T o u r   x m l n s : x s d = " h t t p : / / w w w . w 3 . o r g / 2 0 0 1 / X M L S c h e m a "   x m l n s : x s i = " h t t p : / / w w w . w 3 . o r g / 2 0 0 1 / X M L S c h e m a - i n s t a n c e "   N a m e = " T o u r   1 "   D e s c r i p t i o n = " S o m e   d e s c r i p t i o n   f o r   t h e   t o u r   g o e s   h e r e "   x m l n s = " h t t p : / / m i c r o s o f t . d a t a . v i s u a l i z a t i o n . e n g i n e . t o u r s / 1 . 0 " > < S c e n e s > < S c e n e   C u s t o m M a p G u i d = " 0 0 0 0 0 0 0 0 - 0 0 0 0 - 0 0 0 0 - 0 0 0 0 - 0 0 0 0 0 0 0 0 0 0 0 0 "   C u s t o m M a p I d = " 0 0 0 0 0 0 0 0 - 0 0 0 0 - 0 0 0 0 - 0 0 0 0 - 0 0 0 0 0 0 0 0 0 0 0 0 "   S c e n e I d = " f 2 8 2 b 0 b 7 - 3 6 5 d - 4 a a a - a 7 6 f - e f 6 b 6 d f 8 d 7 d 8 " > < T r a n s i t i o n > M o v e T o < / T r a n s i t i o n > < E f f e c t > S t a t i o n < / E f f e c t > < T h e m e > E a r t h y < / T h e m e > < T h e m e W i t h L a b e l > f a l s e < / T h e m e W i t h L a b e l > < F l a t M o d e E n a b l e d > t r u e < / F l a t M o d e E n a b l e d > < D u r a t i o n > 1 0 0 0 0 0 0 0 0 < / D u r a t i o n > < T r a n s i t i o n D u r a t i o n > 3 0 0 0 0 0 0 0 < / T r a n s i t i o n D u r a t i o n > < S p e e d > 0 . 5 < / S p e e d > < F r a m e > < C a m e r a > < L a t i t u d e > - 1 1 . 4 6 7 1 2 1 5 1 0 9 3 3 1 4 7 < / L a t i t u d e > < L o n g i t u d e > 1 0 4 . 5 5 8 2 8 5 9 4 7 3 6 4 7 7 < / L o n g i t u d e > < R o t a t i o n > 0 < / R o t a t i o n > < P i v o t A n g l e > - 0 . 0 5 8 1 9 0 0 8 7 0 4 3 6 5 7 5 7 9 < / P i v o t A n g l e > < D i s t a n c e > 0 . 9 6 < / D i s t a n c e > < / C a m e r a > < I m a g e > i V B O R w 0 K G g o A A A A N S U h E U g A A A N Q A A A B 1 C A Y A A A A 2 n s 9 T A A A A A X N S R 0 I A r s 4 c 6 Q A A A A R n Q U 1 B A A C x j w v 8 Y Q U A A A A J c E h Z c w A A A 2 A A A A N g A b T C 1 p 0 A A B p a S U R B V H h e 7 Z 0 J V 5 r J t o Z f Z Q Z B B g e c 5 z E x G m c 0 i U l M d 7 r P f 7 k / 4 a 5 1 1 v 1 R 5 5 z u d D o 5 6 Q y a p G P M o D G D i X G e B 2 R Q Q G 7 t 4 i O g A i I C Q l L P W i y q P k A G 6 6 1 d u 2 r X r p z / + 9 / / 8 S O N y G Q y 3 L 7 Z J 9 U O 8 6 8 7 j 6 V S 5 t D c 3 I h 3 7 9 5 L t c R R a 7 S 4 e a W D l 7 0 + 4 P c / M + + 7 J k p u b i 4 O D g 6 k 2 u n o 7 e / H s 9 F R + P 3 H m + G v P w 0 g R y o T 8 0 v r G H 8 9 h d u 3 B j D 5 Y R Z f Z 2 a l R z K H X O k + b U T 7 4 f e 9 i f 1 D U k 0 y x E S 4 X U 5 s O 7 1 4 8 X I S P p 8 H v 9 6 y 4 R + s w d y 6 Y Z O e k X 3 I 5 H I 0 t F 5 E v 6 1 X u n J 6 o o m J C B c T M f l + h t 9 v 2 D 0 Z K S Y i 7 Y K i H y / S z / f n f 5 9 K p e + X R 4 + f I z 9 f j 8 l 3 0 / j P n U f Y 3 X V C K c 9 B X + 9 l 5 M i U 0 r O y h 9 s 3 e t F Q Z o B R m 8 s 7 h 5 y c o x I 4 G 0 f b y f X B T n 7 / a v w 1 v 8 9 E 0 i 4 o Y v T F e 6 y s b / H b w 9 H X f K i X 6 J A h q / A f Y G F p A x 2 X m m D r a 2 f l V e w 6 n N h z 7 q K 7 v V 5 6 U n Y w N H T c s k a z N E e h I W J Q f L F e 8 2 / W L r a d g X a x u + e H X M a s F n v d n t v N r 2 U i 5 y K o j f U 1 P H 8 x w W 8 7 O 3 b p 6 o / B 3 v 4 + v 1 c o 5 N x S L a + s Y 2 V 1 H Q V m Y 8 B n S H I v n w q M Z g t 0 y u O f k z 6 / Q q l E d X 3 s z o E 6 z 3 j F 9 + j R C O 9 w H z x 4 A h / T V r y v O y / S P i m R 7 V C D / 2 X Y h t U t J 5 4 / f y l d j R 9 6 P f l P 9 K N 7 P B 4 o F Y r A A 2 E 8 e P K K D Q d 3 p V p m c e 2 q D T p V D v s e 0 o U o e A / 8 + O P e 6 I 8 x 8 g j j X C x U N k M 9 J D W m I p O W + w 3 B 2 + 3 h f l y 9 0 i M 9 K z r B H p b a Y y Q x P X 4 2 g W u 2 S 1 I t 8 5 i Y n D p R T P Q N 6 S k q l Y r X i W y w v M l A C C o B x q c W p V I I G f M L 9 B o F F 9 d J L G 1 5 p d J x 2 t p a + L 2 S D Z 0 y C Y / X j / 2 9 f f R e b p a u R M a 5 7 + e + z 2 9 3 n 8 D l c k l X M 3 + o l i y E o B J g / u t n v H 0 / J 9 W O 0 9 U d W G + K x q 4 r u l O t V w d 6 8 q r q S n 5 / n u j 1 O m 5 p h o d 6 I M 8 9 g N f r Z U M 4 P 3 b s D u 7 7 j b 9 5 j + k v c 1 h d 2 4 R r z w v H 3 g G 0 z L e 6 d i X y O m O y K S w p k 0 q Z g / C h z k B 3 z 2 U U G T V S 7 T C x F q k t R V b 0 t d d K t c i M T c x i c T 6 x t R a V S o k 9 Z k 3 O y o 3 r z N f z u v F 4 Z B w W i x G 1 1 e X w + n x w O F z Q 5 2 m h Z O / j P / A x 6 w M 8 + f s d N j Z 3 Y N C F h n m p J l c m w w H 7 P J m E 7 M Z Q 3 z + l s u C U L C w s w e 2 T o c i i P 7 Y I 2 V B X g V y l D u t r a 9 K V E C 7 H L o p L y 6 B S R P c r x l 6 + l U q n p 6 y q B t u b G 1 I t M T p 7 u m H S y a F g f l 5 x s Q X l p c X Q q F W Y e v 8 Z d b U V 0 G k 1 z A e U 8 6 G p i t 1 q q 0 s x N 7 c k v T o 9 Z O I w U g z 5 z s j s z B f u M 0 Q K 9 K i r M O O X W w M R / a G H D 0 f A R k 9 R K S k t l U q n 5 + v 0 R 6 m U G C Q m q z H 0 m U k 8 t H Z E z M 2 v f C u H Q 7 / B j + I n x U I I K k n 8 f v d x R I H k M i N 0 a 6 g b g 4 P H / Y q 7 9 6 N H h + S b z V I p f d B M X E V F + S E x h W P f d f D n 0 A T M U S h G U y A E l T C l Z c c t y N 0 H z w + F y y x s h C Y f 8 r U y V L C h W D g e 5 u R H 6 9 P l f o 9 U S i 1 k C Q d s 3 b g 9 P M D X x 9 q a Q 5 M h t J Y U 7 C T c z C c b G 5 / C z a H I c X s 9 f Y n H 8 3 1 P C E E l y O L C I r r 7 D l s d z / 4 + N h y h s V + u T I H F s C n y t s a S Y 4 G k N F T a c R 5 3 r C t L L b h 5 P b W B s 9 e u 2 d B x o R r G P C W z O t J F i c X t A 8 i Z e S U L S 9 A C 7 e r q B t T q y N b L r M v B j a F + q X a + N L c G l h 7 O A y G o B C F / 4 f n o q F Q L M f p 4 B K / e B 9 a p r P k y l B j l v B z E n C e H 2 V K A 3 p 7 2 b 4 u d D x + N 4 t V k I J I 6 H L W C I h K i T 1 y c F Q q D G n + / B L c 3 Z C f 3 W Z m s U k l + q G n Q o / c f P M M / b l + J 6 D 8 F c b r c K f 2 8 J 5 F v M q O 6 6 Q K 2 N o 5 P B K U L I a g U M D f z G f / + 4 0 n E i Q q i v 7 M R + X o d 3 7 p B k x b E 3 N w 8 n 2 r f O m K t u r q 7 p F L i 1 N V W I i f 3 s I 9 D D V + r U u J i n R W b j o C I H P t + K O Q h q x R k a 3 s H K p W C W a f Y U + K G P O 2 5 T k z k G f L x Z e o t l p Z W p S v p R w g q R V D D u v P n E 6 l 2 H A V r 3 3 R z e / z o H w g N l R 4 z a 0 X C 2 n F 5 e Y + f p z p b L J z N 1 o P a K i v 8 P g + G h 7 q 5 g O u a W z H M h p M a Z Q 6 P 4 L Y a c r C y s o Y X z 8 f 4 f q 1 9 T 8 B / s z u c e D 3 x A e O v P + D K Q N e J 1 o e + D 2 3 + S z b 0 v j / f j P 1 3 a 5 t a 0 c I 6 B 4 K m + s 8 L s Q 6 V J G g o 9 A t z 6 q e / z B / q p e v r K o 6 t U Y W j k O X w h u 3 a P z g U e T 8 7 u 4 D N r V 1 8 m N 1 B n k 6 D / b 3 E t i y 0 t V T z W b m K 8 m K M P H u D q g o r L A Y V 3 G 4 X f B S 4 y j 7 q + s Y 2 s 1 B + t L b U w c A s 5 5 u J T 3 j L b v o 8 H X u d F a U l h X w N K h 7 I u t F 3 t r M O w R E l w J f E u b G 5 i 3 0 p 8 j 4 W l m I r h m y X M D W 9 g K 2 t L e n q c W y d D V h c 3 U F z c z 2 a 6 8 r w Y f p 8 N i A K Q S U J E t H n r 4 v 4 5 W b f o X + m S p s P o / 7 k x k i R C J 9 n 5 t H X 3 8 O H f w R F O 1 C k g m d / j 9 d P C 0 1 l 1 9 e U 8 7 J c L o f J a M B / / 3 q O N + 8 + I d + g w 6 d P s 1 h Z 2 0 C B x Y R C 9 v 6 e g x w e s F t e W o S a 6 n I Y 8 / P Y 6 2 R 8 q 0 k 8 U D 8 y M v a R D w + 1 7 L b M r F 4 k L j b X M G E X 8 8 X v + t o K 1 L L P W F h o w u a 2 C w d e b 2 A 4 q s t D W V k Z O p o r s c 2 G w a 9 f x 1 7 o N l n M r G P Y Q q H Z g N / / H J G u p h 8 R e p R k L E X F W F 9 Z l m q B 4 Q p N R 8 e C / B c a T Z E l I 7 + L 1 r S S Q a T 3 J k t E M 3 Z y a d 3 I z U Z 3 D m Y d a Q J E z f y n o 7 N 9 p + G 3 P 0 f h i x I K R G F C 1 N m Q 6 O i 7 0 v 3 G 7 h 4 s r L O h c n B 6 n i w c P R 6 E 9 k D 9 F s f v U V 3 X g N b a Q l 4 e H Z v C + t o 6 L 6 c b I a g 0 M H i l H / m a 2 C 2 V h O T Y 8 / M g 0 2 J j w A e g K f W z Q v F 4 m g g h T m u 7 B 3 y 4 u b 7 l Q G 1 J n n Q 1 c Z z u f d x n 1 i 8 a 3 f 3 9 + D t G / o h w c i V F 0 T N P M 8 l x u b 0 F Y + O T v C M 5 z e u S i Z i U S A O P H o 7 g z v 1 n U i 0 y c v a f y N f k w M r E x J s T a w / J i D 6 4 / 9 / Q 8 G f H 5 c c 2 u 1 H a A d e + n 8 / q J U N M x N f Z 4 1 t a w t l e W 4 6 7 k X M r y m 6 n F Y W K Z k U Y 0 V 5 H Q q N b K h G C S h O 0 O 9 f J h l b x Q M 3 h 3 q O X 3 4 Z P u U e m v E 9 D W 0 c 7 d t x + 7 H n 8 M D D B k m i v 9 L W h w i x D a d h a 0 1 n 5 w v z H W J S V p C 6 U 6 h L 7 j j Q p p N D E 7 h x I a H S r r K 6 W r g T Q a r X Q 5 S W n Y x G C S i N k L Y K + Q i y o D z W F x f I d H C S + R e H V 2 E s + F R 8 r s v 2 s k E E 4 a a t 7 + O 7 d a F D H 8 f P w A C y F R d K V + J h 8 O 4 n r Q 3 3 4 6 6 8 R 6 P R 6 6 W p 0 v n 7 5 w u 9 p X e 3 W z Q F c H + z g M 4 m 0 O b S z 8 x J 0 O m 3 E B e x 4 p u O F D 5 V C K N 5 v Y X 5 B q g W g B C c D X U 1 S L T b r z M + Z m 1 / G w u y X U w 9 / w q l t b I X J Z E C x I T X 9 p 4 f p / U 6 M x J 2 0 N k U f n y Y 8 f g + b u B i 8 Y m M + o x 9 F z F L S Z M T f b 2 e w v D C f U h + o v K I S K o 0 G F S U m a J W x f 4 / g n r Y i a w l W l g I W 2 F J o R U t j J R 4 + i h z Y L K b N U 0 i R t Z i J q g S r K 6 G V e 7 f L B X O R F V r V y c M 4 2 v 1 q L d C z 3 l 2 N l d X E 9 z d R K M 7 C 3 B w K W c N Q n 9 C I T s v f b z 7 j 1 e t J q X Y c g 9 G I 6 r L C w O w d q 5 e W l m J j 2 4 H a h k Z Y T S r k q Q M J X z 7 P r e P r z B c 0 X G i H W p E L u / 1 0 2 b C M J p O 0 o z i 2 p d z Z 2 Y a V f Y Y 8 j Y p P y s R C b z R j c X H 5 0 H q a y 7 n L / M X A s k Y k U t N l C T i f P n x E a V G + V A s x O h J 7 g u I o Z r N R K g E a r Q 5 F x c X o 6 g 4 k f Y y H Y G 9 P Y U X J 5 N X k F y w v x v a d Z L L D a 1 h a V S 6 u 9 L S g x h r w W W g I / P D Z J C Y n p 5 g Y / H j / Z h z z R 6 x 6 W W X N i Z M J h U V F u N z Z w d e v T m L y 9 W s 2 / H 7 C L d D T 8 W n p 6 n H G x 9 9 I p R A F x V b U 1 F Z B o 1 F L V w K T R 9 e u 9 W P 4 e r 8 Q V K q 5 E 2 U N h U K O 4 o X G 7 h T 4 S V w b a E f 3 p T o U m 0 L / 0 H i x O 5 K 7 J Y R 2 L J + E X B H d d 6 J 4 x / / 8 8 R g 7 W 5 v S l e O Q T y T H P v d p q O H S r a m 1 V X o 0 x I e p K T x 7 + h x O R + T o j K a W J r 6 4 f Z S 1 l c j f g f q g P O Z L H W V t e Q m f p 2 f g C s s L Q r n 6 8 1 h H o W K W V f h Q a Y I a R P h w p K e n A 4 X G 4 / + w a O x 5 g Q e P / o b X s 8 8 t D j n Q / 7 p D s Y L x / / v K K 8 p x K W y / 0 1 m x O 9 z 4 6 / E L q R a Z 2 8 M 2 5 j t F t y 7 / u T t y 4 j D t K A a j K a Y I E 8 F s s U C t k s O + 6 2 R D P A c b C W h R Y M 7 H z N f I w 7 v K 6 h r U 1 1 j 5 Y n g 4 w k K l i a O N 5 t m z l 3 w t K F 7 c + w f 4 a a i L R z 5 Q K B B F E P z 6 k w 1 X j 2 Q Y u t h + K e I M F X F 0 g u S s v H 3 3 W S p F J p / 5 T 0 f F R D / D m 4 9 L 3 A L s u A 9 4 P s P T r g 0 l W 0 z E x v o 6 8 5 d W c K W 3 D V 1 d H b j S f w k X m q r Q e C F y j s S G C G I i x K R E m i m t q I K d O c b E l 5 k 5 V F e X x + z B g 1 B o U J C 6 6 j K e 9 8 7 u 9 L K / M c v X u A h q m K V l Z c w 5 9 7 C h j 5 N f C 4 c s 2 + 4 e c + A N O h 4 Y + 3 z s H d a 2 X L A W h v y 8 Y B j U S T x / 9 R 5 r a 7 E n S v r 7 L k M Z 5 v h v 2 P d w / 6 + n 2 G a C q K 6 q w I f p O V g L 8 l F b U 4 F P S Q p m 1 e b l o a e 3 E 0 3 1 l T x O s L G + A o X W U i w v r U S 1 h E N X e 7 l 4 G t j z 6 b v r 1 I G h I X V 3 F o M S v l w V N j d C 3 5 V G B 7 T 5 M h J C U G k m K K Y g 0 5 9 J V B V 8 S v k 0 F B S X 4 B 1 z 5 I N i C r K 0 u B h R T E F 2 7 T t M h P M 8 E N f l d s P O 6 h S k S m F P d B L I y N g U P l L Q 7 K Y T 5 d b o i 7 E 6 g w m z X 6 P n J i Q a 2 d 8 N 7 y x o S P V R E g 6 9 Z 4 k k Z H r K a a P D B w d 7 0 d Z c x S P b P 7 H f k C D L X F V Z B q t F j / X N H e z t e 6 H T K H l H 0 1 R X x t 9 z b W s X 7 i N 5 E W l Y R + 9 P w g 5 + X B f z c e n 3 I C w m H V b X d 7 j A K A V A r A 5 Q + F A Z Q n N L M 2 r L 4 4 8 m i J X 3 L 9 l o N F r c k A 6 L I 2 h X 7 / q 2 C 2 M v Y u d 2 D w 7 l r l / p g k b a O k + f m x r + L 2 y o F 8 5 p v w + d / h E 8 s G B p e x 8 v n g b i C C u r q 7 h p + T p z f A d 0 S W k J L l + o 4 Z M h k d a 5 K B 3 a p c 5 O 1 s n N w G w y o q H C J D 0 S P 8 J C Z Q h r a 2 u 8 B 4 2 X 6 Z m F i I 0 i F d A Q k j 7 b L v N 5 7 t 4 f Y Q 1 u F j q 9 E Z v r 8 W 0 1 z 1 W o U W A K T G e T J a D P T Z + f E m c G h 5 d k a Y L W K x 5 m 2 H C Z / t b H z / N Y n A 9 N H G x v b W N 7 + / A o I M i u f R e f j u x X C 6 e r t w d m X S 4 m J q a w t r q K t W 0 3 j C b z t + F d P E N h Y a E y i E g 9 d z T S a a H O i l y h x M / X u 3 n 5 6 O c O z w V P w b u 0 9 n P a R d 1 U Y y k o Q G 9 H Y 1 y C E r N 8 G Q Q 5 z d T g v L 7 v q 4 8 z m 4 4 v b o e z Y j / g e 6 k e P n w C W 0 + b d D V z o O y / / / 7 j M f + M 7 6 Y X e f q 3 a I g h X w Z C T r Y v V w m z M S 9 q r 3 h a J / 4 8 a W l t 5 j N n 1 E 0 c H d b t + 3 L w b m I C V d U V K L K Y 8 H b q M 0 / H l o n Q U H F z c 4 u n O a D f f 9 P h g 1 q r h U Y p + / Z / E h Y q Q 5 n + + I l H E X w P t i p f F 5 i Q 8 E W w v M H t / s U 0 t b 2 + n T a / M B m s L S 9 g d O Q 5 t 1 5 f l g I R G k J Q G c 6 d e 4 G 4 v 2 B K s m 2 n h w 0 N s 0 t m M l k u E w o r s G 7 8 6 K I z R Z 6 T i E Y e P 0 F L S y O Z A e m R 8 4 F i J R N h 4 v U r P l w X k x J Z A E U c 7 O / t w e 1 2 8 8 Z X X 1 + D j x 9 j R y k I k k N P f z 8 0 M g 8 P + 4 o H Y a G y g O 2 t L X 4 a Y H A 4 R G K i s 2 5 / v m n D r e t 9 6 O s P 5 N s z M u F l O v n m A q m U H V j y c i M O V a M h B J W F 0 I I p 7 S O S y y j t l w w W v Z K v 8 A / 0 t P J p 6 O t D N v 6 c W C Q 6 t D k r 2 + e Y J v m 0 0 P C U f t f n Y 8 e 3 c U R D C C r L I K H U N 9 R h 0 3 k Q d c K C N i Z S E C 3 l S u C N 4 o j f M n z D h h u D 7 b h 6 t Q + 1 9 Q 3 H H h e E 2 H J 4 T n U a p P C h s p z w E J x 4 o H M B o u 0 z X N o + Q J E h 0 C s T d J L I y O P z S x q Z j Y i u K c u h d M a U c i t e o o m J s O b n 8 q l 6 m q 2 i 2 / c u J v J D k 4 1 Y 2 M 1 y 5 u Y W 8 X E 6 E N d G t 6 K S M r 7 V g 3 L u r d k D + e 0 o O j r e a P b K q n K s b + x A p V T g 4 s V m v p k v 0 j n B 5 w 0 d s z p g 6 4 T P L z 8 W w R 8 P t A u 6 o b b 0 W 6 R 6 s h B D v h 8 I 8 r + G r v W d m O 3 n K N G i s 8 8 T 2 g p f 2 9 q O D 6 9 j 7 x g m y E c 8 u h f K X F i M j d V Q y u x k Q L + v E N Q P C j U y O p W D c j b Q y R r 5 e v W 3 U 0 I 8 U P K 9 U J R Q h S B B / T J M M 4 f g p 4 T c k 7 L R X m E W 4 s X 4 O z i d T q g 1 G p 7 R i X y 6 1 U 0 X V p f m e T 7 z 5 c V Q z g Y 9 s 3 a G P A 0 c T j e 2 w j b s B W m 5 0 I q 9 P Q / 0 7 D k + f w 7 e j I + j q 7 u D Z 0 F a X V 3 H + 4 / H t 2 R k E h f b 2 o S g B N G h Y V F 3 b x e e P A o I q K 3 9 E k 9 S s r i 0 g j p m H Z r K d P j j w Q s M 9 F / m M 4 u 0 X H P n z x E 0 N j f B Y j Z C p / T j w Z N X q K 0 u Z c I 1 o D D / c G K Z z R 0 X T A Y N n 6 1 8 O 7 0 K n U q O y Y l J 6 u o j R k z o D f k o K L C g r M g A l U r J U w H Q B M r L i R k s h G 3 h O E + E o A Q J U 1 l V i a 8 z X / E r J b J k 9 e U N J 2 Y X V r H G r B M N f 2 I N E y k d 8 g b z z X a j n C F 1 F M o q W 1 Z i Q V t r P a 9 T W u v R p 6 / g c k X f n X w e C E E J M h q K / q B t + 9 c G O 3 m G p b b 2 d r z 4 e 0 x 6 N P M Q g h K k l O v X + v i p G D T L u L r j w b P R + J N 8 9 v d 1 w u 2 0 8 6 S S p n w 9 f h v 5 D J 8 9 d m L N 8 0 a s Q w l S y v 0 H o 7 h z b 4 Q n R y k 0 K H h o V B 7 z p + L B b F C j 1 F r I x f T 7 v a c Z L y Z C C E q Q c m j K + u m z V / g 4 t 8 l 9 L Y o / P I n 2 z k 6 + c / n v V x / 5 2 V q U t z w b E E M + Q c Y h k 8 t 5 H o e V p Z N T P W c a w k I J M o q 2 y 5 0 o L S n O S j E R Q l C C j O L 1 2 A v M x j g u J h X k J D H a X g h K 8 E P R 1 t n D T 4 e k w 9 5 + H g 4 E x 6 p V S l y 8 0 A C j y Y i y i n J + L V G E o A Q / D D K 5 A g f 7 T r Q 0 1 s C g z s G 9 B 4 F s s 3 Q 0 z Z u 3 H 2 C 3 7 6 K 9 u R J V t b X 8 e i K I S Q m B Q M K Q b 8 S V 3 s D Z U 5 Q H h w 7 7 X l 7 f x e e p C a j U a r i c D v 5 Y p G D b I E J Q g h 8 S 2 q l c U 1 H A T 8 e f X 1 y B f c e B 3 o 4 6 6 d E Q d i Y q P b N m x O y 6 h + c X d H s P M P 7 s K a r q m 1 F V a s S D B y P f w q y E o A Q / H A X W U u i 0 a l y o s 0 p X A l C q N n k M J 4 i E Q t I i 6 7 X l P I B J l 4 u x t z N Y W g h N o g g f S v D D o M 3 T Y / i 6 D Z f o G J y q Y u l q i F h i I g J 2 i o m G F e h Q A a q H i 4 k Q g h L 8 M D h 3 7 c i V 5 f A d z a p Y u Q D i Y G x i 5 t j B B 4 Q Q l O C H o W + g D w 7 m E 5 0 V + g v h R + i E I w Q l y H p s g / 1 Q K B V S L T K 0 e 9 i i k 8 G o P Z t l I u g v X L z Q x M u 0 Q z k c I S h B 1 l J d W 4 u a + g Y m k l z 8 N N S D y q r o B 9 b 9 f O P w 4 d 5 n Y X Z u G W / e T v E y D R 3 l i p C Y h a A E W Q k 1 4 t Y 6 K 1 p q C r 9 N F l x s r I B W q 5 F q h 3 k 9 + U U q n Z 3 Z p d A p 9 L / f f Q x v 2 D n H Q l C C r E K t 0 f J U 0 2 2 X u 6 Q r h 7 k + e F k q H W Z h Y R H 3 H o 5 F S l V x K l Z 2 v N j a j H 7 6 v R C U I K t w u 5 z w + I C S / O h N l 1 K M E b S Z s a G x H p 3 d n T z H x a C t g + d / O Q s F e j n P C R g N s b A r y C o G B m 3 M b w E 0 M d J P v 3 z 7 C Y 0 N t T w T k 3 v f y w X m 9 f n Y a 9 g L k 8 S e 1 4 + 7 9 5 5 I t R D C Q g k y H o q d u z 0 8 g C t X b d C p c q K K i Y Z z L y e + o O N C H R c T 4 b D b o Z D R a 5 I n J o I m I 3 6 + O c A t X z h C U I K M h w J R l 7 a 9 P E I 8 1 u 5 5 a t u N D V V S L Q D l 7 0 s V c v Z Z B g f 7 c H W w G x W V l f y a E J Q g Y 2 m / d E E q A a W m + C y M V h G y G H R q + + p O a n N R G D S 5 0 G u V a G s q 5 z 6 b E J Q g o w g / q 6 q s O J 8 3 U t t A P x x 7 p 3 f 1 m y 6 2 Q y t L 7 4 n y Q l C C j I H E R I c Z N L c 2 8 / p f T y f 4 P S 3 c 5 j H f 6 b R U F 6 l h M q X 3 m F Q h K E F G Q M 7 9 L 8 P 9 0 L A h W 2 2 Z m Y u L j u E J P M b v E m J l N b 1 H 8 Q h B C T I C y n U e D o m r v 6 t F q i W O W q W S S u l B C E q Q E S w v r 0 i l E M G j S c 9 C o g k y X R 4 / f J F 3 u c d E C E q Q E b i d D t 6 I k 0 2 i g q K h Z 7 y n P o Y j B C X I C G o a G n g j T j Z F R Y V S 6 e y s b r l 5 h E Q s h K A E 5 w 7 l y G u p T l 7 D D 2 d x M X n H f h Y Y 1 S f u 9 B W C E p w 7 + Z r k W 6 Y g h Y U W q X R 2 4 v m U Q l C C c 2 X o 2 u E d r 8 n G 6 X R L p f Q g B C U 4 N y 5 c 7 u X B r q k k N x l T h a d A C E q Q d u j E e N t A D 6 o K k h s B H g m t L v I O 3 l Q h 9 k M J U o q 5 o A B t L b W Q y w M n t s d x 1 l p S 2 b H b Y d D r p V r q E R Z K k H Q o b M h s N u H q 1 X 7 0 X 2 7 k 6 Y t p U 2 C 6 x U T o 8 / K k U n o Q g h K c m c 7 u y y g s K u Y 7 Y 8 s r y r + F D e n V 5 9 + 8 9 v b S G 2 0 u h n y C h O n r 7 4 U p L z C U y 1 R 8 P t + 3 H B P p Q F g o Q U L c v G 6 D R Z / Z Y i K C p 2 K k C y E o w a k g / + i n m w M 8 P 7 j g O E J Q g r i 5 M W T j / t F 5 T C 4 k S j q H e 4 Q Q l C A m P 9 3 s 5 / e U Y D J W 6 q 5 M x e c 7 w I Y 9 l N k 1 1 Q h B C a K i V K q Y N Q o 0 k a u 2 D n 6 f b X j 9 u d C q U 7 + A H E Q I S h C V Y J Q B J U r J p m F e E J q O 8 B 3 4 0 + r v C U E J o r K 1 u c U b Z b Z C M t K p 0 t v E h a A E M U m 3 1 + T L 8 l V R I S h B V A q K j p 9 D m 2 r W 7 d 6 s t o p C U I K o t L X W S q X 0 U W S Q p 9 0 q J h M h K E F E a A H X 7 f G D + f R Z T z q j J Y S g B J H J y Y F c l p P x o U X x c P S E j F T K S w h K E J E D n y + h 9 M e Z C J 3 e E Q 5 9 q 0 R y 7 s W D E J Q g K s s 7 P q m U 3 R w V F E H r 1 a v 2 5 K t K C E o Q l b G n T 7 8 L H 4 r 8 w U g U 6 p P f / I W g B F E h Z / 7 N x y W p l r 3 s 7 4 t Y P s E 5 U m w N r D 8 p V S r M f Z n O e i u l V C q k U u q R 3 R j q + 6 d U F g g 4 j l 0 H v 6 f d r o S l q A T a N I T w 0 D S 9 T J a T 9 H W o 6 e k Z a D R q r K 6 u Q a F Q Y G V l D e 6 9 f X g 9 H m x v 7 3 D B r a 1 t M F / L j 5 0 d O 7 8 W f J 6 c 3 W 9 v 7 c D p d M H D n r + 5 u c U P w H Y 6 X H A 4 n D z 5 D D 1 P J p d h b X 1 T b I E X R I a 2 a 7 h d T p S W l a G + r j I t M 3 6 O f T 9 P d S x n 2 i W r m K w p e x I C C S Q d i C G f I C I k J p l M j k s t V W m b P t c p A 2 L i J L G b F w u 7 g o x A w Y Z C 5 7 W w G 2 V i L i H c 7 j 2 p l H q E o A R R c b t c 2 H K m a A U 0 j W i 1 6 c s e K w Q l i M n j R y N S K X v Z 3 N q W S q l H C E r w 3 W P Q p y 9 7 r B C U 4 L t n c 1 N Y K E E G M T G d v F M A z 4 P 0 L e w C / w + 0 w G X G 3 H c 5 T A A A A A B J R U 5 E r k J g g g = = < / I m a g e > < / F r a m e > < L a y e r s C o n t e n t > & l t ; ? x m l   v e r s i o n = " 1 . 0 "   e n c o d i n g = " u t f - 1 6 " ? & g t ; & l t ; S e r i a l i z e d L a y e r M a n a g e r   x m l n s : x s d = " h t t p : / / w w w . w 3 . o r g / 2 0 0 1 / X M L S c h e m a "   x m l n s : x s i = " h t t p : / / w w w . w 3 . o r g / 2 0 0 1 / X M L S c h e m a - i n s t a n c e "   P l a y F r o m I s N u l l = " t r u e "   P l a y F r o m T i c k s = " 0 "   P l a y T o I s N u l l = " t r u e "   P l a y T o T i c k s = " 0 "   D a t a S c a l e = " N a N "   D i m n S c a l e = " N a N "   x m l n s = " h t t p : / / m i c r o s o f t . d a t a . v i s u a l i z a t i o n . g e o 3 d / 1 . 0 " & g t ; & l t ; L a y e r D e f i n i t i o n s   / & g t ; & l t ; D e c o r a t o r s   / & g t ; & l t ; / S e r i a l i z e d L a y e r M a n a g e r & g t ; < / L a y e r s C o n t e n t > < / S c e n e > < S c e n e   C u s t o m M a p G u i d = " b a 5 5 4 3 f 4 - b 6 0 4 - 4 7 d 4 - 8 4 f 3 - 3 1 2 9 1 e 5 e 8 9 f 0 "   C u s t o m M a p I d = " b a 5 5 4 3 f 4 - b 6 0 4 - 4 7 d 4 - 8 4 f 3 - 3 1 2 9 1 e 5 e 8 9 f 0 "   S c e n e I d = " c 7 2 3 e d 4 7 - e 7 f f - 4 b c 5 - b 5 1 a - f 9 a c 0 f 7 a 0 9 7 c " > < T r a n s i t i o n > M o v e T o < / T r a n s i t i o n > < E f f e c t > S t a t i o n < / E f f e c t > < T h e m e > E a r t h y < / T h e m e > < T h e m e W i t h L a b e l > f a l s e < / T h e m e W i t h L a b e l > < F l a t M o d e E n a b l e d > t r u e < / F l a t M o d e E n a b l e d > < D u r a t i o n > 1 0 0 0 0 0 0 0 0 < / D u r a t i o n > < T r a n s i t i o n D u r a t i o n > 3 0 0 0 0 0 0 0 < / T r a n s i t i o n D u r a t i o n > < S p e e d > 0 . 5 < / S p e e d > < F r a m e > < C a m e r a > < L a t i t u d e > 0 . 0 3 9 5 9 2 2 7 2 4 6 1 3 2 6 2 3 2 < / L a t i t u d e > < L o n g i t u d e > - 0 . 0 3 0 3 0 6 4 5 4 0 5 1 0 6 8 3 3 7 < / L o n g i t u d e > < R o t a t i o n > 0 < / R o t a t i o n > < P i v o t A n g l e > - 0 . 6 1 < / P i v o t A n g l e > < D i s t a n c e > 0 . 4 < / D i s t a n c e > < / C a m e r a > < I m a g e > i V B O R w 0 K G g o A A A A N S U h E U g A A A N Q A A A B 1 C A Y A A A A 2 n s 9 T A A A A A X N S R 0 I A r s 4 c 6 Q A A A A R n Q U 1 B A A C x j w v 8 Y Q U A A A A J c E h Z c w A A A r c A A A K 3 A d I 1 y F E A A A h 1 S U R B V H h e 7 d 1 7 b F R V H g f w c + b R K X 3 Q U o T i 2 i B g j d J s X I 0 x 0 f h K z O I L F H m I F A Q E E V l Z j a / 4 g L g r C y q C Q E R R E C I i y r s o C i L F w B Y 3 9 Q H s l i o I U l u K Y I F W o E t h p t N 5 7 L 3 l Z N P E 8 5 e c a e / v d 7 6 f m 1 9 7 T / + 7 5 z e / n v u 7 d + a O v G / Q n 5 M C A I y Q w w f 3 Q 0 E B G C K L h 9 y K g g I w R I 4 Y i o I C M E W O v P c 2 F B S A I T 7 p / E A g E I Z i 1 L D b s U I B G C J H 3 X c H C g r A E D l 6 O A o K w B Q 5 p v h O F B S A I f K B 4 v 4 o K A B D 5 N g R K C g A U + S 4 k Q N Q U A C G y H H 3 3 4 W C A j A E N 3 Y R C J M x f t T d W K E A D J E P j R 6 I g g I w R E 4 Y g 4 I C M E U + / M A 9 K C g A Q 3 z q N w A Y I C e O H Y Q V C s A Q + Z d x g 1 F Q A I b I R x 5 E Q Q G Y I i e N H 4 K C A j B E / n X 8 U B S U Y 3 / V I d F 0 5 q w a w e + R l Z k h L i v s q U Z 2 k o 8 + h I J 6 6 9 1 1 4 u + T J 6 k R n I + X X l 0 g J o w Z q E b 2 8 Q k p n b K y O 3 r 3 K l D T A e e r J R b X z r E t I R 9 7 e J j 1 K 5 Q M h E T X v F w 1 g v N R f f C w 6 J w R V C P 7 + D R F Z l W E I 8 0 o J o P 6 O K t 9 M p n Q z r U N 4 R S U s 0 x Z H O 8 t 3 6 h e C m B K 6 d Z v t X N t Q / i c X 1 Z v P o l 3 X 5 l W V X 2 4 z Q x b t j 3 5 y H C r e 6 h O 2 T k i l J a m R m D C z n / v E Y U X d 1 c j u 8 i n J h V b W 1 C n G p v E x b 1 7 q R G Y k k w m R f 3 R o y I U s u / i h M 9 Z p Z y y s j N W l J Q 6 O 2 C a 2 0 u U 7 / j u N / N t Q 1 j d Q 0 W j M W c W I B U q v j v Q Z q b t 2 a y + y j d s 6 B 0 q / W D a j d d f r Z 1 z 9 v H M Y y O t 7 K H C 4 W b R r c e F a g S m u X 3 U m f + e V C N 7 W L t C L X j v Y z U F k A r u H G / c U v 6 b e e c e 1 h Z U w O 9 X q Y d U 2 b v v o H b u O Y e 1 d z V H D B + g 9 i B V 7 r z 9 Z r V n D / n 8 E 6 O t 6 6 F i s b j I z s 1 T I 0 g V d 5 6 j 4 d O t / 7 l t Y e U p X 8 m n 2 9 T h Q y o F A n 7 x 1 Y 7 v t T n g G k 5 B u Q 2 k X V F 7 6 K h K O a T a l 1 / t 1 u a A a 1 i 5 Q t 0 9 4 B a V b k i 1 K 6 + 4 X J s D t v H C 0 2 O t 6 q E i k W a R 5 f R P 7 s F D 6 i W S S R G P n F E j / q x 7 L 9 + W s p 0 o p n b k 9 h T 7 q m q 1 u e A Y 1 p 3 y V X 5 / w D l y a E 9 r 1 2 / T 5 o J j W H d R o q i o U K U Z 2 k t 2 V q Y 2 F y z j x e c e t K q H k s G M 1 t U Z 2 o / b R 4 l Y W I 1 4 s + r j G x 9 t K H N + Q n t z T 4 O + 2 b X 3 / 3 n g v F l 1 y l e 5 5 y e V Y m h v p V u / 0 e a E W 1 h 1 U W L Q w H 4 q v d D e c n K y t T l h F 9 O m T L C i h 0 o k k i I h g 8 K P d 5 l 3 i L P h i M g M O f / C m b P m l G / r 9 h 0 o p g 6 U 0 S l d / P B j j T Y 3 n M K a i x J f l u 9 W q Y W O s u a j b W 0 y w n O z p o c q 6 o v 7 T x 3 t 3 P 0 o f X 7 Y x C t / m 2 h F D x W O + f A p 3 Q 4 W b W k R m c y f K W r F C l V T W 4 d i 8 o C 0 Y F A c q z + p z R G X s O I j 8 O 8 s X a / 2 o K N x z 4 U V K x S e X e 4 d L d G Y N k d s Y u b U S e x 7 q N O R h A g G A m o E H e n E y U b x h 2 7 Z a s Q P + / t Q + w / U o p g 8 J K 9 L T m t P q 8 s V h 2 B / y v f B 6 s 0 q l e A V i 5 d 9 o s 0 V h 2 B / Y z c 3 N 0 e l E b w i z e l p 2 + a I 1 T Z n + q N s e y j 3 w H 6 u a x R 5 e S g q L z l 6 r E E U 9 r x A j X j x O e u U / m S Q Q R w 7 f g L F 5 E E 9 8 i 8 Q 0 Z a Y N m f U g 3 U P N f f t V S q F 4 D W z 5 6 / Q 5 o x 6 s L 7 K 1 y k 9 p N I H X v P r i U Z t z s j H 6 6 8 8 z r a H O l B b L 7 p 3 w z P M v a j u W L 2 4 v H c P N e J D z p v x B M u C a n D + A w Z C m W o E X u O + 6 G Q 8 I n I 7 Z 5 3 7 A x N s T / m W r v x M H S J 4 k Z M i 8 f q C 1 d r c U Q 6 2 F y W O H K k / l z n w r F O N T d r c U Q 6 2 j 2 K + d 8 h t z g 5 4 W b 9 b r t P m j n L I + b O e Y t d D u f 2 T C H R q P U b w t r z s Y O t / d i 5 Y n v L N m v c h i o m I y d M W a n N I N V h e l I g 0 R 1 W 6 w O t O N 5 3 V 5 p B q s F y h r v p T X 5 U u 8 L r i Y f 2 1 O S Q b C + c + w 6 q H i s c T o q G x W Y 2 A g t y s g A i l B d W I N n b P l H h 5 z v t q D 6 h Y t n K T 2 q O P 3 S n f 4 V + O q 0 M D K n Z V 7 N f m k m K w K 6 g h g 2 5 V a Q I q b r r h G m 0 u S c b i e c + x 6 a H i 8 b i o a w g L n 0 + q v w A F 7 h e y 5 e e l s 3 j 2 B 6 s V a t 2 n Z S g m g t x 7 N 1 v L d m l z S i 1 Y P V P i i 7 K d K k V A z d p P / t k m k 3 Q 3 V u / l + 2 P R p c 4 O U O R + L F 6 X U 2 o h l 8 y f w q a H O v j L K e H 3 W f F 0 a Z Y K 8 s 9 9 y y F l 7 u m r c x D 0 4 7 U 3 l q O Y i H t z c Y k 2 t 5 S C T Q + 1 Z 1 + N S g t Q V V H 5 Y 5 u M 0 t z Y X O U r u C h f p Q W o u v 6 6 q 7 W 5 J R X L F r z A o o e q O X J K 7 Q F V 7 q c E C n t 2 F c E A 3 e / y Y r F C r V m / T R 0 O U J Y e S h P / + n q 3 N s d U g s W T Y z e W l q u U A H V L V 2 z S 5 p h K s L j K d 0 m f n i o d Q F 3 B R T 2 0 O S Y T y x e 9 S L q H S i a T 4 j 9 7 D 4 n O 2 b y e 7 2 a r l l h M 9 O 1 D 9 w I T + R 5 q f x W K i R P 3 D b L b y y u 0 u a Y Q 5 E / 5 X p 6 N D x R y 8 8 5 S 9 w v Z 9 P n 2 e p B f o b p 0 w d f V c O N + y Y M u 1 y R i 9 Z J p p H u o H Z U 1 I j s L z z D n J B x p F l f 2 L W h 9 g V J D + s 1 v V d W H U U w M u S v U p i + + V i N a S J / y T Z 2 5 R B 0 G c L N s 1 W Z t z r 0 e p C 9 K J O I J N f 3 A T U Z G u j b n n o + S 9 1 8 i 2 0 O t 3 / y t K M R N X Z Z O N 5 0 R 1 1 5 1 i R r R Q f b j G 9 U H 6 1 B M j L m 9 c X O k p U 3 G a W x k T / m m T F + o p h 6 4 u n / i P 7 S 5 9 3 K Q f X O s u w F v A b 9 f m 3 s v h / z 4 w x k k e 6 g t 2 y t F f v e u a g Q c N U e j 4 p o r e q s R D S R P + Y 7 X n 0 A x W S C U l i Z 2 V e z T v g a 8 G i Q v S k y Z v k h N O X A 3 Y + 4 H b T L v / Y 3 k j d 2 G X / F x d 1 v 4 / W 6 b r 3 8 d e D I 2 r J x J r o d 6 d u r b o q r 6 i B o B Z 0 W X 9 R L T J o 9 X I + + T G 1 b N I v 3 m W A A v k R t X v 4 a C A j C k 9 b s q E A i E o d i 0 Z j Z W K A B D 5 O d r U V A A p s j N J X N Q U A C G y N J 1 c 1 F Q A E Y I 8 T 8 F u y m t n 5 3 M G g A A A A B J R U 5 E r k J g g g = = < / I m a g e > < / F r a m e > < L a y e r s C o n t e n t > & l t ; ? x m l   v e r s i o n = " 1 . 0 "   e n c o d i n g = " u t f - 1 6 " ? & g t ; & l t ; S e r i a l i z e d L a y e r M a n a g e r   x m l n s : x s d = " h t t p : / / w w w . w 3 . o r g / 2 0 0 1 / X M L S c h e m a "   x m l n s : x s i = " h t t p : / / w w w . w 3 . o r g / 2 0 0 1 / X M L S c h e m a - i n s t a n c e "   P l a y F r o m I s N u l l = " t r u e "   P l a y F r o m T i c k s = " 0 "   P l a y T o I s N u l l = " t r u e "   P l a y T o T i c k s = " 0 "   D a t a S c a l e = " N a N "   D i m n S c a l e = " N a N "   x m l n s = " h t t p : / / m i c r o s o f t . d a t a . v i s u a l i z a t i o n . g e o 3 d / 1 . 0 " & g t ; & l t ; L a y e r D e f i n i t i o n s & g t ; & l t ; L a y e r D e f i n i t i o n   N a m e = " L a y e r   1 "   G u i d = " a 2 a 7 a 9 8 f - 7 3 b b - 4 1 5 8 - b 6 0 b - 0 c b 6 5 f 6 1 b a 6 c "   R e v = " 1 "   R e v G u i d = " 9 e 9 1 4 3 b 4 - f 8 7 7 - 4 f 1 7 - 8 5 3 9 - 7 f e 3 f b 2 f c a 7 3 "   V i s i b l e = " t r u e "   I n s t O n l y = " f a l s e " & g t ; & l t ; G e o V i s   V i s i b l e = " t r u e "   L a y e r C o l o r S e t = " f a l s e "   R e g i o n S h a d i n g M o d e S e t = " f a l s e "   R e g i o n S h a d i n g M o d e = " G l o b a l "   T T T e m p l a t e = " B a s i c "   V i s u a l T y p e = " P o i n t M a r k e r C h a r t "   N u l l s = " f a l s e "   Z e r o s = " t r u e "   N e g a t i v e s = " t r u e "   H e a t M a p B l e n d M o d e = " A d d "   V i s u a l S h a p e = " I n v e r t e d P y r a m i d " 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  / & g t ; & l t ; G e o F i e l d W e l l D e f i n i t i o n   T i m e C h u n k = " N o n e "   A c c u m u l a t e = " f a l s e "   D e c a y = " N o n e "   D e c a y T i m e I s N u l l = " t r u e "   D e c a y T i m e T i c k s = " 0 "   V M T i m e A c c u m u l a t e = " f a l s e "   V M T i m e P e r s i s t = " f a l s e "   U s e r N o t M a p B y = " t r u e "   S e l T i m e S t g = " N o n e "   C h o o s i n g G e o F i e l d s = " f a l s e " & g t ; & l t ; M e a s u r e s   / & g t ; & l t ; M e a s u r e A F s   / & g t ; & l t ; C o l o r A F & g t ; N o n e & l t ; / C o l o r A F & g t ; & l t ; C h o s e n F i e l d s   / & g t ; & l t ; C h u n k B y & g t ; N o n e & l t ; / C h u n k B y & g t ; & l t ; C h o s e n G e o M a p p i n g s   / & g t ; & l t ; F i l t e r & g t ; & l t ; F C s 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  / & g t ; & l t ; / S e r i a l i z e d L a y e r M a n a g e r & g t ; < / L a y e r s C o n t e n t > < / S c e n e > < / S c e n e s > < / T o u r > 
</file>

<file path=customXml/item12.xml>��< ? x m l   v e r s i o n = " 1 . 0 "   e n c o d i n g = " u t f - 1 6 " ? > < D a t a M a s h u p   x m l n s = " h t t p : / / s c h e m a s . m i c r o s o f t . c o m / D a t a M a s h u p " > A A A A A B Q D A A B Q S w M E F A A C A A g A M I M v V 2 j j c O G k A A A A 9 g A A A B I A H A B D b 2 5 m a W c v U G F j a 2 F n Z S 5 4 b W w g o h g A K K A U A A A A A A A A A A A A A A A A A A A A A A A A A A A A h Y + x D o I w F E V / h X S n L X U x 5 F E H X U w k M T E x r k 2 p 0 A g P Q 4 v l 3 x z 8 J H 9 B j K J u j v f c M 9 x 7 v 9 5 g M T R 1 d D G d s y 1 m J K G c R A Z 1 W 1 g s M 9 L 7 Y z w n C w l b p U + q N N E o o 0 s H V 2 S k 8 v 6 c M h Z C o G F G 2 6 5 k g v O E H f L N T l e m U e Q j 2 / 9 y b N F 5 h d o Q C f v X G C l o I j g V Q l A O b I K Q W / w K Y t z 7 b H 8 g L P v a 9 5 2 R B u P 1 C t g U g b 0 / y A d Q S w M E F A A C A A g A M I M v V 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D C D L 1 c o i k e 4 D g A A A B E A A A A T A B w A R m 9 y b X V s Y X M v U 2 V j d G l v b j E u b S C i G A A o o B Q A A A A A A A A A A A A A A A A A A A A A A A A A A A A r T k 0 u y c z P U w i G 0 I b W A F B L A Q I t A B Q A A g A I A D C D L 1 d o 4 3 D h p A A A A P Y A A A A S A A A A A A A A A A A A A A A A A A A A A A B D b 2 5 m a W c v U G F j a 2 F n Z S 5 4 b W x Q S w E C L Q A U A A I A C A A w g y 9 X D 8 r p q 6 Q A A A D p A A A A E w A A A A A A A A A A A A A A A A D w A A A A W 0 N v b n R l b n R f V H l w Z X N d L n h t b F B L A Q I t A B Q A A g A I A D C D L 1 c 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w r N w A D C m + R o G C i E 6 b i l r 1 A A A A A A I A A A A A A B B m A A A A A Q A A I A A A A J b Q k D X Z q Z c 3 w 8 / C B l c k a N F W 3 + s / C C L E m o o 8 o + Q P l V l u A A A A A A 6 A A A A A A g A A I A A A A M a k H 7 L W 5 V A E M I E a e 0 I l v y + D G Q B f U O C Z x Q t L s b F C O D l X U A A A A L 9 p X w v u i D G 3 E J H D m M e w a Y O T B I y K m C 2 f t 2 Y A s f i Q 9 9 O Q R X x C R a Z Y A J 9 l 3 L D i X o c v O j P j s 2 Y a v W K Y W A 4 X S i d G g k I 5 d 4 E G v g P M h h q l X x H / u U 2 H Q A A A A P b a D f J A b X m K Q Z A Y J j S y k A O U 3 g 5 P c 9 2 3 S k 3 G W 5 / y J Z Q K p V S e e j Z d u o s t Z U E K 7 B 4 4 F t r M T H V E H Z 7 r I 3 b 7 c i / m Y H g = < / D a t a M a s h u p > 
</file>

<file path=customXml/item13.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 2 0 2 3 - 0 8 - 1 3 T 0 9 : 4 9 : 4 5 . 8 2 8 5 0 5 + 0 7 : 0 0 < / L a s t P r o c e s s e d T i m e > < / D a t a M o d e l i n g S a n d b o x . S e r i a l i z e d S a n d b o x E r r o r C a c h e > ] ] > < / C u s t o m C o n t e n t > < / G e m i n i > 
</file>

<file path=customXml/item14.xml>��< ? x m l   v e r s i o n = " 1 . 0 "   e n c o d i n g = " U T F - 1 6 " ? > < G e m i n i   x m l n s = " h t t p : / / g e m i n i / p i v o t c u s t o m i z a t i o n / L i n k e d T a b l e U p d a t e M o d e " > < C u s t o m C o n t e n t > < ! [ C D A T A [ T r u e ] ] > < / C u s t o m C o n t e n t > < / G e m i n i > 
</file>

<file path=customXml/item15.xml>��< ? x m l   v e r s i o n = " 1 . 0 "   e n c o d i n g = " U T F - 1 6 " ? > < G e m i n i   x m l n s = " h t t p : / / g e m i n i / p i v o t c u s t o m i z a t i o n / T a b l e X M L _ T a b l e 3 " > < C u s t o m C o n t e n t > < ! [ C D A T A [ < T a b l e W i d g e t G r i d S e r i a l i z a t i o n   x m l n s : x s d = " h t t p : / / w w w . w 3 . o r g / 2 0 0 1 / X M L S c h e m a "   x m l n s : x s i = " h t t p : / / w w w . w 3 . o r g / 2 0 0 1 / X M L S c h e m a - i n s t a n c e " > < C o l u m n S u g g e s t e d T y p e   / > < C o l u m n F o r m a t   / > < C o l u m n A c c u r a c y   / > < C o l u m n C u r r e n c y S y m b o l   / > < C o l u m n P o s i t i v e P a t t e r n   / > < C o l u m n N e g a t i v e P a t t e r n   / > < C o l u m n W i d t h s > < i t e m > < k e y > < s t r i n g > N o . < / s t r i n g > < / k e y > < v a l u e > < i n t > 7 0 < / i n t > < / v a l u e > < / i t e m > < i t e m > < k e y > < s t r i n g > N o . P O N < / s t r i n g > < / k e y > < v a l u e > < i n t > 1 0 5 < / i n t > < / v a l u e > < / i t e m > < i t e m > < k e y > < s t r i n g > V e n d o r < / s t r i n g > < / k e y > < v a l u e > < i n t > 9 9 < / i n t > < / v a l u e > < / i t e m > < i t e m > < k e y > < s t r i n g > T y p e     S t r u k t u r < / s t r i n g > < / k e y > < v a l u e > < i n t > 1 5 1 < / i n t > < / v a l u e > < / i t e m > < i t e m > < k e y > < s t r i n g > M a r k i n g   S t r u k t u r < / s t r i n g > < / k e y > < v a l u e > < i n t > 1 7 5 < / i n t > < / v a l u e > < / i t e m > < i t e m > < k e y > < s t r i n g > B e r a t   F a b r i k a s i < / s t r i n g > < / k e y > < v a l u e > < i n t > 1 5 6 < / i n t > < / v a l u e > < / i t e m > < i t e m > < k e y > < s t r i n g > D a t e   R e l e a s e   S D < / s t r i n g > < / k e y > < v a l u e > < i n t > 1 6 6 < / i n t > < / v a l u e > < / i t e m > < i t e m > < k e y > < s t r i n g > D a t e   S t a r t     P O N < / s t r i n g > < / k e y > < v a l u e > < i n t > 1 6 3 < / i n t > < / v a l u e > < / i t e m > < i t e m > < k e y > < s t r i n g > D a t e   F i n i s h     P O N < / s t r i n g > < / k e y > < v a l u e > < i n t > 1 7 1 < / i n t > < / v a l u e > < / i t e m > < i t e m > < k e y > < s t r i n g > D a t e   F i n i s h     A k t u a l < / s t r i n g > < / k e y > < v a l u e > < i n t > 1 8 5 < / i n t > < / v a l u e > < / i t e m > < i t e m > < k e y > < s t r i n g > P r o g r e s s   ( % ) < / s t r i n g > < / k e y > < v a l u e > < i n t > 1 4 1 < / i n t > < / v a l u e > < / i t e m > < i t e m > < k e y > < s t r i n g > I S S U E < / s t r i n g > < / k e y > < v a l u e > < i n t > 8 8 < / i n t > < / v a l u e > < / i t e m > < i t e m > < k e y > < s t r i n g > S T A T U S < / s t r i n g > < / k e y > < v a l u e > < i n t > 1 0 0 < / i n t > < / v a l u e > < / i t e m > < i t e m > < k e y > < s t r i n g > K e t e r a n g a n < / s t r i n g > < / k e y > < v a l u e > < i n t > 1 3 1 < / i n t > < / v a l u e > < / i t e m > < / C o l u m n W i d t h s > < C o l u m n D i s p l a y I n d e x > < i t e m > < k e y > < s t r i n g > N o . < / s t r i n g > < / k e y > < v a l u e > < i n t > 0 < / i n t > < / v a l u e > < / i t e m > < i t e m > < k e y > < s t r i n g > N o . P O N < / s t r i n g > < / k e y > < v a l u e > < i n t > 1 < / i n t > < / v a l u e > < / i t e m > < i t e m > < k e y > < s t r i n g > V e n d o r < / s t r i n g > < / k e y > < v a l u e > < i n t > 2 < / i n t > < / v a l u e > < / i t e m > < i t e m > < k e y > < s t r i n g > T y p e     S t r u k t u r < / s t r i n g > < / k e y > < v a l u e > < i n t > 3 < / i n t > < / v a l u e > < / i t e m > < i t e m > < k e y > < s t r i n g > M a r k i n g   S t r u k t u r < / s t r i n g > < / k e y > < v a l u e > < i n t > 4 < / i n t > < / v a l u e > < / i t e m > < i t e m > < k e y > < s t r i n g > B e r a t   F a b r i k a s i < / s t r i n g > < / k e y > < v a l u e > < i n t > 5 < / i n t > < / v a l u e > < / i t e m > < i t e m > < k e y > < s t r i n g > D a t e   R e l e a s e   S D < / s t r i n g > < / k e y > < v a l u e > < i n t > 6 < / i n t > < / v a l u e > < / i t e m > < i t e m > < k e y > < s t r i n g > D a t e   S t a r t     P O N < / s t r i n g > < / k e y > < v a l u e > < i n t > 7 < / i n t > < / v a l u e > < / i t e m > < i t e m > < k e y > < s t r i n g > D a t e   F i n i s h     P O N < / s t r i n g > < / k e y > < v a l u e > < i n t > 8 < / i n t > < / v a l u e > < / i t e m > < i t e m > < k e y > < s t r i n g > D a t e   F i n i s h     A k t u a l < / s t r i n g > < / k e y > < v a l u e > < i n t > 9 < / i n t > < / v a l u e > < / i t e m > < i t e m > < k e y > < s t r i n g > P r o g r e s s   ( % ) < / s t r i n g > < / k e y > < v a l u e > < i n t > 1 0 < / i n t > < / v a l u e > < / i t e m > < i t e m > < k e y > < s t r i n g > I S S U E < / s t r i n g > < / k e y > < v a l u e > < i n t > 1 1 < / i n t > < / v a l u e > < / i t e m > < i t e m > < k e y > < s t r i n g > S T A T U S < / s t r i n g > < / k e y > < v a l u e > < i n t > 1 2 < / i n t > < / v a l u e > < / i t e m > < i t e m > < k e y > < s t r i n g > K e t e r a n g a n < / s t r i n g > < / k e y > < v a l u e > < i n t > 1 3 < / 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S h o w H i d d e n " > < C u s t o m C o n t e n t > < ! [ C D A T A [ T r u e ] ] > < / C u s t o m C o n t e n t > < / G e m i n i > 
</file>

<file path=customXml/item17.xml>��< ? x m l   v e r s i o n = " 1 . 0 "   e n c o d i n g = " U T F - 1 6 " ? > < G e m i n i   x m l n s = " h t t p : / / g e m i n i / p i v o t c u s t o m i z a t i o n / C l i e n t W i n d o w X M L " > < C u s t o m C o n t e n t > < ! [ C D A T A [ T a b l e 4 ] ] > < / C u s t o m C o n t e n t > < / G e m i n i > 
</file>

<file path=customXml/item18.xml>��< ? x m l   v e r s i o n = " 1 . 0 "   e n c o d i n g = " u t f - 1 6 " ? > < V i s u a l i z a t i o n L S t a t e   x m l n s : x s d = " h t t p : / / w w w . w 3 . o r g / 2 0 0 1 / X M L S c h e m a "   x m l n s : x s i = " h t t p : / / w w w . w 3 . o r g / 2 0 0 1 / X M L S c h e m a - i n s t a n c e "   x m l n s = " h t t p : / / m i c r o s o f t . d a t a . v i s u a l i z a t i o n . C l i e n t . E x c e l . L S t a t e / 1 . 0 " > < c g > H 4 s I A A A A A A A E A O 1 c 3 X L a S B Z + F Y q q u X T T v 1 I r Z Z M S C f H 4 3 w X 2 T n L Z N o q t N U Y p S c T J v M w + w 1 7 v V u 3 F z v v M K 8 x p h M A N r Y 0 Q i 9 B F r m y E p H O q v z 7 n f O e n + f N f / z l 8 + + 1 5 3 P o a x E k Y T Y 7 a B O F 2 K 5 j c R 6 N w 8 n D U n q a f D 2 T 7 b f e w B x / P V X o e T d 6 p + 8 e g B Q 9 N k j f f k t F R + z F N v 7 z p d F 5 e X t A L Q 1 H 8 0 K E Y k 8 7 H i / M h 3 P m s 2 o u b w x / f f B B O k l R N 7 o N 2 9 / A k y Z 5 c P P U c 3 s d R E n 1 O 0 U i l C n 0 N k 6 k a h 7 + r F F R H D 0 H E R h 2 t P z z Z e j p q v 1 W j 5 3 D y P k z S O L x P j 3 p q M l K / U O z f B 4 9 w y 9 / U e B q 0 H u + P 2 m k 8 1 d K O g 2 g Q J N F 4 q t + W r H x u j d O j t k B C O I 6 g 2 G 2 3 x r B W n k C M O p 7 A + k I A N / i Z Q N A L X k H h n R + i + F m l a T D y R 6 M 4 S J L u W Z S q 1 k y T l t b j s L N 2 x + H 8 1 g 9 h M B 6 B G l r 7 y U P r W x K + m Y T j u b a t z g + / W B e V v S l / s J v J N y 8 W i u m e T E b R J E h C d d j J H + m s a N o x V t C 2 g B x R y Q X 3 K J 8 v o I M 8 z g i l 0 r E s I L E t 4 I 5 X r X g B d r 5 c 5 v I B 8 p 3 Z F o W / J / Y N f X Z 7 4 5 / A h u 7 5 A / + m 2 o 4 + w A h 2 r y d c T D J E C B F I E i m F o J 4 F E u u e / i 1 I 0 t b Z N F V h a x A 8 g O / 4 v s t t b Z O W 7 8 j 5 3 7 7 S C o F n e F Y T 8 C X L H Z t 9 X 4 x x h U 2 + M W q D / v H V p y s D r s 9 q n K x 7 I G 3 j P 9 o C 1 + D E j F e V 9 m V M I k d i h 3 o u y 5 D n G G E q K a b Y Z o t W 4 L X 0 X U K d v X 8 V 3 L H 6 / Y 9 / / v G P 8 q j e / P f f 8 V P 4 P V g + 8 S P P t T G o l 7 / Q D 7 4 B R H V M h / 2 B f 3 l c 4 m U 2 D 3 v g I E q x c F w 6 h 5 V g B x H O m c c 8 W t a g h 0 G s I O T U Y M y r k l a w h k C Z B g 2 z 3 3 f B J I 3 V G P z u q f q q D J h K G 9 + B i 6 h D i H S x z N 0 u R k C a G N A J C I 1 r V M I a C e e K t L Q a O 7 T C Y m 9 p K m B C V / x U H T 7 2 z D 8 / u f A v b 3 y w S z z s n / v w X 0 W k K P I E 8 x w I h p r x 6 f D I p O t J o e 2 r H E 7 D a J o + G u F o Z 5 y v e N X X l W g S X p d R n D 4 C V M u Y X Q 0 t i q Q r I f f w c u d H w P l J V z j S s Q U 1 q 1 n N d N k 3 X O t K N A m u i 9 u h 5 p 0 D / z d / W A 2 o A 4 a I 4 3 B O d F C a G R a G K w w C F 5 E 2 w 7 L S j 4 t p A o x T v a i k j l B l k 2 a C 0 s 2 M b D i F l C 9 + l S d l d x X b Z h 0 e 8 e P H j w Z S 1 e l J D 3 j 1 0 x f 1 R U 2 M F 5 a P f Q Q R 4 Q j X w z n 0 Y K T S p V x 4 H J K Q N Z 9 q h X 6 e R u e a 7 D D 8 5 W n 0 U t Q K 6 I 1 O N v x 3 / V 8 1 U / E / m e y 0 N F o c S U Y x E J U 8 Y x f I c S W D 8 G d z q F a s d O I M J O W 7 q s N K L c J W 8 G p e H n + q n l S c V q W S Q P i x p M x b U E k g / J J J S Y n V n K w x b 6 7 B D s 2 o 2 P s t Z J s 4 F T 9 Q h 7 u 8 8 M 9 v z 2 7 B c r a p r T B A h k h g j z l 5 p B 7 i D v F c Y f N z V m A u I M N + 2 m W O X b z M u e g m w b L M v Y b T s X q B c m T l G O Q I 4 P X g w 2 b k g 0 J M A t Y I t R D I x 9 Y i k B W Z P P n J F d m L 7 a w r 0 S S 0 L t R E j S I D I T v t s B U y C B K E u h x 7 8 1 o 7 o R C K H C a 4 p D a M r J F n x h I y L X Y I T 8 Y Q c j E m A N 2 M y C 8 3 i f l 1 s f X V 4 e R 6 w / c l w C l T h u x F D 1 F c 4 l 0 2 o K F i J b j j U U r z E j Q E M C E l 8 U R p o G f y 6 6 A X K 4 J M N L u z 0 n R W j j G / 2 S / O p 3 7 v 6 n 3 / x u / 1 z 0 p g V A b v R K c 4 U C S E A H m n Y p U a r y 3 N L a H 5 4 E h O l 5 V K + A z R U n J r O 8 3 q h W c r v k i 4 9 l B X M R V o E u r X / v V t R d J / w J G A W M g x y U 0 S u g U u R E y P a C M t F y C v 1 Z f p f u q S c 8 l N A m P B J 2 / 6 l 8 f + r x X t h S E M E L i U 5 J m z J p T Q s B G s f N E k p w w Z v a v D Z x Z J N P H p N p F v 9 g C t s 9 v z 2 8 p 4 C c I 9 s K O c Z 2 K K G A M W I 1 l p M + o F k 4 e n 6 U 7 7 b M X R a S n c B K v 4 i T p 4 i 1 H d 3 8 q g C H I w c Y X 0 c o A I Q 5 w 4 j D B i m + i w h q B 8 e y 9 r 1 z v k m s U L b 1 O j S a D N 9 Q P G s F y o i m b 1 E z U 9 E V R l I m f j v v a n 6 O H 7 V t U p F 0 m P O x i a n X k D D S P O h c s 3 S L W X S u z F s l 6 L b 5 J F n a r n u y 3 q H 5 5 0 i e u J v P 1 C k f 7 o E l v O Z f V 7 M / F 7 A W Q u u U l Y L P g d j G Q N K r J u D F 0 Q w p j A e f O S S o S J 0 B d K z w R k 5 Y a c S u 0 h H z I V a B J E 1 9 P 4 x e L K y l e k d K H C E 8 K F y k R u N C 7 i D H u M 4 N K z c k s t 6 q D e N m k m J k 2 t W c x a q U A W 8 s p Z R a r A k M M 9 B 8 N k T V 7 p x T A N 5 U n M i K 1 / Z X V 0 e V c 3 K z j v x e O t q m B i W E w K a 2 f j 2 7 R L Y P 4 Q 2 o w 8 r / c S 3 S e m g F 5 5 7 z c r x i z p 5 V 6 g W t O h S V j p X v X / g Y E D h R M u g b n h 3 B F C B 5 8 L m C a F u e G y 5 a G 1 t v k e g t W a D k 3 C 6 t L v n Q z 6 h t / b I F Y x G F O T U E 3 N + / a E w e E F 8 I S C 6 z 7 x W g X P 2 j 6 5 V H d h H N Q R p 1 Y l m T h 0 m 1 z Q m 3 k 8 s K n 3 l U c s Y B j U B S L O u S 7 i Z e 1 I B z H M A C 6 b N V m h m g W I F z 2 H X 1 9 d r 1 j m C n w 5 H T U v 7 z d q A W w n N 1 e A 2 x a E H f o X H v V g X v 7 1 4 Q l C p U e J t c N v R S 4 j z D 0 V h 2 l U i 6 n p U U s 4 g W T K M 6 H p N r 2 Y N A j V F L A 7 S c Z w p i s x f G T p 7 h M 0 m O H o l j 5 9 l L N 5 B + z Q Z S 6 n p W t / W o / W X I u 9 s A 1 T A R P F / R r Y r E h 7 q Q e v A a h 1 W m g P Z W V 6 j z O 3 A + + c d / 2 q g Q / z p z A f B b l 1 j j 3 X 8 6 g e g V K w J T r + z 7 R g P u y 5 B / q S Z w U N H D c 9 n 9 5 N n 8 Z Q p X x Q F c 8 n a Y S A + j P q A V / J J o T 1 d L c r M O W 2 c o j V u b 5 W Y 4 f 2 2 T X l m G b Y 5 K n g M 7 9 3 e + 1 D C 0 X b 6 N X x 1 a C i N f 0 c 4 d j s Z O z G d f i b / g B 8 q Z k N l I 5 0 U F j E U A b J y a W L G I f R K s x L s 8 u b I J 7 A v M c u L W g h Y s V 4 m l t P P I 7 i C E 6 X j s 0 B t w 1 A g U M p r l i g A p 1 h 1 3 G I y 2 3 H H 6 w B a K H A D n E p 5 h C v p J u Q F T 9 S R z W q d 3 V 6 d Q k n b A f m C d v S s O i T e X D I H y q 6 8 4 F 3 A n U o C V O I t P x 5 6 F 7 0 d z g q D x N x t R B 6 m z Q T k e 6 s z t G 8 u b S h e v 4 S m r N j W 9 D C 2 w t w k A M f I t k W K R 1 Y I c w B w y G y u V 1 6 H h Q h X e r C a H B Z X p h 5 r H 3 O p K 1 o Y G 6 G / Z r n 6 d V F b 4 v D z S 6 M i s J h P u E u i s Q U W K L A c B 7 T h o + V E 5 5 G z 3 c 1 n W 5 e E 2 V C 0 V S 7 n O 0 f s K O s b l O N E v 5 s Z m 7 y S y k b 8 0 H d Z d g 6 B / 4 5 f r v D X 4 S Y t 1 q 2 + o 0 A S R x o V i 7 m o w l F 8 J l y I C h l g 9 G r y L + H A s U r 6 a b n q y 8 I d U 7 0 D + m s / H h V 9 y + n F 4 4 Z 9 0 o 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c g > < / V i s u a l i z a t i o n L S t a t e > 
</file>

<file path=customXml/item19.xml>��< ? x m l   v e r s i o n = " 1 . 0 "   e n c o d i n g = " u t f - 1 6 " ? > < C u s t o m M a p L i s t   x m l n s : x s d = " h t t p : / / w w w . w 3 . o r g / 2 0 0 1 / X M L S c h e m a "   x m l n s : x s i = " h t t p : / / w w w . w 3 . o r g / 2 0 0 1 / X M L S c h e m a - i n s t a n c e "   x m l n s = " h t t p : / / m i c r o s o f t . d a t a . v i s u a l i z a t i o n . C l i e n t . E x c e l . C u s t o m M a p L i s t / 1 . 0 " > < m l > H 4 s I A A A A A A A E A L V S y 2 7 C M B D 8 F c v 3 E A K h B Z Q E I R A q E o + q o S o c T b I J V h M 7 j Z 2 G f l s P / a T + Q j c J B a o e e u r J u z v j n d m 1 P 9 8 / n N E x T c g r 5 I p L 4 V K r 1 a Y E R C B D L m K X F j o y + n T k O Z N C a Z k u W a Y W X G m C d 4 Q a H l X o 0 o P W 2 d A 0 y 7 J s l d 2 W z G O z 0 2 5 b 5 n a 5 8 I M D p I y e y f x v s s G F 0 k w E Q K 8 l r 2 L y K P h L A W c 7 c 3 S w Z 7 2 e 3 Y 1 s Y 3 / T t g 3 7 N r S N v h 1 1 j a 7 V G V j Q g / 4 g w q F W L A W X N h c J D k I s S u Y p i 2 H K V Z a w t w Z f S Q G n + h M P 9 W G N m 7 k D H h 8 0 7 g Y B t Y E 0 k z n L 3 1 w a s U R d j P o Z C 2 A K k e f M l V + y b M t E u P N q j m N e l x C f s I T v c 6 Z h L W Y 8 V 9 r T e Q E V 6 x e A 5 I U M n i G 8 d D r l z v j I 1 Z b 4 A U v g P m j s 1 c k 6 i h T o u o R j z 9 W 4 0 B L 7 B k W C g r i u x n Y F Y I N Z w r P s U v X q r g 9 M x E B m u U x d a l h 9 7 L K R O H 4 V m J 5 j 1 s I N c / f / + o O T f H V + q + / Q R f O S l 6 2 f C v i y Z 7 D 6 r j + S 6 u 9 6 X 3 d 9 5 o T 1 A g A A A A A A A A A A A A A A A A A A A A A A A A A A A A A A A A A A A A A A A A A A A A A A A A A A A A A A A A A A A A A A A A A A A A A A A A A A A A A A A A A A A A A A A A A A A A A A A A A A A A A A A A A A A A A A A A A A A A A A A A A A A A A A A A A A A A A A A A A A A A A A A A A = < / m l > < / C u s t o m M a p L i s t > 
</file>

<file path=customXml/item2.xml>��< ? x m l   v e r s i o n = " 1 . 0 "   e n c o d i n g = " U T F - 1 6 " ? > < G e m i n i   x m l n s = " h t t p : / / g e m i n i / p i v o t c u s t o m i z a t i o n / S a n d b o x N o n E m p t y " > < C u s t o m C o n t e n t > < ! [ C D A T A [ 1 ] ] > < / C u s t o m C o n t e n t > < / G e m i n i > 
</file>

<file path=customXml/item20.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 T a b l e 4 < / K e y > < V a l u e   x m l n s : a = " h t t p : / / s c h e m a s . d a t a c o n t r a c t . o r g / 2 0 0 4 / 0 7 / M i c r o s o f t . A n a l y s i s S e r v i c e s . C o m m o n " > < a : H a s F o c u s > f a l s e < / a : H a s F o c u s > < a : S i z e A t D p i 9 6 > 1 2 8 < / a : S i z e A t D p i 9 6 > < a : V i s i b l e > t r u e < / a : V i s i b l e > < / V a l u e > < / K e y V a l u e O f s t r i n g S a n d b o x E d i t o r . M e a s u r e G r i d S t a t e S c d E 3 5 R y > < K e y V a l u e O f s t r i n g S a n d b o x E d i t o r . M e a s u r e G r i d S t a t e S c d E 3 5 R y > < K e y > T a b l e 2 < / K e y > < V a l u e   x m l n s : a = " h t t p : / / s c h e m a s . d a t a c o n t r a c t . o r g / 2 0 0 4 / 0 7 / M i c r o s o f t . A n a l y s i s S e r v i c e s . C o m m o n " > < a : H a s F o c u s > f a l s e < / a : H a s F o c u s > < a : S i z e A t D p i 9 6 > 1 2 4 < / a : S i z e A t D p i 9 6 > < a : V i s i b l e > t r u e < / a : V i s i b l e > < / V a l u e > < / K e y V a l u e O f s t r i n g S a n d b o x E d i t o r . M e a s u r e G r i d S t a t e S c d E 3 5 R y > < K e y V a l u e O f s t r i n g S a n d b o x E d i t o r . M e a s u r e G r i d S t a t e S c d E 3 5 R y > < K e y > T a b l e 3 < / K e y > < V a l u e   x m l n s : a = " h t t p : / / s c h e m a s . d a t a c o n t r a c t . o r g / 2 0 0 4 / 0 7 / M i c r o s o f t . A n a l y s i s S e r v i c e s . C o m m o n " > < a : H a s F o c u s > t r u e < / a : H a s F o c u s > < a : S i z e A t D p i 9 6 > 1 2 5 < / a : S i z e A t D p i 9 6 > < a : V i s i b l e > t r u e < / a : V i s i b l e > < / V a l u e > < / K e y V a l u e O f s t r i n g S a n d b o x E d i t o r . M e a s u r e G r i d S t a t e S c d E 3 5 R y > < K e y V a l u e O f s t r i n g S a n d b o x E d i t o r . M e a s u r e G r i d S t a t e S c d E 3 5 R y > < K e y > T a b l e 5 < / K e y > < V a l u e   x m l n s : a = " h t t p : / / s c h e m a s . d a t a c o n t r a c t . o r g / 2 0 0 4 / 0 7 / M i c r o s o f t . A n a l y s i s S e r v i c e s . C o m m o n " > < a : H a s F o c u s > f a l s e < / a : H a s F o c u s > < a : S i z e A t D p i 9 6 > 1 2 4 < / a : S i z e A t D p i 9 6 > < a : V i s i b l e > t r u e < / a : V i s i b l e > < / V a l u e > < / K e y V a l u e O f s t r i n g S a n d b o x E d i t o r . M e a s u r e G r i d S t a t e S c d E 3 5 R y > < / A r r a y O f K e y V a l u e O f s t r i n g S a n d b o x E d i t o r . M e a s u r e G r i d S t a t e S c d E 3 5 R y > ] ] > < / C u s t o m C o n t e n t > < / G e m i n i > 
</file>

<file path=customXml/item21.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22.xml>��< ? x m l   v e r s i o n = " 1 . 0 "   e n c o d i n g = " U T F - 1 6 " ? > < G e m i n i   x m l n s = " h t t p : / / g e m i n i / p i v o t c u s t o m i z a t i o n / T a b l e X M L _ T a b l e 5 " > < C u s t o m C o n t e n t > < ! [ C D A T A [ < T a b l e W i d g e t G r i d S e r i a l i z a t i o n   x m l n s : x s d = " h t t p : / / w w w . w 3 . o r g / 2 0 0 1 / X M L S c h e m a "   x m l n s : x s i = " h t t p : / / w w w . w 3 . o r g / 2 0 0 1 / X M L S c h e m a - i n s t a n c e " > < C o l u m n S u g g e s t e d T y p e   / > < C o l u m n F o r m a t   / > < C o l u m n A c c u r a c y   / > < C o l u m n C u r r e n c y S y m b o l   / > < C o l u m n P o s i t i v e P a t t e r n   / > < C o l u m n N e g a t i v e P a t t e r n   / > < C o l u m n W i d t h s > < i t e m > < k e y > < s t r i n g > N o . < / s t r i n g > < / k e y > < v a l u e > < i n t > 7 0 < / i n t > < / v a l u e > < / i t e m > < i t e m > < k e y > < s t r i n g > N o . P O N < / s t r i n g > < / k e y > < v a l u e > < i n t > 1 0 5 < / i n t > < / v a l u e > < / i t e m > < i t e m > < k e y > < s t r i n g > T y p e     S t r u k t u r < / s t r i n g > < / k e y > < v a l u e > < i n t > 1 5 1 < / i n t > < / v a l u e > < / i t e m > < i t e m > < k e y > < s t r i n g > M a r k i n g   S t r u k t u r < / s t r i n g > < / k e y > < v a l u e > < i n t > 1 7 5 < / i n t > < / v a l u e > < / i t e m > < i t e m > < k e y > < s t r i n g > V e n d o r < / s t r i n g > < / k e y > < v a l u e > < i n t > 9 9 < / i n t > < / v a l u e > < / i t e m > < i t e m > < k e y > < s t r i n g > N o .   P O < / s t r i n g > < / k e y > < v a l u e > < i n t > 9 7 < / i n t > < / v a l u e > < / i t e m > < i t e m > < k e y > < s t r i n g > P u r c h a s e < / s t r i n g > < / k e y > < v a l u e > < i n t > 1 1 4 < / i n t > < / v a l u e > < / i t e m > < i t e m > < k e y > < s t r i n g > M a r k i n g   A k s e s o r i e s < / s t r i n g > < / k e y > < v a l u e > < i n t > 1 9 4 < / i n t > < / v a l u e > < / i t e m > < i t e m > < k e y > < s t r i n g > D i m e n s i / U k u r a n < / s t r i n g > < / k e y > < v a l u e > < i n t > 1 6 9 < / i n t > < / v a l u e > < / i t e m > < i t e m > < k e y > < s t r i n g > Q t y   ( p c s ) < / s t r i n g > < / k e y > < v a l u e > < i n t > 1 1 3 < / i n t > < / v a l u e > < / i t e m > < i t e m > < k e y > < s t r i n g > U n i t   ( S e t ) < / s t r i n g > < / k e y > < v a l u e > < i n t > 1 1 5 < / i n t > < / v a l u e > < / i t e m > < i t e m > < k e y > < s t r i n g > T o t a l     ( p c s ) < / s t r i n g > < / k e y > < v a l u e > < i n t > 1 2 5 < / i n t > < / v a l u e > < / i t e m > < i t e m > < k e y > < s t r i n g > B e r a t / p c s   ( K g ) < / s t r i n g > < / k e y > < v a l u e > < i n t > 1 5 2 < / i n t > < / v a l u e > < / i t e m > < i t e m > < k e y > < s t r i n g > T o t a l   B e r a t   ( K g ) < / s t r i n g > < / k e y > < v a l u e > < i n t > 1 5 9 < / i n t > < / v a l u e > < / i t e m > < i t e m > < k e y > < s t r i n g > S e n t   t o   P u r c h a s e < / s t r i n g > < / k e y > < v a l u e > < i n t > 1 7 2 < / i n t > < / v a l u e > < / i t e m > < i t e m > < k e y > < s t r i n g > S t a t u s   d a t a   d i k i r i m < / s t r i n g > < / k e y > < v a l u e > < i n t > 1 8 6 < / i n t > < / v a l u e > < / i t e m > < i t e m > < k e y > < s t r i n g > K e t e r a n g a n < / s t r i n g > < / k e y > < v a l u e > < i n t > 1 3 1 < / i n t > < / v a l u e > < / i t e m > < / C o l u m n W i d t h s > < C o l u m n D i s p l a y I n d e x > < i t e m > < k e y > < s t r i n g > N o . < / s t r i n g > < / k e y > < v a l u e > < i n t > 0 < / i n t > < / v a l u e > < / i t e m > < i t e m > < k e y > < s t r i n g > N o . P O N < / s t r i n g > < / k e y > < v a l u e > < i n t > 1 < / i n t > < / v a l u e > < / i t e m > < i t e m > < k e y > < s t r i n g > T y p e     S t r u k t u r < / s t r i n g > < / k e y > < v a l u e > < i n t > 2 < / i n t > < / v a l u e > < / i t e m > < i t e m > < k e y > < s t r i n g > M a r k i n g   S t r u k t u r < / s t r i n g > < / k e y > < v a l u e > < i n t > 3 < / i n t > < / v a l u e > < / i t e m > < i t e m > < k e y > < s t r i n g > V e n d o r < / s t r i n g > < / k e y > < v a l u e > < i n t > 4 < / i n t > < / v a l u e > < / i t e m > < i t e m > < k e y > < s t r i n g > N o .   P O < / s t r i n g > < / k e y > < v a l u e > < i n t > 5 < / i n t > < / v a l u e > < / i t e m > < i t e m > < k e y > < s t r i n g > P u r c h a s e < / s t r i n g > < / k e y > < v a l u e > < i n t > 6 < / i n t > < / v a l u e > < / i t e m > < i t e m > < k e y > < s t r i n g > M a r k i n g   A k s e s o r i e s < / s t r i n g > < / k e y > < v a l u e > < i n t > 7 < / i n t > < / v a l u e > < / i t e m > < i t e m > < k e y > < s t r i n g > D i m e n s i / U k u r a n < / s t r i n g > < / k e y > < v a l u e > < i n t > 8 < / i n t > < / v a l u e > < / i t e m > < i t e m > < k e y > < s t r i n g > Q t y   ( p c s ) < / s t r i n g > < / k e y > < v a l u e > < i n t > 9 < / i n t > < / v a l u e > < / i t e m > < i t e m > < k e y > < s t r i n g > U n i t   ( S e t ) < / s t r i n g > < / k e y > < v a l u e > < i n t > 1 0 < / i n t > < / v a l u e > < / i t e m > < i t e m > < k e y > < s t r i n g > T o t a l     ( p c s ) < / s t r i n g > < / k e y > < v a l u e > < i n t > 1 1 < / i n t > < / v a l u e > < / i t e m > < i t e m > < k e y > < s t r i n g > B e r a t / p c s   ( K g ) < / s t r i n g > < / k e y > < v a l u e > < i n t > 1 2 < / i n t > < / v a l u e > < / i t e m > < i t e m > < k e y > < s t r i n g > T o t a l   B e r a t   ( K g ) < / s t r i n g > < / k e y > < v a l u e > < i n t > 1 3 < / i n t > < / v a l u e > < / i t e m > < i t e m > < k e y > < s t r i n g > S e n t   t o   P u r c h a s e < / s t r i n g > < / k e y > < v a l u e > < i n t > 1 4 < / i n t > < / v a l u e > < / i t e m > < i t e m > < k e y > < s t r i n g > S t a t u s   d a t a   d i k i r i m < / s t r i n g > < / k e y > < v a l u e > < i n t > 1 5 < / i n t > < / v a l u e > < / i t e m > < i t e m > < k e y > < s t r i n g > K e t e r a n g a n < / s t r i n g > < / k e y > < v a l u e > < i n t > 1 6 < / i n t > < / v a l u e > < / i t e m > < / C o l u m n D i s p l a y I n d e x > < C o l u m n F r o z e n   / > < C o l u m n C h e c k e d   / > < C o l u m n F i l t e r   / > < S e l e c t i o n F i l t e r   / > < F i l t e r P a r a m e t e r s   / > < I s S o r t D e s c e n d i n g > f a l s e < / I s S o r t D e s c e n d i n g > < / T a b l e W i d g e t G r i d S e r i a l i z a t i o n > ] ] > < / C u s t o m C o n t e n t > < / G e m i n i > 
</file>

<file path=customXml/item23.xml>��< ? x m l   v e r s i o n = " 1 . 0 "   e n c o d i n g = " U T F - 1 6 " ? > < G e m i n i   x m l n s = " h t t p : / / g e m i n i / p i v o t c u s t o m i z a t i o n / I s S a n d b o x E m b e d d e d " > < C u s t o m C o n t e n t > < ! [ C D A T A [ y e s ] ] > < / C u s t o m C o n t e n t > < / G e m i n i > 
</file>

<file path=customXml/item24.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 T a b l e 3 < / 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 T a b l e 3 < / 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 C o l u m n s \ N o . < / K e y > < / a : K e y > < a : V a l u e   i : t y p e = " T a b l e W i d g e t B a s e V i e w S t a t e " / > < / a : K e y V a l u e O f D i a g r a m O b j e c t K e y a n y T y p e z b w N T n L X > < a : K e y V a l u e O f D i a g r a m O b j e c t K e y a n y T y p e z b w N T n L X > < a : K e y > < K e y > C o l u m n s \ N o . P O N < / K e y > < / a : K e y > < a : V a l u e   i : t y p e = " T a b l e W i d g e t B a s e V i e w S t a t e " / > < / a : K e y V a l u e O f D i a g r a m O b j e c t K e y a n y T y p e z b w N T n L X > < a : K e y V a l u e O f D i a g r a m O b j e c t K e y a n y T y p e z b w N T n L X > < a : K e y > < K e y > C o l u m n s \ V e n d o r < / K e y > < / a : K e y > < a : V a l u e   i : t y p e = " T a b l e W i d g e t B a s e V i e w S t a t e " / > < / a : K e y V a l u e O f D i a g r a m O b j e c t K e y a n y T y p e z b w N T n L X > < a : K e y V a l u e O f D i a g r a m O b j e c t K e y a n y T y p e z b w N T n L X > < a : K e y > < K e y > C o l u m n s \ T y p e     S t r u k t u r < / K e y > < / a : K e y > < a : V a l u e   i : t y p e = " T a b l e W i d g e t B a s e V i e w S t a t e " / > < / a : K e y V a l u e O f D i a g r a m O b j e c t K e y a n y T y p e z b w N T n L X > < a : K e y V a l u e O f D i a g r a m O b j e c t K e y a n y T y p e z b w N T n L X > < a : K e y > < K e y > C o l u m n s \ M a r k i n g   S t r u k t u r < / K e y > < / a : K e y > < a : V a l u e   i : t y p e = " T a b l e W i d g e t B a s e V i e w S t a t e " / > < / a : K e y V a l u e O f D i a g r a m O b j e c t K e y a n y T y p e z b w N T n L X > < a : K e y V a l u e O f D i a g r a m O b j e c t K e y a n y T y p e z b w N T n L X > < a : K e y > < K e y > C o l u m n s \ B e r a t   F a b r i k a s i < / K e y > < / a : K e y > < a : V a l u e   i : t y p e = " T a b l e W i d g e t B a s e V i e w S t a t e " / > < / a : K e y V a l u e O f D i a g r a m O b j e c t K e y a n y T y p e z b w N T n L X > < a : K e y V a l u e O f D i a g r a m O b j e c t K e y a n y T y p e z b w N T n L X > < a : K e y > < K e y > C o l u m n s \ D a t e   R e l e a s e   S D < / K e y > < / a : K e y > < a : V a l u e   i : t y p e = " T a b l e W i d g e t B a s e V i e w S t a t e " / > < / a : K e y V a l u e O f D i a g r a m O b j e c t K e y a n y T y p e z b w N T n L X > < a : K e y V a l u e O f D i a g r a m O b j e c t K e y a n y T y p e z b w N T n L X > < a : K e y > < K e y > C o l u m n s \ D a t e   S t a r t     P O N < / K e y > < / a : K e y > < a : V a l u e   i : t y p e = " T a b l e W i d g e t B a s e V i e w S t a t e " / > < / a : K e y V a l u e O f D i a g r a m O b j e c t K e y a n y T y p e z b w N T n L X > < a : K e y V a l u e O f D i a g r a m O b j e c t K e y a n y T y p e z b w N T n L X > < a : K e y > < K e y > C o l u m n s \ D a t e   F i n i s h     P O N < / K e y > < / a : K e y > < a : V a l u e   i : t y p e = " T a b l e W i d g e t B a s e V i e w S t a t e " / > < / a : K e y V a l u e O f D i a g r a m O b j e c t K e y a n y T y p e z b w N T n L X > < a : K e y V a l u e O f D i a g r a m O b j e c t K e y a n y T y p e z b w N T n L X > < a : K e y > < K e y > C o l u m n s \ D a t e   F i n i s h     A k t u a l < / K e y > < / a : K e y > < a : V a l u e   i : t y p e = " T a b l e W i d g e t B a s e V i e w S t a t e " / > < / a : K e y V a l u e O f D i a g r a m O b j e c t K e y a n y T y p e z b w N T n L X > < a : K e y V a l u e O f D i a g r a m O b j e c t K e y a n y T y p e z b w N T n L X > < a : K e y > < K e y > C o l u m n s \ P r o g r e s s   ( % ) < / K e y > < / a : K e y > < a : V a l u e   i : t y p e = " T a b l e W i d g e t B a s e V i e w S t a t e " / > < / a : K e y V a l u e O f D i a g r a m O b j e c t K e y a n y T y p e z b w N T n L X > < a : K e y V a l u e O f D i a g r a m O b j e c t K e y a n y T y p e z b w N T n L X > < a : K e y > < K e y > C o l u m n s \ I S S U E < / K e y > < / a : K e y > < a : V a l u e   i : t y p e = " T a b l e W i d g e t B a s e V i e w S t a t e " / > < / a : K e y V a l u e O f D i a g r a m O b j e c t K e y a n y T y p e z b w N T n L X > < a : K e y V a l u e O f D i a g r a m O b j e c t K e y a n y T y p e z b w N T n L X > < a : K e y > < K e y > C o l u m n s \ S T A T U S < / K e y > < / a : K e y > < a : V a l u e   i : t y p e = " T a b l e W i d g e t B a s e V i e w S t a t e " / > < / a : K e y V a l u e O f D i a g r a m O b j e c t K e y a n y T y p e z b w N T n L X > < a : K e y V a l u e O f D i a g r a m O b j e c t K e y a n y T y p e z b w N T n L X > < a : K e y > < K e y > C o l u m n s \ K e t e r a n g a n 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 C o l u m n s \ N o . < / K e y > < / a : K e y > < a : V a l u e   i : t y p e = " T a b l e W i d g e t B a s e V i e w S t a t e " / > < / a : K e y V a l u e O f D i a g r a m O b j e c t K e y a n y T y p e z b w N T n L X > < a : K e y V a l u e O f D i a g r a m O b j e c t K e y a n y T y p e z b w N T n L X > < a : K e y > < K e y > C o l u m n s \ N O .   P O N < / K e y > < / a : K e y > < a : V a l u e   i : t y p e = " T a b l e W i d g e t B a s e V i e w S t a t e " / > < / a : K e y V a l u e O f D i a g r a m O b j e c t K e y a n y T y p e z b w N T n L X > < a : K e y V a l u e O f D i a g r a m O b j e c t K e y a n y T y p e z b w N T n L X > < a : K e y > < K e y > C o l u m n s \ T y p e     S t r u k t u r < / K e y > < / a : K e y > < a : V a l u e   i : t y p e = " T a b l e W i d g e t B a s e V i e w S t a t e " / > < / a : K e y V a l u e O f D i a g r a m O b j e c t K e y a n y T y p e z b w N T n L X > < a : K e y V a l u e O f D i a g r a m O b j e c t K e y a n y T y p e z b w N T n L X > < a : K e y > < K e y > C o l u m n s \ Q t y   ( U n i t ) < / K e y > < / a : K e y > < a : V a l u e   i : t y p e = " T a b l e W i d g e t B a s e V i e w S t a t e " / > < / a : K e y V a l u e O f D i a g r a m O b j e c t K e y a n y T y p e z b w N T n L X > < a : K e y V a l u e O f D i a g r a m O b j e c t K e y a n y T y p e z b w N T n L X > < a : K e y > < K e y > C o l u m n s \ M a r k i n g   S t r u k t u r < / K e y > < / a : K e y > < a : V a l u e   i : t y p e = " T a b l e W i d g e t B a s e V i e w S t a t e " / > < / a : K e y V a l u e O f D i a g r a m O b j e c t K e y a n y T y p e z b w N T n L X > < a : K e y V a l u e O f D i a g r a m O b j e c t K e y a n y T y p e z b w N T n L X > < a : K e y > < K e y > C o l u m n s \ D e s k r i p s i     P e k e r j a a n < / K e y > < / a : K e y > < a : V a l u e   i : t y p e = " T a b l e W i d g e t B a s e V i e w S t a t e " / > < / a : K e y V a l u e O f D i a g r a m O b j e c t K e y a n y T y p e z b w N T n L X > < a : K e y V a l u e O f D i a g r a m O b j e c t K e y a n y T y p e z b w N T n L X > < a : K e y > < K e y > C o l u m n s \ C l i e n t < / K e y > < / a : K e y > < a : V a l u e   i : t y p e = " T a b l e W i d g e t B a s e V i e w S t a t e " / > < / a : K e y V a l u e O f D i a g r a m O b j e c t K e y a n y T y p e z b w N T n L X > < a : K e y V a l u e O f D i a g r a m O b j e c t K e y a n y T y p e z b w N T n L X > < a : K e y > < K e y > C o l u m n s \ D a e r a h < / K e y > < / a : K e y > < a : V a l u e   i : t y p e = " T a b l e W i d g e t B a s e V i e w S t a t e " / > < / a : K e y V a l u e O f D i a g r a m O b j e c t K e y a n y T y p e z b w N T n L X > < a : K e y V a l u e O f D i a g r a m O b j e c t K e y a n y T y p e z b w N T n L X > < a : K e y > < K e y > C o l u m n s \ T o t a l   B e r a t   ( K g ) < / K e y > < / a : K e y > < a : V a l u e   i : t y p e = " T a b l e W i d g e t B a s e V i e w S t a t e " / > < / a : K e y V a l u e O f D i a g r a m O b j e c t K e y a n y T y p e z b w N T n L X > < a : K e y V a l u e O f D i a g r a m O b j e c t K e y a n y T y p e z b w N T n L X > < a : K e y > < K e y > C o l u m n s \ S t a t u s < / K e y > < / a : K e y > < a : V a l u e   i : t y p e = " T a b l e W i d g e t B a s e V i e w S t a t e " / > < / a : K e y V a l u e O f D i a g r a m O b j e c t K e y a n y T y p e z b w N T n L X > < a : K e y V a l u e O f D i a g r a m O b j e c t K e y a n y T y p e z b w N T n L X > < a : K e y > < K e y > C o l u m n s \ M a r k e t i n g < / K e y > < / a : K e y > < a : V a l u e   i : t y p e = " T a b l e W i d g e t B a s e V i e w S t a t e " / > < / a : K e y V a l u e O f D i a g r a m O b j e c t K e y a n y T y p e z b w N T n L X > < a : K e y V a l u e O f D i a g r a m O b j e c t K e y a n y T y p e z b w N T n L X > < a : K e y > < K e y > C o l u m n s \ P R O G R E S S   ( % ) < / K e y > < / a : K e y > < a : V a l u e   i : t y p e = " T a b l e W i d g e t B a s e V i e w S t a t e " / > < / a : K e y V a l u e O f D i a g r a m O b j e c t K e y a n y T y p e z b w N T n L X > < a : K e y V a l u e O f D i a g r a m O b j e c t K e y a n y T y p e z b w N T n L X > < a : K e y > < K e y > C o l u m n s \ D a t e   P O N < / K e y > < / a : K e y > < a : V a l u e   i : t y p e = " T a b l e W i d g e t B a s e V i e w S t a t e " / > < / a : K e y V a l u e O f D i a g r a m O b j e c t K e y a n y T y p e z b w N T n L X > < a : K e y V a l u e O f D i a g r a m O b j e c t K e y a n y T y p e z b w N T n L X > < a : K e y > < K e y > C o l u m n s \ D a t e   F i n i s h 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 T a b l e 5 < / 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 T a b l e 5 < / 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 C o l u m n s \ N o . < / K e y > < / a : K e y > < a : V a l u e   i : t y p e = " T a b l e W i d g e t B a s e V i e w S t a t e " / > < / a : K e y V a l u e O f D i a g r a m O b j e c t K e y a n y T y p e z b w N T n L X > < a : K e y V a l u e O f D i a g r a m O b j e c t K e y a n y T y p e z b w N T n L X > < a : K e y > < K e y > C o l u m n s \ N o . P O N < / K e y > < / a : K e y > < a : V a l u e   i : t y p e = " T a b l e W i d g e t B a s e V i e w S t a t e " / > < / a : K e y V a l u e O f D i a g r a m O b j e c t K e y a n y T y p e z b w N T n L X > < a : K e y V a l u e O f D i a g r a m O b j e c t K e y a n y T y p e z b w N T n L X > < a : K e y > < K e y > C o l u m n s \ T y p e     S t r u k t u r < / K e y > < / a : K e y > < a : V a l u e   i : t y p e = " T a b l e W i d g e t B a s e V i e w S t a t e " / > < / a : K e y V a l u e O f D i a g r a m O b j e c t K e y a n y T y p e z b w N T n L X > < a : K e y V a l u e O f D i a g r a m O b j e c t K e y a n y T y p e z b w N T n L X > < a : K e y > < K e y > C o l u m n s \ M a r k i n g   S t r u k t u r < / K e y > < / a : K e y > < a : V a l u e   i : t y p e = " T a b l e W i d g e t B a s e V i e w S t a t e " / > < / a : K e y V a l u e O f D i a g r a m O b j e c t K e y a n y T y p e z b w N T n L X > < a : K e y V a l u e O f D i a g r a m O b j e c t K e y a n y T y p e z b w N T n L X > < a : K e y > < K e y > C o l u m n s \ V e n d o r < / K e y > < / a : K e y > < a : V a l u e   i : t y p e = " T a b l e W i d g e t B a s e V i e w S t a t e " / > < / a : K e y V a l u e O f D i a g r a m O b j e c t K e y a n y T y p e z b w N T n L X > < a : K e y V a l u e O f D i a g r a m O b j e c t K e y a n y T y p e z b w N T n L X > < a : K e y > < K e y > C o l u m n s \ N o .   P O < / K e y > < / a : K e y > < a : V a l u e   i : t y p e = " T a b l e W i d g e t B a s e V i e w S t a t e " / > < / a : K e y V a l u e O f D i a g r a m O b j e c t K e y a n y T y p e z b w N T n L X > < a : K e y V a l u e O f D i a g r a m O b j e c t K e y a n y T y p e z b w N T n L X > < a : K e y > < K e y > C o l u m n s \ P u r c h a s e < / K e y > < / a : K e y > < a : V a l u e   i : t y p e = " T a b l e W i d g e t B a s e V i e w S t a t e " / > < / a : K e y V a l u e O f D i a g r a m O b j e c t K e y a n y T y p e z b w N T n L X > < a : K e y V a l u e O f D i a g r a m O b j e c t K e y a n y T y p e z b w N T n L X > < a : K e y > < K e y > C o l u m n s \ M a r k i n g   A k s e s o r i e s < / K e y > < / a : K e y > < a : V a l u e   i : t y p e = " T a b l e W i d g e t B a s e V i e w S t a t e " / > < / a : K e y V a l u e O f D i a g r a m O b j e c t K e y a n y T y p e z b w N T n L X > < a : K e y V a l u e O f D i a g r a m O b j e c t K e y a n y T y p e z b w N T n L X > < a : K e y > < K e y > C o l u m n s \ D i m e n s i / U k u r a n < / K e y > < / a : K e y > < a : V a l u e   i : t y p e = " T a b l e W i d g e t B a s e V i e w S t a t e " / > < / a : K e y V a l u e O f D i a g r a m O b j e c t K e y a n y T y p e z b w N T n L X > < a : K e y V a l u e O f D i a g r a m O b j e c t K e y a n y T y p e z b w N T n L X > < a : K e y > < K e y > C o l u m n s \ Q t y   ( p c s ) < / K e y > < / a : K e y > < a : V a l u e   i : t y p e = " T a b l e W i d g e t B a s e V i e w S t a t e " / > < / a : K e y V a l u e O f D i a g r a m O b j e c t K e y a n y T y p e z b w N T n L X > < a : K e y V a l u e O f D i a g r a m O b j e c t K e y a n y T y p e z b w N T n L X > < a : K e y > < K e y > C o l u m n s \ U n i t   ( S e t ) < / K e y > < / a : K e y > < a : V a l u e   i : t y p e = " T a b l e W i d g e t B a s e V i e w S t a t e " / > < / a : K e y V a l u e O f D i a g r a m O b j e c t K e y a n y T y p e z b w N T n L X > < a : K e y V a l u e O f D i a g r a m O b j e c t K e y a n y T y p e z b w N T n L X > < a : K e y > < K e y > C o l u m n s \ T o t a l     ( p c s ) < / K e y > < / a : K e y > < a : V a l u e   i : t y p e = " T a b l e W i d g e t B a s e V i e w S t a t e " / > < / a : K e y V a l u e O f D i a g r a m O b j e c t K e y a n y T y p e z b w N T n L X > < a : K e y V a l u e O f D i a g r a m O b j e c t K e y a n y T y p e z b w N T n L X > < a : K e y > < K e y > C o l u m n s \ B e r a t / p c s   ( K g ) < / K e y > < / a : K e y > < a : V a l u e   i : t y p e = " T a b l e W i d g e t B a s e V i e w S t a t e " / > < / a : K e y V a l u e O f D i a g r a m O b j e c t K e y a n y T y p e z b w N T n L X > < a : K e y V a l u e O f D i a g r a m O b j e c t K e y a n y T y p e z b w N T n L X > < a : K e y > < K e y > C o l u m n s \ T o t a l   B e r a t   ( K g ) < / K e y > < / a : K e y > < a : V a l u e   i : t y p e = " T a b l e W i d g e t B a s e V i e w S t a t e " / > < / a : K e y V a l u e O f D i a g r a m O b j e c t K e y a n y T y p e z b w N T n L X > < a : K e y V a l u e O f D i a g r a m O b j e c t K e y a n y T y p e z b w N T n L X > < a : K e y > < K e y > C o l u m n s \ S e n t   t o   P u r c h a s e < / K e y > < / a : K e y > < a : V a l u e   i : t y p e = " T a b l e W i d g e t B a s e V i e w S t a t e " / > < / a : K e y V a l u e O f D i a g r a m O b j e c t K e y a n y T y p e z b w N T n L X > < a : K e y V a l u e O f D i a g r a m O b j e c t K e y a n y T y p e z b w N T n L X > < a : K e y > < K e y > C o l u m n s \ S t a t u s   d a t a   d i k i r i m < / K e y > < / a : K e y > < a : V a l u e   i : t y p e = " T a b l e W i d g e t B a s e V i e w S t a t e " / > < / a : K e y V a l u e O f D i a g r a m O b j e c t K e y a n y T y p e z b w N T n L X > < a : K e y V a l u e O f D i a g r a m O b j e c t K e y a n y T y p e z b w N T n L X > < a : K e y > < K e y > C o l u m n s \ K e t e r a n g a n 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 T a b l e 4 < / 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 T a b l e 4 < / 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 C o l u m n s \ N o . < / K e y > < / a : K e y > < a : V a l u e   i : t y p e = " T a b l e W i d g e t B a s e V i e w S t a t e " / > < / a : K e y V a l u e O f D i a g r a m O b j e c t K e y a n y T y p e z b w N T n L X > < a : K e y V a l u e O f D i a g r a m O b j e c t K e y a n y T y p e z b w N T n L X > < a : K e y > < K e y > C o l u m n s \ N o . P O N < / K e y > < / a : K e y > < a : V a l u e   i : t y p e = " T a b l e W i d g e t B a s e V i e w S t a t e " / > < / a : K e y V a l u e O f D i a g r a m O b j e c t K e y a n y T y p e z b w N T n L X > < a : K e y V a l u e O f D i a g r a m O b j e c t K e y a n y T y p e z b w N T n L X > < a : K e y > < K e y > C o l u m n s \ T y p e     S t r u k t u r < / K e y > < / a : K e y > < a : V a l u e   i : t y p e = " T a b l e W i d g e t B a s e V i e w S t a t e " / > < / a : K e y V a l u e O f D i a g r a m O b j e c t K e y a n y T y p e z b w N T n L X > < a : K e y V a l u e O f D i a g r a m O b j e c t K e y a n y T y p e z b w N T n L X > < a : K e y > < K e y > C o l u m n s \ M a r k i n g   S t r u k t u r < / K e y > < / a : K e y > < a : V a l u e   i : t y p e = " T a b l e W i d g e t B a s e V i e w S t a t e " / > < / a : K e y V a l u e O f D i a g r a m O b j e c t K e y a n y T y p e z b w N T n L X > < a : K e y V a l u e O f D i a g r a m O b j e c t K e y a n y T y p e z b w N T n L X > < a : K e y > < K e y > C o l u m n s \ D a t e   I s s u e < / K e y > < / a : K e y > < a : V a l u e   i : t y p e = " T a b l e W i d g e t B a s e V i e w S t a t e " / > < / a : K e y V a l u e O f D i a g r a m O b j e c t K e y a n y T y p e z b w N T n L X > < a : K e y V a l u e O f D i a g r a m O b j e c t K e y a n y T y p e z b w N T n L X > < a : K e y > < K e y > C o l u m n s \ I S S U E 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3.xml>��< ? x m l   v e r s i o n = " 1 . 0 "   e n c o d i n g = " U T F - 1 6 " ? > < G e m i n i   x m l n s = " h t t p : / / g e m i n i / p i v o t c u s t o m i z a t i o n / R e l a t i o n s h i p A u t o D e t e c t i o n E n a b l e d " > < C u s t o m C o n t e n t > < ! [ C D A T A [ T r u e ] ] > < / C u s t o m C o n t e n t > < / G e m i n i > 
</file>

<file path=customXml/item4.xml>��< ? x m l   v e r s i o n = " 1 . 0 "   e n c o d i n g = " u t f - 1 6 " ? > < V i s u a l i z a t i o n   x m l n s : x s d = " h t t p : / / w w w . w 3 . o r g / 2 0 0 1 / X M L S c h e m a "   x m l n s : x s i = " h t t p : / / w w w . w 3 . o r g / 2 0 0 1 / X M L S c h e m a - i n s t a n c e "   x m l n s = " h t t p : / / m i c r o s o f t . d a t a . v i s u a l i z a t i o n . C l i e n t . E x c e l / 1 . 0 " > < T o u r s > < T o u r   N a m e = " T o u r   1 "   I d = " { 3 D 9 1 D 7 4 9 - 8 B 2 7 - 4 C A A - B 9 C 1 - 5 6 2 0 1 F A 6 9 8 E 5 } "   T o u r I d = " 6 d b c 2 4 d f - 7 4 8 e - 4 4 7 1 - b 0 f c - 1 e 0 1 7 7 e 7 7 5 a 4 "   X m l V e r = " 6 "   M i n X m l V e r = " 3 " > < D e s c r i p t i o n > S o m e   d e s c r i p t i o n   f o r   t h e   t o u r   g o e s   h e r e < / D e s c r i p t i o n > < I m a g e > i V B O R w 0 K G g o A A A A N S U h E U g A A A N Q A A A B 1 C A Y A A A A 2 n s 9 T A A A A A X N S R 0 I A r s 4 c 6 Q A A A A R n Q U 1 B A A C x j w v 8 Y Q U A A A A J c E h Z c w A A A 2 A A A A N g A b T C 1 p 0 A A B p a S U R B V H h e 7 Z 0 J V 5 r J t o Z f Z Q Z B B g e c 5 z E x G m c 0 i U l M d 7 r P f 7 k / 4 a 5 1 1 v 1 R 5 5 z u d D o 5 6 Q y a p G P M o D G D i X G e B 2 R Q Q G 7 t 4 i O g A i I C Q l L P W i y q P k A G 6 6 1 d u 2 r X r p z / + 9 / / 8 S O N y G Q y 3 L 7 Z J 9 U O 8 6 8 7 j 6 V S 5 t D c 3 I h 3 7 9 5 L t c R R a 7 S 4 e a W D l 7 0 + 4 P c / M + + 7 J k p u b i 4 O D g 6 k 2 u n o 7 e / H s 9 F R + P 3 H m + G v P w 0 g R y o T 8 0 v r G H 8 9 h d u 3 B j D 5 Y R Z f Z 2 a l R z K H X O k + b U T 7 4 f e 9 i f 1 D U k 0 y x E S 4 X U 5 s O 7 1 4 8 X I S P p 8 H v 9 6 y 4 R + s w d y 6 Y Z O e k X 3 I 5 H I 0 t F 5 E v 6 1 X u n J 6 o o m J C B c T M f l + h t 9 v 2 D 0 Z K S Y i 7 Y K i H y / S z / f n f 5 9 K p e + X R 4 + f I z 9 f j 8 l 3 0 / j P n U f Y 3 X V C K c 9 B X + 9 l 5 M i U 0 r O y h 9 s 3 e t F Q Z o B R m 8 s 7 h 5 y c o x I 4 G 0 f b y f X B T n 7 / a v w 1 v 8 9 E 0 i 4 o Y v T F e 6 y s b / H b w 9 H X f K i X 6 J A h q / A f Y G F p A x 2 X m m D r a 2 f l V e w 6 n N h z 7 q K 7 v V 5 6 U n Y w N H T c s k a z N E e h I W J Q f L F e 8 2 / W L r a d g X a x u + e H X M a s F n v d n t v N r 2 U i 5 y K o j f U 1 P H 8 x w W 8 7 O 3 b p 6 o / B 3 v 4 + v 1 c o 5 N x S L a + s Y 2 V 1 H Q V m Y 8 B n S H I v n w q M Z g t 0 y u O f k z 6 / Q q l E d X 3 s z o E 6 z 3 j F 9 + j R C O 9 w H z x 4 A h / T V r y v O y / S P i m R 7 V C D / 2 X Y h t U t J 5 4 / f y l d j R 9 6 P f l P 9 K N 7 P B 4 o F Y r A A 2 E 8 e P K K D Q d 3 p V p m c e 2 q D T p V D v s e 0 o U o e A / 8 + O P e 6 I 8 x 8 g j j X C x U N k M 9 J D W m I p O W + w 3 B 2 + 3 h f l y 9 0 i M 9 K z r B H p b a Y y Q x P X 4 2 g W u 2 S 1 I t 8 5 i Y n D p R T P Q N 6 S k q l Y r X i W y w v M l A C C o B x q c W p V I I G f M L 9 B o F F 9 d J L G 1 5 p d J x 2 t p a + L 2 S D Z 0 y C Y / X j / 2 9 f f R e b p a u R M a 5 7 + e + z 2 9 3 n 8 D l c k l X M 3 + o l i y E o B J g / u t n v H 0 / J 9 W O 0 9 U d W G + K x q 4 r u l O t V w d 6 8 q r q S n 5 / n u j 1 O m 5 p h o d 6 I M 8 9 g N f r Z U M 4 P 3 b s D u 7 7 j b 9 5 j + k v c 1 h d 2 4 R r z w v H 3 g G 0 z L e 6 d i X y O m O y K S w p k 0 q Z g / C h z k B 3 z 2 U U G T V S 7 T C x F q k t R V b 0 t d d K t c i M T c x i c T 6 x t R a V S o k 9 Z k 3 O y o 3 r z N f z u v F 4 Z B w W i x G 1 1 e X w + n x w O F z Q 5 2 m h Z O / j P / A x 6 w M 8 + f s d N j Z 3 Y N C F h n m p J l c m w w H 7 P J m E 7 M Z Q 3 z + l s u C U L C w s w e 2 T o c i i P 7 Y I 2 V B X g V y l D u t r a 9 K V E C 7 H L o p L y 6 B S R P c r x l 6 + l U q n p 6 y q B t u b G 1 I t M T p 7 u m H S y a F g f l 5 x s Q X l p c X Q q F W Y e v 8 Z d b U V 0 G k 1 z A e U 8 6 G p i t 1 q q 0 s x N 7 c k v T o 9 Z O I w U g z 5 z s j s z B f u M 0 Q K 9 K i r M O O X W w M R / a G H D 0 f A R k 9 R K S k t l U q n 5 + v 0 R 6 m U G C Q m q z H 0 m U k 8 t H Z E z M 2 v f C u H Q 7 / B j + I n x U I I K k n 8 f v d x R I H k M i N 0 a 6 g b g 4 P H / Y q 7 9 6 N H h + S b z V I p f d B M X E V F + S E x h W P f d f D n 0 A T M U S h G U y A E l T C l Z c c t y N 0 H z w + F y y x s h C Y f 8 r U y V L C h W D g e 5 u R H 6 9 P l f o 9 U S i 1 k C Q d s 3 b g 9 P M D X x 9 q a Q 5 M h t J Y U 7 C T c z C c b G 5 / C z a H I c X s 9 f Y n H 8 3 1 P C E E l y O L C I r r 7 D l s d z / 4 + N h y h s V + u T I H F s C n y t s a S Y 4 G k N F T a c R 5 3 r C t L L b h 5 P b W B s 9 e u 2 d B x o R r G P C W z O t J F i c X t A 8 i Z e S U L S 9 A C 7 e r q B t T q y N b L r M v B j a F + q X a + N L c G l h 7 O A y G o B C F / 4 f n o q F Q L M f p 4 B K / e B 9 a p r P k y l B j l v B z E n C e H 2 V K A 3 p 7 2 b 4 u d D x + N 4 t V k I J I 6 H L W C I h K i T 1 y c F Q q D G n + / B L c 3 Z C f 3 W Z m s U k l + q G n Q o / c f P M M / b l + J 6 D 8 F c b r c K f 2 8 J 5 F v M q O 6 6 Q K 2 N o 5 P B K U L I a g U M D f z G f / + 4 0 n E i Q q i v 7 M R + X o d 3 7 p B k x b E 3 N w 8 n 2 r f O m K t u r q 7 p F L i 1 N V W I i f 3 s I 9 D D V + r U u J i n R W b j o C I H P t + K O Q h q x R k a 3 s H K p W C W a f Y U + K G P O 2 5 T k z k G f L x Z e o t l p Z W p S v p R w g q R V D D u v P n E 6 l 2 H A V r 3 3 R z e / z o H w g N l R 4 z a 0 X C 2 n F 5 e Y + f p z p b L J z N 1 o P a K i v 8 P g + G h 7 q 5 g O u a W z H M h p M a Z Q 6 P 4 L Y a c r C y s o Y X z 8 f 4 f q 1 9 T 8 B / s z u c e D 3 x A e O v P + D K Q N e J 1 o e + D 2 3 + S z b 0 v j / f j P 1 3 a 5 t a 0 c I 6 B 4 K m + s 8 L s Q 6 V J G g o 9 A t z 6 q e / z B / q p e v r K o 6 t U Y W j k O X w h u 3 a P z g U e T 8 7 u 4 D N r V 1 8 m N 1 B n k 6 D / b 3 E t i y 0 t V T z W b m K 8 m K M P H u D q g o r L A Y V 3 G 4 X f B S 4 y j 7 q + s Y 2 s 1 B + t L b U w c A s 5 5 u J T 3 j L b v o 8 H X u d F a U l h X w N K h 7 I u t F 3 t r M O w R E l w J f E u b G 5 i 3 0 p 8 j 4 W l m I r h m y X M D W 9 g K 2 t L e n q c W y d D V h c 3 U F z c z 2 a 6 8 r w Y f p 8 N i A K Q S U J E t H n r 4 v 4 5 W b f o X + m S p s P o / 7 k x k i R C J 9 n 5 t H X 3 8 O H f w R F O 1 C k g m d / j 9 d P C 0 1 l 1 9 e U 8 7 J c L o f J a M B / / 3 q O N + 8 + I d + g w 6 d P s 1 h Z 2 0 C B x Y R C 9 v 6 e g x w e s F t e W o S a 6 n I Y 8 / P Y 6 2 R 8 q 0 k 8 U D 8 y M v a R D w + 1 7 L b M r F 4 k L j b X M G E X 8 8 X v + t o K 1 L L P W F h o w u a 2 C w d e b 2 A 4 q s t D W V k Z O p o r s c 2 G w a 9 f x 1 7 o N l n M r G P Y Q q H Z g N / / H J G u p h 8 R e p R k L E X F W F 9 Z l m q B 4 Q p N R 8 e C / B c a T Z E l I 7 + L 1 r S S Q a T 3 J k t E M 3 Z y a d 3 I z U Z 3 D m Y d a Q J E z f y n o 7 N 9 p + G 3 P 0 f h i x I K R G F C 1 N m Q 6 O i 7 0 v 3 G 7 h 4 s r L O h c n B 6 n i w c P R 6 E 9 k D 9 F s f v U V 3 X g N b a Q l 4 e H Z v C + t o 6 L 6 c b I a g 0 M H i l H / m a 2 C 2 V h O T Y 8 / M g 0 2 J j w A e g K f W z Q v F 4 m g g h T m u 7 B 3 y 4 u b 7 l Q G 1 J n n Q 1 c Z z u f d x n 1 i 8 a 3 f 3 9 + D t G / o h w c i V F 0 T N P M 8 l x u b 0 F Y + O T v C M 5 z e u S i Z i U S A O P H o 7 g z v 1 n U i 0 y c v a f y N f k w M r E x J s T a w / J i D 6 4 / 9 / Q 8 G f H 5 c c 2 u 1 H a A d e + n 8 / q J U N M x N f Z 4 1 t a w t l e W 4 6 7 k X M r y m 6 n F Y W K Z k U Y 0 V 5 H Q q N b K h G C S h O 0 O 9 f J h l b x Q M 3 h 3 q O X 3 4 Z P u U e m v E 9 D W 0 c 7 d t x + 7 H n 8 M D D B k m i v 9 L W h w i x D a d h a 0 1 n 5 w v z H W J S V p C 6 U 6 h L 7 j j Q p p N D E 7 h x I a H S r r K 6 W r g T Q a r X Q 5 S W n Y x G C S i N k L Y K + Q i y o D z W F x f I d H C S + R e H V 2 E s + F R 8 r s v 2 s k E E 4 a a t 7 + O 7 d a F D H 8 f P w A C y F R d K V + J h 8 O 4 n r Q 3 3 4 6 6 8 R 6 P R 6 6 W p 0 v n 7 5 w u 9 p X e 3 W z Q F c H + z g M 4 m 0 O b S z 8 x J 0 O m 3 E B e x 4 p u O F D 5 V C K N 5 v Y X 5 B q g W g B C c D X U 1 S L T b r z M + Z m 1 / G w u y X U w 9 / w q l t b I X J Z E C x I T X 9 p 4 f p / U 6 M x J 2 0 N k U f n y Y 8 f g + b u B i 8 Y m M + o x 9 F z F L S Z M T f b 2 e w v D C f U h + o v K I S K o 0 G F S U m a J W x f 4 / g n r Y i a w l W l g I W 2 F J o R U t j J R 4 + i h z Y L K b N U 0 i R t Z i J q g S r K 6 G V e 7 f L B X O R F V r V y c M 4 2 v 1 q L d C z 3 l 2 N l d X E 9 z d R K M 7 C 3 B w K W c N Q n 9 C I T s v f b z 7 j 1 e t J q X Y c g 9 G I 6 r L C w O w d q 5 e W l m J j 2 4 H a h k Z Y T S r k q Q M J X z 7 P r e P r z B c 0 X G i H W p E L u / 1 0 2 b C M J p O 0 o z i 2 p d z Z 2 Y a V f Y Y 8 j Y p P y s R C b z R j c X H 5 0 H q a y 7 n L / M X A s k Y k U t N l C T i f P n x E a V G + V A s x O h J 7 g u I o Z r N R K g E a r Q 5 F x c X o 6 g 4 k f Y y H Y G 9 P Y U X J 5 N X k F y w v x v a d Z L L D a 1 h a V S 6 u 9 L S g x h r w W W g I / P D Z J C Y n p 5 g Y / H j / Z h z z R 6 x 6 W W X N i Z M J h U V F u N z Z w d e v T m L y 9 W s 2 / H 7 C L d D T 8 W n p 6 n H G x 9 9 I p R A F x V b U 1 F Z B o 1 F L V w K T R 9 e u 9 W P 4 e r 8 Q V K q 5 E 2 U N h U K O 4 o X G 7 h T 4 S V w b a E f 3 p T o U m 0 L / 0 H i x O 5 K 7 J Y R 2 L J + E X B H d d 6 J 4 x / / 8 8 R g 7 W 5 v S l e O Q T y T H P v d p q O H S r a m 1 V X o 0 x I e p K T x 7 + h x O R + T o j K a W J r 6 4 f Z S 1 l c j f g f q g P O Z L H W V t e Q m f p 2 f g C s s L Q r n 6 8 1 h H o W K W V f h Q a Y I a R P h w p K e n A 4 X G 4 / + w a O x 5 g Q e P / o b X s 8 8 t D j n Q / 7 p D s Y L x / / v K K 8 p x K W y / 0 1 m x O 9 z 4 6 / E L q R a Z 2 8 M 2 5 j t F t y 7 / u T t y 4 j D t K A a j K a Y I E 8 F s s U C t k s O + 6 2 R D P A c b C W h R Y M 7 H z N f I w 7 v K 6 h r U 1 1 j 5 Y n g 4 w k K l i a O N 5 t m z l 3 w t K F 7 c + w f 4 a a i L R z 5 Q K B B F E P z 6 k w 1 X j 2 Q Y u t h + K e I M F X F 0 g u S s v H 3 3 W S p F J p / 5 T 0 f F R D / D m 4 9 L 3 A L s u A 9 4 P s P T r g 0 l W 0 z E x v o 6 8 5 d W c K W 3 D V 1 d H b j S f w k X m q r Q e C F y j s S G C G I i x K R E m i m t q I K d O c b E l 5 k 5 V F e X x + z B g 1 B o U J C 6 6 j K e 9 8 7 u 9 L K / M c v X u A h q m K V l Z c w 5 9 7 C h j 5 N f C 4 c s 2 + 4 e c + A N O h 4 Y + 3 z s H d a 2 X L A W h v y 8 Y B j U S T x / 9 R 5 r a 7 E n S v r 7 L k M Z 5 v h v 2 P d w / 6 + n 2 G a C q K 6 q w I f p O V g L 8 l F b U 4 F P S Q p m 1 e b l o a e 3 E 0 3 1 l T x O s L G + A o X W U i w v r U S 1 h E N X e 7 l 4 G t j z 6 b v r 1 I G h I X V 3 F o M S v l w V N j d C 3 5 V G B 7 T 5 M h J C U G k m K K Y g 0 5 9 J V B V 8 S v k 0 F B S X 4 B 1 z 5 I N i C r K 0 u B h R T E F 2 7 T t M h P M 8 E N f l d s P O 6 h S k S m F P d B L I y N g U P l L Q 7 K Y T 5 d b o i 7 E 6 g w m z X 6 P n J i Q a 2 d 8 N 7 y x o S P V R E g 6 9 Z 4 k k Z H r K a a P D B w d 7 0 d Z c x S P b P 7 H f k C D L X F V Z B q t F j / X N H e z t e 6 H T K H l H 0 1 R X x t 9 z b W s X 7 i N 5 E W l Y R + 9 P w g 5 + X B f z c e n 3 I C w m H V b X d 7 j A K A V A r A 5 Q + F A Z Q n N L M 2 r L 4 4 8 m i J X 3 L 9 l o N F r c k A 6 L I 2 h X 7 / q 2 C 2 M v Y u d 2 D w 7 l r l / p g k b a O k + f m x r + L 2 y o F 8 5 p v w + d / h E 8 s G B p e x 8 v n g b i C C u r q 7 h p + T p z f A d 0 S W k J L l + o 4 Z M h k d a 5 K B 3 a p c 5 O 1 s n N w G w y o q H C J D 0 S P 8 J C Z Q h r a 2 u 8 B 4 2 X 6 Z m F i I 0 i F d A Q k j 7 b L v N 5 7 t 4 f Y Q 1 u F j q 9 E Z v r 8 W 0 1 z 1 W o U W A K T G e T J a D P T Z + f E m c G h 5 d k a Y L W K x 5 m 2 H C Z / t b H z / N Y n A 9 N H G x v b W N 7 + / A o I M i u f R e f j u x X C 6 e r t w d m X S 4 m J q a w t r q K t W 0 3 j C b z t + F d P E N h Y a E y i E g 9 d z T S a a H O i l y h x M / X u 3 n 5 6 O c O z w V P w b u 0 9 n P a R d 1 U Y y k o Q G 9 H Y 1 y C E r N 8 G Q Q 5 z d T g v L 7 v q 4 8 z m 4 4 v b o e z Y j / g e 6 k e P n w C W 0 + b d D V z o O y / / / 7 j M f + M 7 6 Y X e f q 3 a I g h X w Z C T r Y v V w m z M S 9 q r 3 h a J / 4 8 a W l t 5 j N n 1 E 0 c H d b t + 3 L w b m I C V d U V K L K Y 8 H b q M 0 / H l o n Q U H F z c 4 u n O a D f f 9 P h g 1 q r h U Y p + / Z / E h Y q Q 5 n + + I l H E X w P t i p f F 5 i Q 8 E W w v M H t / s U 0 t b 2 + n T a / M B m s L S 9 g d O Q 5 t 1 5 f l g I R G k J Q G c 6 d e 4 G 4 v 2 B K s m 2 n h w 0 N s 0 t m M l k u E w o r s G 7 8 6 K I z R Z 6 T i E Y e P 0 F L S y O Z A e m R 8 4 F i J R N h 4 v U r P l w X k x J Z A E U c 7 O / t w e 1 2 8 8 Z X X 1 + D j x 9 j R y k I k k N P f z 8 0 M g 8 P + 4 o H Y a G y g O 2 t L X 4 a Y H A 4 R G K i s 2 5 / v m n D r e t 9 6 O s P 5 N s z M u F l O v n m A q m U H V j y c i M O V a M h B J W F 0 I I p 7 S O S y y j t l w w W v Z K v 8 A / 0 t P J p 6 O t D N v 6 c W C Q 6 t D k r 2 + e Y J v m 0 0 P C U f t f n Y 8 e 3 c U R D C C r L I K H U N 9 R h 0 3 k Q d c K C N i Z S E C 3 l S u C N 4 o j f M n z D h h u D 7 b h 6 t Q + 1 9 Q 3 H H h e E 2 H J 4 T n U a p P C h s p z w E J x 4 o H M B o u 0 z X N o + Q J E h 0 C s T d J L I y O P z S x q Z j Y i u K c u h d M a U c i t e o o m J s O b n 8 q l 6 m q 2 i 2 / c u J v J D k 4 1 Y 2 M 1 y 5 u Y W 8 X E 6 E N d G t 6 K S M r 7 V g 3 L u r d k D + e 0 o O j r e a P b K q n K s b + x A p V T g 4 s V m v p k v 0 j n B 5 w 0 d s z p g 6 4 T P L z 8 W w R 8 P t A u 6 o b b 0 W 6 R 6 s h B D v h 8 I 8 r + G r v W d m O 3 n K N G i s 8 8 T 2 g p f 2 9 q O D 6 9 j 7 x g m y E c 8 u h f K X F i M j d V Q y u x k Q L + v E N Q P C j U y O p W D c j b Q y R r 5 e v W 3 U 0 I 8 U P K 9 U J R Q h S B B / T J M M 4 f g p 4 T c k 7 L R X m E W 4 s X 4 O z i d T q g 1 G p 7 R i X y 6 1 U 0 X V p f m e T 7 z 5 c V Q z g Y 9 s 3 a G P A 0 c T j e 2 w j b s B W m 5 0 I q 9 P Q / 0 7 D k + f w 7 e j I + j q 7 u D Z 0 F a X V 3 H + 4 / H t 2 R k E h f b 2 o S g B N G h Y V F 3 b x e e P A o I q K 3 9 E k 9 S s r i 0 g j p m H Z r K d P j j w Q s M 9 F / m M 4 u 0 X H P n z x E 0 N j f B Y j Z C p / T j w Z N X q K 0 u Z c I 1 o D D / c G K Z z R 0 X T A Y N n 6 1 8 O 7 0 K n U q O y Y l J 6 u o j R k z o D f k o K L C g r M g A l U r J U w H Q B M r L i R k s h G 3 h O E + E o A Q J U 1 l V i a 8 z X / E r J b J k 9 e U N J 2 Y X V r H G r B M N f 2 I N E y k d 8 g b z z X a j n C F 1 F M o q W 1 Z i Q V t r P a 9 T W u v R p 6 / g c k X f n X w e C E E J M h q K / q B t + 9 c G O 3 m G p b b 2 d r z 4 e 0 x 6 N P M Q g h K k l O v X + v i p G D T L u L r j w b P R + J N 8 9 v d 1 w u 2 0 8 6 S S p n w 9 f h v 5 D J 8 9 d m L N 8 0 a s Q w l S y v 0 H o 7 h z b 4 Q n R y k 0 K H h o V B 7 z p + L B b F C j 1 F r I x f T 7 v a c Z L y Z C C E q Q c m j K + u m z V / g 4 t 8 l 9 L Y o / P I n 2 z k 6 + c / n v V x / 5 2 V q U t z w b E E M + Q c Y h k 8 t 5 H o e V p Z N T P W c a w k I J M o q 2 y 5 0 o L S n O S j E R Q l C C j O L 1 2 A v M x j g u J h X k J D H a X g h K 8 E P R 1 t n D T 4 e k w 9 5 + H g 4 E x 6 p V S l y 8 0 A C j y Y i y i n J + L V G E o A Q / D D K 5 A g f 7 T r Q 0 1 s C g z s G 9 B 4 F s s 3 Q 0 z Z u 3 H 2 C 3 7 6 K 9 u R J V t b X 8 e i K I S Q m B Q M K Q b 8 S V 3 s D Z U 5 Q H h w 7 7 X l 7 f x e e p C a j U a r i c D v 5 Y p G D b I E J Q g h 8 S 2 q l c U 1 H A T 8 e f X 1 y B f c e B 3 o 4 6 6 d E Q d i Y q P b N m x O y 6 h + c X d H s P M P 7 s K a r q m 1 F V a s S D B y P f w q y E o A Q / H A X W U u i 0 a l y o s 0 p X A l C q N n k M J 4 i E Q t I i 6 7 X l P I B J l 4 u x t z N Y W g h N o g g f S v D D o M 3 T Y / i 6 D Z f o G J y q Y u l q i F h i I g J 2 i o m G F e h Q A a q H i 4 k Q g h L 8 M D h 3 7 c i V 5 f A d z a p Y u Q D i Y G x i 5 t j B B 4 Q Q l O C H o W + g D w 7 m E 5 0 V + g v h R + i E I w Q l y H p s g / 1 Q K B V S L T K 0 e 9 i i k 8 G o P Z t l I u g v X L z Q x M u 0 Q z k c I S h B 1 l J d W 4 u a + g Y m k l z 8 N N S D y q r o B 9 b 9 f O P w 4 d 5 n Y X Z u G W / e T v E y D R 3 l i p C Y h a A E W Q k 1 4 t Y 6 K 1 p q C r 9 N F l x s r I B W q 5 F q h 3 k 9 + U U q n Z 3 Z p d A p 9 L / f f Q x v 2 D n H Q l C C r E K t 0 f J U 0 2 2 X u 6 Q r h 7 k + e F k q H W Z h Y R H 3 H o 5 F S l V x K l Z 2 v N j a j H 7 6 v R C U I K t w u 5 z w + I C S / O h N l 1 K M E b S Z s a G x H p 3 d n T z H x a C t g + d / O Q s F e j n P C R g N s b A r y C o G B m 3 M b w E 0 M d J P v 3 z 7 C Y 0 N t T w T k 3 v f y w X m 9 f n Y a 9 g L k 8 S e 1 4 + 7 9 5 5 I t R D C Q g k y H o q d u z 0 8 g C t X b d C p c q K K i Y Z z L y e + o O N C H R c T 4 b D b o Z D R a 5 I n J o I m I 3 6 + O c A t X z h C U I K M h w J R l 7 a 9 P E I 8 1 u 5 5 a t u N D V V S L Q D l 7 0 s V c v Z Z B g f 7 c H W w G x W V l f y a E J Q g Y 2 m / d E E q A a W m + C y M V h G y G H R q + + p O a n N R G D S 5 0 G u V a G s q 5 z 6 b E J Q g o w g / q 6 q s O J 8 3 U t t A P x x 7 p 3 f 1 m y 6 2 Q y t L 7 4 n y Q l C C j I H E R I c Z N L c 2 8 / p f T y f 4 P S 3 c 5 j H f 6 b R U F 6 l h M q X 3 m F Q h K E F G Q M 7 9 L 8 P 9 0 L A h W 2 2 Z m Y u L j u E J P M b v E m J l N b 1 H 8 Q h B C T I C y n U e D o m r v 6 t F q i W O W q W S S u l B C E q Q E S w v r 0 i l E M G j S c 9 C o g k y X R 4 / f J F 3 u c d E C E q Q E b i d D t 6 I k 0 2 i g q K h Z 7 y n P o Y j B C X I C G o a G n g j T j Z F R Y V S 6 e y s b r l 5 h E Q s h K A E 5 w 7 l y G u p T l 7 D D 2 d x M X n H f h Y Y 1 S f u 9 B W C E p w 7 + Z r k W 6 Y g h Y U W q X R 2 4 v m U Q l C C c 2 X o 2 u E d r 8 n G 6 X R L p f Q g B C U 4 N y 5 c 7 u X B r q k k N x l T h a d A C E q Q d u j E e N t A D 6 o K k h s B H g m t L v I O 3 l Q h 9 k M J U o q 5 o A B t L b W Q y w M n t s d x 1 l p S 2 b H b Y d D r p V r q E R Z K k H Q o b M h s N u H q 1 X 7 0 X 2 7 k 6 Y t p U 2 C 6 x U T o 8 / K k U n o Q g h K c m c 7 u y y g s K u Y 7 Y 8 s r y r + F D e n V 5 9 + 8 9 v b S G 2 0 u h n y C h O n r 7 4 U p L z C U y 1 R 8 P t + 3 H B P p Q F g o Q U L c v G 6 D R Z / Z Y i K C p 2 K k C y E o w a k g / + i n m w M 8 P 7 j g O E J Q g r i 5 M W T j / t F 5 T C 4 k S j q H e 4 Q Q l C A m P 9 3 s 5 / e U Y D J W 6 q 5 M x e c 7 w I Y 9 l N k 1 1 Q h B C a K i V K q Y N Q o 0 k a u 2 D n 6 f b X j 9 u d C q U 7 + A H E Q I S h C V Y J Q B J U r J p m F e E J q O 8 B 3 4 0 + r v C U E J o r K 1 u c U b Z b Z C M t K p 0 t v E h a A E M U m 3 1 + T L 8 l V R I S h B V A q K j p 9 D m 2 r W 7 d 6 s t o p C U I K o t L X W S q X 0 U W S Q p 9 0 q J h M h K E F E a A H X 7 f G D + f R Z T z q j J Y S g B J H J y Y F c l p P x o U X x c P S E j F T K S w h K E J E D n y + h 9 M e Z C J 3 e E Q 5 9 q 0 R y 7 s W D E J Q g K s s 7 P q m U 3 R w V F E H r 1 a v 2 5 K t K C E o Q l b G n T 7 8 L H 4 r 8 w U g U 6 p P f / I W g B F E h Z / 7 N x y W p l r 3 s 7 4 t Y P s E 5 U m w N r D 8 p V S r M f Z n O e i u l V C q k U u q R 3 R j q + 6 d U F g g 4 j l 0 H v 6 f d r o S l q A T a N I T w 0 D S 9 T J a T 9 H W o 6 e k Z a D R q r K 6 u Q a F Q Y G V l D e 6 9 f X g 9 H m x v 7 3 D B r a 1 t M F / L j 5 0 d O 7 8 W f J 6 c 3 W 9 v 7 c D p d M H D n r + 5 u c U P w H Y 6 X H A 4 n D z 5 D D 1 P J p d h b X 1 T b I E X R I a 2 a 7 h d T p S W l a G + r j I t M 3 6 O f T 9 P d S x n 2 i W r m K w p e x I C C S Q d i C G f I C I k J p l M j k s t V W m b P t c p A 2 L i J L G b F w u 7 g o x A w Y Z C 5 7 W w G 2 V i L i H c 7 j 2 p l H q E o A R R c b t c 2 H K m a A U 0 j W i 1 6 c s e K w Q l i M n j R y N S K X v Z 3 N q W S q l H C E r w 3 W P Q p y 9 7 r B C U 4 L t n c 1 N Y K E E G M T G d v F M A z 4 P 0 L e w C / w + 0 w G X G 3 H c 5 T A A A A A B J R U 5 E r k J g g g = = < / I m a g e > < / T o u r > < / T o u r s > < C o l o r s / > < / V i s u a l i z a t i o n > 
</file>

<file path=customXml/item5.xml>��< ? x m l   v e r s i o n = " 1 . 0 "   e n c o d i n g = " U T F - 1 6 " ? > < G e m i n i   x m l n s = " h t t p : / / g e m i n i / p i v o t c u s t o m i z a t i o n / M a n u a l C a l c M o d e " > < C u s t o m C o n t e n t > < ! [ C D A T A [ F a l s e ] ] > < / C u s t o m C o n t e n t > < / G e m i n i > 
</file>

<file path=customXml/item6.xml>��< ? x m l   v e r s i o n = " 1 . 0 "   e n c o d i n g = " U T F - 1 6 " ? > < G e m i n i   x m l n s = " h t t p : / / g e m i n i / p i v o t c u s t o m i z a t i o n / S h o w I m p l i c i t M e a s u r e s " > < C u s t o m C o n t e n t > < ! [ C D A T A [ F a l s e ] ] > < / C u s t o m C o n t e n t > < / G e m i n i > 
</file>

<file path=customXml/item7.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 T a b l e 5 < / 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 T a b l e 5 < / 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 C o l u m n s \ N o . < / K e y > < / D i a g r a m O b j e c t K e y > < D i a g r a m O b j e c t K e y > < K e y > C o l u m n s \ N o . P O N < / K e y > < / D i a g r a m O b j e c t K e y > < D i a g r a m O b j e c t K e y > < K e y > C o l u m n s \ T y p e     S t r u k t u r < / K e y > < / D i a g r a m O b j e c t K e y > < D i a g r a m O b j e c t K e y > < K e y > C o l u m n s \ M a r k i n g   S t r u k t u r < / K e y > < / D i a g r a m O b j e c t K e y > < D i a g r a m O b j e c t K e y > < K e y > C o l u m n s \ V e n d o r < / K e y > < / D i a g r a m O b j e c t K e y > < D i a g r a m O b j e c t K e y > < K e y > C o l u m n s \ N o .   P O < / K e y > < / D i a g r a m O b j e c t K e y > < D i a g r a m O b j e c t K e y > < K e y > C o l u m n s \ P u r c h a s e < / K e y > < / D i a g r a m O b j e c t K e y > < D i a g r a m O b j e c t K e y > < K e y > C o l u m n s \ M a r k i n g   A k s e s o r i e s < / K e y > < / D i a g r a m O b j e c t K e y > < D i a g r a m O b j e c t K e y > < K e y > C o l u m n s \ D i m e n s i / U k u r a n < / K e y > < / D i a g r a m O b j e c t K e y > < D i a g r a m O b j e c t K e y > < K e y > C o l u m n s \ Q t y   ( p c s ) < / K e y > < / D i a g r a m O b j e c t K e y > < D i a g r a m O b j e c t K e y > < K e y > C o l u m n s \ U n i t   ( S e t ) < / K e y > < / D i a g r a m O b j e c t K e y > < D i a g r a m O b j e c t K e y > < K e y > C o l u m n s \ T o t a l     ( p c s ) < / K e y > < / D i a g r a m O b j e c t K e y > < D i a g r a m O b j e c t K e y > < K e y > C o l u m n s \ B e r a t / p c s   ( K g ) < / K e y > < / D i a g r a m O b j e c t K e y > < D i a g r a m O b j e c t K e y > < K e y > C o l u m n s \ T o t a l   B e r a t   ( K g ) < / K e y > < / D i a g r a m O b j e c t K e y > < D i a g r a m O b j e c t K e y > < K e y > C o l u m n s \ S e n t   t o   P u r c h a s e < / K e y > < / D i a g r a m O b j e c t K e y > < D i a g r a m O b j e c t K e y > < K e y > C o l u m n s \ S t a t u s   d a t a   d i k i r i m < / K e y > < / D i a g r a m O b j e c t K e y > < D i a g r a m O b j e c t K e y > < K e y > C o l u m n s \ K e t e r a n g a n 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 C o l u m n s \ N o . < / K e y > < / a : K e y > < a : V a l u e   i : t y p e = " M e a s u r e G r i d N o d e V i e w S t a t e " > < L a y e d O u t > t r u e < / L a y e d O u t > < / a : V a l u e > < / a : K e y V a l u e O f D i a g r a m O b j e c t K e y a n y T y p e z b w N T n L X > < a : K e y V a l u e O f D i a g r a m O b j e c t K e y a n y T y p e z b w N T n L X > < a : K e y > < K e y > C o l u m n s \ N o . P O N < / K e y > < / a : K e y > < a : V a l u e   i : t y p e = " M e a s u r e G r i d N o d e V i e w S t a t e " > < C o l u m n > 1 < / C o l u m n > < L a y e d O u t > t r u e < / L a y e d O u t > < / a : V a l u e > < / a : K e y V a l u e O f D i a g r a m O b j e c t K e y a n y T y p e z b w N T n L X > < a : K e y V a l u e O f D i a g r a m O b j e c t K e y a n y T y p e z b w N T n L X > < a : K e y > < K e y > C o l u m n s \ T y p e     S t r u k t u r < / K e y > < / a : K e y > < a : V a l u e   i : t y p e = " M e a s u r e G r i d N o d e V i e w S t a t e " > < C o l u m n > 2 < / C o l u m n > < L a y e d O u t > t r u e < / L a y e d O u t > < / a : V a l u e > < / a : K e y V a l u e O f D i a g r a m O b j e c t K e y a n y T y p e z b w N T n L X > < a : K e y V a l u e O f D i a g r a m O b j e c t K e y a n y T y p e z b w N T n L X > < a : K e y > < K e y > C o l u m n s \ M a r k i n g   S t r u k t u r < / K e y > < / a : K e y > < a : V a l u e   i : t y p e = " M e a s u r e G r i d N o d e V i e w S t a t e " > < C o l u m n > 3 < / C o l u m n > < L a y e d O u t > t r u e < / L a y e d O u t > < / a : V a l u e > < / a : K e y V a l u e O f D i a g r a m O b j e c t K e y a n y T y p e z b w N T n L X > < a : K e y V a l u e O f D i a g r a m O b j e c t K e y a n y T y p e z b w N T n L X > < a : K e y > < K e y > C o l u m n s \ V e n d o r < / K e y > < / a : K e y > < a : V a l u e   i : t y p e = " M e a s u r e G r i d N o d e V i e w S t a t e " > < C o l u m n > 4 < / C o l u m n > < L a y e d O u t > t r u e < / L a y e d O u t > < / a : V a l u e > < / a : K e y V a l u e O f D i a g r a m O b j e c t K e y a n y T y p e z b w N T n L X > < a : K e y V a l u e O f D i a g r a m O b j e c t K e y a n y T y p e z b w N T n L X > < a : K e y > < K e y > C o l u m n s \ N o .   P O < / K e y > < / a : K e y > < a : V a l u e   i : t y p e = " M e a s u r e G r i d N o d e V i e w S t a t e " > < C o l u m n > 5 < / C o l u m n > < L a y e d O u t > t r u e < / L a y e d O u t > < / a : V a l u e > < / a : K e y V a l u e O f D i a g r a m O b j e c t K e y a n y T y p e z b w N T n L X > < a : K e y V a l u e O f D i a g r a m O b j e c t K e y a n y T y p e z b w N T n L X > < a : K e y > < K e y > C o l u m n s \ P u r c h a s e < / K e y > < / a : K e y > < a : V a l u e   i : t y p e = " M e a s u r e G r i d N o d e V i e w S t a t e " > < C o l u m n > 6 < / C o l u m n > < L a y e d O u t > t r u e < / L a y e d O u t > < / a : V a l u e > < / a : K e y V a l u e O f D i a g r a m O b j e c t K e y a n y T y p e z b w N T n L X > < a : K e y V a l u e O f D i a g r a m O b j e c t K e y a n y T y p e z b w N T n L X > < a : K e y > < K e y > C o l u m n s \ M a r k i n g   A k s e s o r i e s < / K e y > < / a : K e y > < a : V a l u e   i : t y p e = " M e a s u r e G r i d N o d e V i e w S t a t e " > < C o l u m n > 7 < / C o l u m n > < L a y e d O u t > t r u e < / L a y e d O u t > < / a : V a l u e > < / a : K e y V a l u e O f D i a g r a m O b j e c t K e y a n y T y p e z b w N T n L X > < a : K e y V a l u e O f D i a g r a m O b j e c t K e y a n y T y p e z b w N T n L X > < a : K e y > < K e y > C o l u m n s \ D i m e n s i / U k u r a n < / K e y > < / a : K e y > < a : V a l u e   i : t y p e = " M e a s u r e G r i d N o d e V i e w S t a t e " > < C o l u m n > 8 < / C o l u m n > < L a y e d O u t > t r u e < / L a y e d O u t > < / a : V a l u e > < / a : K e y V a l u e O f D i a g r a m O b j e c t K e y a n y T y p e z b w N T n L X > < a : K e y V a l u e O f D i a g r a m O b j e c t K e y a n y T y p e z b w N T n L X > < a : K e y > < K e y > C o l u m n s \ Q t y   ( p c s ) < / K e y > < / a : K e y > < a : V a l u e   i : t y p e = " M e a s u r e G r i d N o d e V i e w S t a t e " > < C o l u m n > 9 < / C o l u m n > < L a y e d O u t > t r u e < / L a y e d O u t > < / a : V a l u e > < / a : K e y V a l u e O f D i a g r a m O b j e c t K e y a n y T y p e z b w N T n L X > < a : K e y V a l u e O f D i a g r a m O b j e c t K e y a n y T y p e z b w N T n L X > < a : K e y > < K e y > C o l u m n s \ U n i t   ( S e t ) < / K e y > < / a : K e y > < a : V a l u e   i : t y p e = " M e a s u r e G r i d N o d e V i e w S t a t e " > < C o l u m n > 1 0 < / C o l u m n > < L a y e d O u t > t r u e < / L a y e d O u t > < / a : V a l u e > < / a : K e y V a l u e O f D i a g r a m O b j e c t K e y a n y T y p e z b w N T n L X > < a : K e y V a l u e O f D i a g r a m O b j e c t K e y a n y T y p e z b w N T n L X > < a : K e y > < K e y > C o l u m n s \ T o t a l     ( p c s ) < / K e y > < / a : K e y > < a : V a l u e   i : t y p e = " M e a s u r e G r i d N o d e V i e w S t a t e " > < C o l u m n > 1 1 < / C o l u m n > < L a y e d O u t > t r u e < / L a y e d O u t > < / a : V a l u e > < / a : K e y V a l u e O f D i a g r a m O b j e c t K e y a n y T y p e z b w N T n L X > < a : K e y V a l u e O f D i a g r a m O b j e c t K e y a n y T y p e z b w N T n L X > < a : K e y > < K e y > C o l u m n s \ B e r a t / p c s   ( K g ) < / K e y > < / a : K e y > < a : V a l u e   i : t y p e = " M e a s u r e G r i d N o d e V i e w S t a t e " > < C o l u m n > 1 2 < / C o l u m n > < L a y e d O u t > t r u e < / L a y e d O u t > < / a : V a l u e > < / a : K e y V a l u e O f D i a g r a m O b j e c t K e y a n y T y p e z b w N T n L X > < a : K e y V a l u e O f D i a g r a m O b j e c t K e y a n y T y p e z b w N T n L X > < a : K e y > < K e y > C o l u m n s \ T o t a l   B e r a t   ( K g ) < / K e y > < / a : K e y > < a : V a l u e   i : t y p e = " M e a s u r e G r i d N o d e V i e w S t a t e " > < C o l u m n > 1 3 < / C o l u m n > < L a y e d O u t > t r u e < / L a y e d O u t > < / a : V a l u e > < / a : K e y V a l u e O f D i a g r a m O b j e c t K e y a n y T y p e z b w N T n L X > < a : K e y V a l u e O f D i a g r a m O b j e c t K e y a n y T y p e z b w N T n L X > < a : K e y > < K e y > C o l u m n s \ S e n t   t o   P u r c h a s e < / K e y > < / a : K e y > < a : V a l u e   i : t y p e = " M e a s u r e G r i d N o d e V i e w S t a t e " > < C o l u m n > 1 4 < / C o l u m n > < L a y e d O u t > t r u e < / L a y e d O u t > < / a : V a l u e > < / a : K e y V a l u e O f D i a g r a m O b j e c t K e y a n y T y p e z b w N T n L X > < a : K e y V a l u e O f D i a g r a m O b j e c t K e y a n y T y p e z b w N T n L X > < a : K e y > < K e y > C o l u m n s \ S t a t u s   d a t a   d i k i r i m < / K e y > < / a : K e y > < a : V a l u e   i : t y p e = " M e a s u r e G r i d N o d e V i e w S t a t e " > < C o l u m n > 1 5 < / C o l u m n > < L a y e d O u t > t r u e < / L a y e d O u t > < / a : V a l u e > < / a : K e y V a l u e O f D i a g r a m O b j e c t K e y a n y T y p e z b w N T n L X > < a : K e y V a l u e O f D i a g r a m O b j e c t K e y a n y T y p e z b w N T n L X > < a : K e y > < K e y > C o l u m n s \ K e t e r a n g a n < / K e y > < / a : K e y > < a : V a l u e   i : t y p e = " M e a s u r e G r i d N o d e V i e w S t a t e " > < C o l u m n > 1 6 < / C o l u m n > < L a y e d O u t > t r u e < / L a y e d O u t > < / a : V a l u e > < / a : K e y V a l u e O f D i a g r a m O b j e c t K e y a n y T y p e z b w N T n L X > < / V i e w S t a t e s > < / D i a g r a m M a n a g e r . S e r i a l i z a b l e D i a g r a m > < D i a g r a m M a n a g e r . S e r i a l i z a b l e D i a g r a m > < A d a p t e r   i : t y p e = " M e a s u r e D i a g r a m S a n d b o x A d a p t e r " > < T a b l e N a m e > T a b l e 2 < / 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 T a b l e 2 < / 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 C o l u m n s \ N o . < / K e y > < / D i a g r a m O b j e c t K e y > < D i a g r a m O b j e c t K e y > < K e y > C o l u m n s \ N O .   P O N < / K e y > < / D i a g r a m O b j e c t K e y > < D i a g r a m O b j e c t K e y > < K e y > C o l u m n s \ T y p e     S t r u k t u r < / K e y > < / D i a g r a m O b j e c t K e y > < D i a g r a m O b j e c t K e y > < K e y > C o l u m n s \ Q t y   ( U n i t ) < / K e y > < / D i a g r a m O b j e c t K e y > < D i a g r a m O b j e c t K e y > < K e y > C o l u m n s \ M a r k i n g   S t r u k t u r < / K e y > < / D i a g r a m O b j e c t K e y > < D i a g r a m O b j e c t K e y > < K e y > C o l u m n s \ D e s k r i p s i     P e k e r j a a n < / K e y > < / D i a g r a m O b j e c t K e y > < D i a g r a m O b j e c t K e y > < K e y > C o l u m n s \ C l i e n t < / K e y > < / D i a g r a m O b j e c t K e y > < D i a g r a m O b j e c t K e y > < K e y > C o l u m n s \ D a e r a h < / K e y > < / D i a g r a m O b j e c t K e y > < D i a g r a m O b j e c t K e y > < K e y > C o l u m n s \ T o t a l   B e r a t   ( K g ) < / K e y > < / D i a g r a m O b j e c t K e y > < D i a g r a m O b j e c t K e y > < K e y > C o l u m n s \ S t a t u s < / K e y > < / D i a g r a m O b j e c t K e y > < D i a g r a m O b j e c t K e y > < K e y > C o l u m n s \ M a r k e t i n g < / K e y > < / D i a g r a m O b j e c t K e y > < D i a g r a m O b j e c t K e y > < K e y > C o l u m n s \ P R O G R E S S   ( % ) < / K e y > < / D i a g r a m O b j e c t K e y > < D i a g r a m O b j e c t K e y > < K e y > C o l u m n s \ D a t e   P O N < / K e y > < / D i a g r a m O b j e c t K e y > < D i a g r a m O b j e c t K e y > < K e y > C o l u m n s \ D a t e   F i n i s h < / K e y > < / D i a g r a m O b j e c t K e y > < D i a g r a m O b j e c t K e y > < K e y > M e a s u r e s \ S u m   o f   Q t y   ( U n i t ) < / K e y > < / D i a g r a m O b j e c t K e y > < D i a g r a m O b j e c t K e y > < K e y > M e a s u r e s \ S u m   o f   Q t y   ( U n i t ) \ T a g I n f o \ F o r m u l a < / K e y > < / D i a g r a m O b j e c t K e y > < D i a g r a m O b j e c t K e y > < K e y > M e a s u r e s \ S u m   o f   Q t y   ( U n i t ) \ T a g I n f o \ V a l u e < / K e y > < / D i a g r a m O b j e c t K e y > < D i a g r a m O b j e c t K e y > < K e y > L i n k s \ & l t ; C o l u m n s \ S u m   o f   Q t y   ( U n i t ) & g t ; - & l t ; M e a s u r e s \ Q t y   ( U n i t ) & g t ; < / K e y > < / D i a g r a m O b j e c t K e y > < D i a g r a m O b j e c t K e y > < K e y > L i n k s \ & l t ; C o l u m n s \ S u m   o f   Q t y   ( U n i t ) & g t ; - & l t ; M e a s u r e s \ Q t y   ( U n i t ) & g t ; \ C O L U M N < / K e y > < / D i a g r a m O b j e c t K e y > < D i a g r a m O b j e c t K e y > < K e y > L i n k s \ & l t ; C o l u m n s \ S u m   o f   Q t y   ( U n i t ) & g t ; - & l t ; M e a s u r e s \ Q t y   ( U n i t ) & g t ; \ M E A S U R E 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 C o l u m n s \ N o . < / K e y > < / a : K e y > < a : V a l u e   i : t y p e = " M e a s u r e G r i d N o d e V i e w S t a t e " > < L a y e d O u t > t r u e < / L a y e d O u t > < / a : V a l u e > < / a : K e y V a l u e O f D i a g r a m O b j e c t K e y a n y T y p e z b w N T n L X > < a : K e y V a l u e O f D i a g r a m O b j e c t K e y a n y T y p e z b w N T n L X > < a : K e y > < K e y > C o l u m n s \ N O .   P O N < / K e y > < / a : K e y > < a : V a l u e   i : t y p e = " M e a s u r e G r i d N o d e V i e w S t a t e " > < C o l u m n > 1 < / C o l u m n > < L a y e d O u t > t r u e < / L a y e d O u t > < / a : V a l u e > < / a : K e y V a l u e O f D i a g r a m O b j e c t K e y a n y T y p e z b w N T n L X > < a : K e y V a l u e O f D i a g r a m O b j e c t K e y a n y T y p e z b w N T n L X > < a : K e y > < K e y > C o l u m n s \ T y p e     S t r u k t u r < / K e y > < / a : K e y > < a : V a l u e   i : t y p e = " M e a s u r e G r i d N o d e V i e w S t a t e " > < C o l u m n > 2 < / C o l u m n > < L a y e d O u t > t r u e < / L a y e d O u t > < / a : V a l u e > < / a : K e y V a l u e O f D i a g r a m O b j e c t K e y a n y T y p e z b w N T n L X > < a : K e y V a l u e O f D i a g r a m O b j e c t K e y a n y T y p e z b w N T n L X > < a : K e y > < K e y > C o l u m n s \ Q t y   ( U n i t ) < / K e y > < / a : K e y > < a : V a l u e   i : t y p e = " M e a s u r e G r i d N o d e V i e w S t a t e " > < C o l u m n > 3 < / C o l u m n > < L a y e d O u t > t r u e < / L a y e d O u t > < / a : V a l u e > < / a : K e y V a l u e O f D i a g r a m O b j e c t K e y a n y T y p e z b w N T n L X > < a : K e y V a l u e O f D i a g r a m O b j e c t K e y a n y T y p e z b w N T n L X > < a : K e y > < K e y > C o l u m n s \ M a r k i n g   S t r u k t u r < / K e y > < / a : K e y > < a : V a l u e   i : t y p e = " M e a s u r e G r i d N o d e V i e w S t a t e " > < C o l u m n > 4 < / C o l u m n > < L a y e d O u t > t r u e < / L a y e d O u t > < / a : V a l u e > < / a : K e y V a l u e O f D i a g r a m O b j e c t K e y a n y T y p e z b w N T n L X > < a : K e y V a l u e O f D i a g r a m O b j e c t K e y a n y T y p e z b w N T n L X > < a : K e y > < K e y > C o l u m n s \ D e s k r i p s i     P e k e r j a a n < / K e y > < / a : K e y > < a : V a l u e   i : t y p e = " M e a s u r e G r i d N o d e V i e w S t a t e " > < C o l u m n > 5 < / C o l u m n > < L a y e d O u t > t r u e < / L a y e d O u t > < / a : V a l u e > < / a : K e y V a l u e O f D i a g r a m O b j e c t K e y a n y T y p e z b w N T n L X > < a : K e y V a l u e O f D i a g r a m O b j e c t K e y a n y T y p e z b w N T n L X > < a : K e y > < K e y > C o l u m n s \ C l i e n t < / K e y > < / a : K e y > < a : V a l u e   i : t y p e = " M e a s u r e G r i d N o d e V i e w S t a t e " > < C o l u m n > 6 < / C o l u m n > < L a y e d O u t > t r u e < / L a y e d O u t > < / a : V a l u e > < / a : K e y V a l u e O f D i a g r a m O b j e c t K e y a n y T y p e z b w N T n L X > < a : K e y V a l u e O f D i a g r a m O b j e c t K e y a n y T y p e z b w N T n L X > < a : K e y > < K e y > C o l u m n s \ D a e r a h < / K e y > < / a : K e y > < a : V a l u e   i : t y p e = " M e a s u r e G r i d N o d e V i e w S t a t e " > < C o l u m n > 7 < / C o l u m n > < L a y e d O u t > t r u e < / L a y e d O u t > < / a : V a l u e > < / a : K e y V a l u e O f D i a g r a m O b j e c t K e y a n y T y p e z b w N T n L X > < a : K e y V a l u e O f D i a g r a m O b j e c t K e y a n y T y p e z b w N T n L X > < a : K e y > < K e y > C o l u m n s \ T o t a l   B e r a t   ( K g ) < / K e y > < / a : K e y > < a : V a l u e   i : t y p e = " M e a s u r e G r i d N o d e V i e w S t a t e " > < C o l u m n > 8 < / C o l u m n > < L a y e d O u t > t r u e < / L a y e d O u t > < / a : V a l u e > < / a : K e y V a l u e O f D i a g r a m O b j e c t K e y a n y T y p e z b w N T n L X > < a : K e y V a l u e O f D i a g r a m O b j e c t K e y a n y T y p e z b w N T n L X > < a : K e y > < K e y > C o l u m n s \ S t a t u s < / K e y > < / a : K e y > < a : V a l u e   i : t y p e = " M e a s u r e G r i d N o d e V i e w S t a t e " > < C o l u m n > 9 < / C o l u m n > < L a y e d O u t > t r u e < / L a y e d O u t > < / a : V a l u e > < / a : K e y V a l u e O f D i a g r a m O b j e c t K e y a n y T y p e z b w N T n L X > < a : K e y V a l u e O f D i a g r a m O b j e c t K e y a n y T y p e z b w N T n L X > < a : K e y > < K e y > C o l u m n s \ M a r k e t i n g < / K e y > < / a : K e y > < a : V a l u e   i : t y p e = " M e a s u r e G r i d N o d e V i e w S t a t e " > < C o l u m n > 1 0 < / C o l u m n > < L a y e d O u t > t r u e < / L a y e d O u t > < / a : V a l u e > < / a : K e y V a l u e O f D i a g r a m O b j e c t K e y a n y T y p e z b w N T n L X > < a : K e y V a l u e O f D i a g r a m O b j e c t K e y a n y T y p e z b w N T n L X > < a : K e y > < K e y > C o l u m n s \ P R O G R E S S   ( % ) < / K e y > < / a : K e y > < a : V a l u e   i : t y p e = " M e a s u r e G r i d N o d e V i e w S t a t e " > < C o l u m n > 1 1 < / C o l u m n > < L a y e d O u t > t r u e < / L a y e d O u t > < / a : V a l u e > < / a : K e y V a l u e O f D i a g r a m O b j e c t K e y a n y T y p e z b w N T n L X > < a : K e y V a l u e O f D i a g r a m O b j e c t K e y a n y T y p e z b w N T n L X > < a : K e y > < K e y > C o l u m n s \ D a t e   P O N < / K e y > < / a : K e y > < a : V a l u e   i : t y p e = " M e a s u r e G r i d N o d e V i e w S t a t e " > < C o l u m n > 1 2 < / C o l u m n > < L a y e d O u t > t r u e < / L a y e d O u t > < / a : V a l u e > < / a : K e y V a l u e O f D i a g r a m O b j e c t K e y a n y T y p e z b w N T n L X > < a : K e y V a l u e O f D i a g r a m O b j e c t K e y a n y T y p e z b w N T n L X > < a : K e y > < K e y > C o l u m n s \ D a t e   F i n i s h < / K e y > < / a : K e y > < a : V a l u e   i : t y p e = " M e a s u r e G r i d N o d e V i e w S t a t e " > < C o l u m n > 1 3 < / C o l u m n > < L a y e d O u t > t r u e < / L a y e d O u t > < / a : V a l u e > < / a : K e y V a l u e O f D i a g r a m O b j e c t K e y a n y T y p e z b w N T n L X > < a : K e y V a l u e O f D i a g r a m O b j e c t K e y a n y T y p e z b w N T n L X > < a : K e y > < K e y > M e a s u r e s \ S u m   o f   Q t y   ( U n i t ) < / K e y > < / a : K e y > < a : V a l u e   i : t y p e = " M e a s u r e G r i d N o d e V i e w S t a t e " > < C o l u m n > 3 < / C o l u m n > < L a y e d O u t > t r u e < / L a y e d O u t > < W a s U I I n v i s i b l e > t r u e < / W a s U I I n v i s i b l e > < / a : V a l u e > < / a : K e y V a l u e O f D i a g r a m O b j e c t K e y a n y T y p e z b w N T n L X > < a : K e y V a l u e O f D i a g r a m O b j e c t K e y a n y T y p e z b w N T n L X > < a : K e y > < K e y > M e a s u r e s \ S u m   o f   Q t y   ( U n i t ) \ T a g I n f o \ F o r m u l a < / K e y > < / a : K e y > < a : V a l u e   i : t y p e = " M e a s u r e G r i d V i e w S t a t e I D i a g r a m T a g A d d i t i o n a l I n f o " / > < / a : K e y V a l u e O f D i a g r a m O b j e c t K e y a n y T y p e z b w N T n L X > < a : K e y V a l u e O f D i a g r a m O b j e c t K e y a n y T y p e z b w N T n L X > < a : K e y > < K e y > M e a s u r e s \ S u m   o f   Q t y   ( U n i t ) \ T a g I n f o \ V a l u e < / K e y > < / a : K e y > < a : V a l u e   i : t y p e = " M e a s u r e G r i d V i e w S t a t e I D i a g r a m T a g A d d i t i o n a l I n f o " / > < / a : K e y V a l u e O f D i a g r a m O b j e c t K e y a n y T y p e z b w N T n L X > < a : K e y V a l u e O f D i a g r a m O b j e c t K e y a n y T y p e z b w N T n L X > < a : K e y > < K e y > L i n k s \ & l t ; C o l u m n s \ S u m   o f   Q t y   ( U n i t ) & g t ; - & l t ; M e a s u r e s \ Q t y   ( U n i t ) & g t ; < / K e y > < / a : K e y > < a : V a l u e   i : t y p e = " M e a s u r e G r i d V i e w S t a t e I D i a g r a m L i n k " / > < / a : K e y V a l u e O f D i a g r a m O b j e c t K e y a n y T y p e z b w N T n L X > < a : K e y V a l u e O f D i a g r a m O b j e c t K e y a n y T y p e z b w N T n L X > < a : K e y > < K e y > L i n k s \ & l t ; C o l u m n s \ S u m   o f   Q t y   ( U n i t ) & g t ; - & l t ; M e a s u r e s \ Q t y   ( U n i t ) & g t ; \ C O L U M N < / K e y > < / a : K e y > < a : V a l u e   i : t y p e = " M e a s u r e G r i d V i e w S t a t e I D i a g r a m L i n k E n d p o i n t " / > < / a : K e y V a l u e O f D i a g r a m O b j e c t K e y a n y T y p e z b w N T n L X > < a : K e y V a l u e O f D i a g r a m O b j e c t K e y a n y T y p e z b w N T n L X > < a : K e y > < K e y > L i n k s \ & l t ; C o l u m n s \ S u m   o f   Q t y   ( U n i t ) & g t ; - & l t ; M e a s u r e s \ Q t y   ( U n i t ) & g t ; \ M E A S U R E 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 T a g s \ T a b l e s \ & l t ; T a b l e s \ T a b l e 4 & g t ; < / K e y > < / D i a g r a m O b j e c t K e y > < D i a g r a m O b j e c t K e y > < K e y > D y n a m i c   T a g s \ T a b l e s \ & l t ; T a b l e s \ T a b l e 2 & g t ; < / K e y > < / D i a g r a m O b j e c t K e y > < D i a g r a m O b j e c t K e y > < K e y > D y n a m i c   T a g s \ T a b l e s \ & l t ; T a b l e s \ T a b l e 3 & g t ; < / K e y > < / D i a g r a m O b j e c t K e y > < D i a g r a m O b j e c t K e y > < K e y > T a b l e s \ T a b l e 4 < / K e y > < / D i a g r a m O b j e c t K e y > < D i a g r a m O b j e c t K e y > < K e y > T a b l e s \ T a b l e 4 \ C o l u m n s \ N o . < / K e y > < / D i a g r a m O b j e c t K e y > < D i a g r a m O b j e c t K e y > < K e y > T a b l e s \ T a b l e 4 \ C o l u m n s \ N o . P O N < / K e y > < / D i a g r a m O b j e c t K e y > < D i a g r a m O b j e c t K e y > < K e y > T a b l e s \ T a b l e 4 \ C o l u m n s \ T y p e     S t r u k t u r < / K e y > < / D i a g r a m O b j e c t K e y > < D i a g r a m O b j e c t K e y > < K e y > T a b l e s \ T a b l e 4 \ C o l u m n s \ M a r k i n g   S t r u k t u r < / K e y > < / D i a g r a m O b j e c t K e y > < D i a g r a m O b j e c t K e y > < K e y > T a b l e s \ T a b l e 4 \ C o l u m n s \ D a t e   I s s u e < / K e y > < / D i a g r a m O b j e c t K e y > < D i a g r a m O b j e c t K e y > < K e y > T a b l e s \ T a b l e 4 \ C o l u m n s \ I S S U E < / K e y > < / D i a g r a m O b j e c t K e y > < D i a g r a m O b j e c t K e y > < K e y > T a b l e s \ T a b l e 2 < / K e y > < / D i a g r a m O b j e c t K e y > < D i a g r a m O b j e c t K e y > < K e y > T a b l e s \ T a b l e 2 \ C o l u m n s \ N o . < / K e y > < / D i a g r a m O b j e c t K e y > < D i a g r a m O b j e c t K e y > < K e y > T a b l e s \ T a b l e 2 \ C o l u m n s \ N O .   P O N < / K e y > < / D i a g r a m O b j e c t K e y > < D i a g r a m O b j e c t K e y > < K e y > T a b l e s \ T a b l e 2 \ C o l u m n s \ T y p e     S t r u k t u r < / K e y > < / D i a g r a m O b j e c t K e y > < D i a g r a m O b j e c t K e y > < K e y > T a b l e s \ T a b l e 2 \ C o l u m n s \ Q t y   ( U n i t ) < / K e y > < / D i a g r a m O b j e c t K e y > < D i a g r a m O b j e c t K e y > < K e y > T a b l e s \ T a b l e 2 \ C o l u m n s \ M a r k i n g   S t r u k t u r < / K e y > < / D i a g r a m O b j e c t K e y > < D i a g r a m O b j e c t K e y > < K e y > T a b l e s \ T a b l e 2 \ C o l u m n s \ D e s k r i p s i     P e k e r j a a n < / K e y > < / D i a g r a m O b j e c t K e y > < D i a g r a m O b j e c t K e y > < K e y > T a b l e s \ T a b l e 2 \ C o l u m n s \ C l i e n t < / K e y > < / D i a g r a m O b j e c t K e y > < D i a g r a m O b j e c t K e y > < K e y > T a b l e s \ T a b l e 2 \ C o l u m n s \ D a e r a h < / K e y > < / D i a g r a m O b j e c t K e y > < D i a g r a m O b j e c t K e y > < K e y > T a b l e s \ T a b l e 2 \ C o l u m n s \ T o t a l   B e r a t   ( K g ) < / K e y > < / D i a g r a m O b j e c t K e y > < D i a g r a m O b j e c t K e y > < K e y > T a b l e s \ T a b l e 2 \ C o l u m n s \ S t a t u s < / K e y > < / D i a g r a m O b j e c t K e y > < D i a g r a m O b j e c t K e y > < K e y > T a b l e s \ T a b l e 2 \ C o l u m n s \ M a r k e t i n g < / K e y > < / D i a g r a m O b j e c t K e y > < D i a g r a m O b j e c t K e y > < K e y > T a b l e s \ T a b l e 2 \ C o l u m n s \ P R O G R E S S   ( % ) < / K e y > < / D i a g r a m O b j e c t K e y > < D i a g r a m O b j e c t K e y > < K e y > T a b l e s \ T a b l e 2 \ C o l u m n s \ D a t e   P O N < / K e y > < / D i a g r a m O b j e c t K e y > < D i a g r a m O b j e c t K e y > < K e y > T a b l e s \ T a b l e 2 \ C o l u m n s \ D a t e   F i n i s h < / K e y > < / D i a g r a m O b j e c t K e y > < D i a g r a m O b j e c t K e y > < K e y > T a b l e s \ T a b l e 2 \ M e a s u r e s \ S u m   o f   Q t y   ( U n i t ) < / K e y > < / D i a g r a m O b j e c t K e y > < D i a g r a m O b j e c t K e y > < K e y > T a b l e s \ T a b l e 2 \ S u m   o f   Q t y   ( U n i t ) \ A d d i t i o n a l   I n f o \ I m p l i c i t   M e a s u r e < / K e y > < / D i a g r a m O b j e c t K e y > < D i a g r a m O b j e c t K e y > < K e y > T a b l e s \ T a b l e 3 < / K e y > < / D i a g r a m O b j e c t K e y > < D i a g r a m O b j e c t K e y > < K e y > T a b l e s \ T a b l e 3 \ C o l u m n s \ N o . < / K e y > < / D i a g r a m O b j e c t K e y > < D i a g r a m O b j e c t K e y > < K e y > T a b l e s \ T a b l e 3 \ C o l u m n s \ N o . P O N < / K e y > < / D i a g r a m O b j e c t K e y > < D i a g r a m O b j e c t K e y > < K e y > T a b l e s \ T a b l e 3 \ C o l u m n s \ V e n d o r < / K e y > < / D i a g r a m O b j e c t K e y > < D i a g r a m O b j e c t K e y > < K e y > T a b l e s \ T a b l e 3 \ C o l u m n s \ T y p e     S t r u k t u r < / K e y > < / D i a g r a m O b j e c t K e y > < D i a g r a m O b j e c t K e y > < K e y > T a b l e s \ T a b l e 3 \ C o l u m n s \ M a r k i n g   S t r u k t u r < / K e y > < / D i a g r a m O b j e c t K e y > < D i a g r a m O b j e c t K e y > < K e y > T a b l e s \ T a b l e 3 \ C o l u m n s \ B e r a t   F a b r i k a s i < / K e y > < / D i a g r a m O b j e c t K e y > < D i a g r a m O b j e c t K e y > < K e y > T a b l e s \ T a b l e 3 \ C o l u m n s \ D a t e   R e l e a s e   S D < / K e y > < / D i a g r a m O b j e c t K e y > < D i a g r a m O b j e c t K e y > < K e y > T a b l e s \ T a b l e 3 \ C o l u m n s \ D a t e   S t a r t     P O N < / K e y > < / D i a g r a m O b j e c t K e y > < D i a g r a m O b j e c t K e y > < K e y > T a b l e s \ T a b l e 3 \ C o l u m n s \ D a t e   F i n i s h     P O N < / K e y > < / D i a g r a m O b j e c t K e y > < D i a g r a m O b j e c t K e y > < K e y > T a b l e s \ T a b l e 3 \ C o l u m n s \ D a t e   F i n i s h     A k t u a l < / K e y > < / D i a g r a m O b j e c t K e y > < D i a g r a m O b j e c t K e y > < K e y > T a b l e s \ T a b l e 3 \ C o l u m n s \ P r o g r e s s   ( % ) < / K e y > < / D i a g r a m O b j e c t K e y > < D i a g r a m O b j e c t K e y > < K e y > T a b l e s \ T a b l e 3 \ C o l u m n s \ I S S U E < / K e y > < / D i a g r a m O b j e c t K e y > < D i a g r a m O b j e c t K e y > < K e y > T a b l e s \ T a b l e 3 \ C o l u m n s \ S T A T U S < / K e y > < / D i a g r a m O b j e c t K e y > < D i a g r a m O b j e c t K e y > < K e y > T a b l e s \ T a b l e 3 \ C o l u m n s \ K e t e r a n g a n < / K e y > < / D i a g r a m O b j e c t K e y > < / A l l K e y s > < S e l e c t e d K e y s > < D i a g r a m O b j e c t K e y > < K e y > T a b l e s \ T a b l e 3 < / 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 T a g s \ T a b l e s \ & l t ; T a b l e s \ T a b l e 4 & g t ; < / K e y > < / a : K e y > < a : V a l u e   i : t y p e = " D i a g r a m D i s p l a y T a g V i e w S t a t e " > < I s N o t F i l t e r e d O u t > t r u e < / I s N o t F i l t e r e d O u t > < / a : V a l u e > < / a : K e y V a l u e O f D i a g r a m O b j e c t K e y a n y T y p e z b w N T n L X > < a : K e y V a l u e O f D i a g r a m O b j e c t K e y a n y T y p e z b w N T n L X > < a : K e y > < K e y > D y n a m i c   T a g s \ T a b l e s \ & l t ; T a b l e s \ T a b l e 2 & g t ; < / K e y > < / a : K e y > < a : V a l u e   i : t y p e = " D i a g r a m D i s p l a y T a g V i e w S t a t e " > < I s N o t F i l t e r e d O u t > t r u e < / I s N o t F i l t e r e d O u t > < / a : V a l u e > < / a : K e y V a l u e O f D i a g r a m O b j e c t K e y a n y T y p e z b w N T n L X > < a : K e y V a l u e O f D i a g r a m O b j e c t K e y a n y T y p e z b w N T n L X > < a : K e y > < K e y > D y n a m i c   T a g s \ T a b l e s \ & l t ; T a b l e s \ T a b l e 3 & g t ; < / K e y > < / a : K e y > < a : V a l u e   i : t y p e = " D i a g r a m D i s p l a y T a g V i e w S t a t e " > < I s N o t F i l t e r e d O u t > t r u e < / I s N o t F i l t e r e d O u t > < / a : V a l u e > < / a : K e y V a l u e O f D i a g r a m O b j e c t K e y a n y T y p e z b w N T n L X > < a : K e y V a l u e O f D i a g r a m O b j e c t K e y a n y T y p e z b w N T n L X > < a : K e y > < K e y > T a b l e s \ T a b l e 4 < / K e y > < / a : K e y > < a : V a l u e   i : t y p e = " D i a g r a m D i s p l a y N o d e V i e w S t a t e " > < H e i g h t > 1 5 0 < / H e i g h t > < I s E x p a n d e d > t r u e < / I s E x p a n d e d > < L a y e d O u t > t r u e < / L a y e d O u t > < W i d t h > 2 0 0 < / W i d t h > < / a : V a l u e > < / a : K e y V a l u e O f D i a g r a m O b j e c t K e y a n y T y p e z b w N T n L X > < a : K e y V a l u e O f D i a g r a m O b j e c t K e y a n y T y p e z b w N T n L X > < a : K e y > < K e y > T a b l e s \ T a b l e 4 \ C o l u m n s \ N o . < / K e y > < / a : K e y > < a : V a l u e   i : t y p e = " D i a g r a m D i s p l a y N o d e V i e w S t a t e " > < H e i g h t > 1 5 0 < / H e i g h t > < I s E x p a n d e d > t r u e < / I s E x p a n d e d > < W i d t h > 2 0 0 < / W i d t h > < / a : V a l u e > < / a : K e y V a l u e O f D i a g r a m O b j e c t K e y a n y T y p e z b w N T n L X > < a : K e y V a l u e O f D i a g r a m O b j e c t K e y a n y T y p e z b w N T n L X > < a : K e y > < K e y > T a b l e s \ T a b l e 4 \ C o l u m n s \ N o . P O N < / K e y > < / a : K e y > < a : V a l u e   i : t y p e = " D i a g r a m D i s p l a y N o d e V i e w S t a t e " > < H e i g h t > 1 5 0 < / H e i g h t > < I s E x p a n d e d > t r u e < / I s E x p a n d e d > < I s F o c u s e d > t r u e < / I s F o c u s e d > < W i d t h > 2 0 0 < / W i d t h > < / a : V a l u e > < / a : K e y V a l u e O f D i a g r a m O b j e c t K e y a n y T y p e z b w N T n L X > < a : K e y V a l u e O f D i a g r a m O b j e c t K e y a n y T y p e z b w N T n L X > < a : K e y > < K e y > T a b l e s \ T a b l e 4 \ C o l u m n s \ T y p e     S t r u k t u r < / K e y > < / a : K e y > < a : V a l u e   i : t y p e = " D i a g r a m D i s p l a y N o d e V i e w S t a t e " > < H e i g h t > 1 5 0 < / H e i g h t > < I s E x p a n d e d > t r u e < / I s E x p a n d e d > < W i d t h > 2 0 0 < / W i d t h > < / a : V a l u e > < / a : K e y V a l u e O f D i a g r a m O b j e c t K e y a n y T y p e z b w N T n L X > < a : K e y V a l u e O f D i a g r a m O b j e c t K e y a n y T y p e z b w N T n L X > < a : K e y > < K e y > T a b l e s \ T a b l e 4 \ C o l u m n s \ M a r k i n g   S t r u k t u r < / K e y > < / a : K e y > < a : V a l u e   i : t y p e = " D i a g r a m D i s p l a y N o d e V i e w S t a t e " > < H e i g h t > 1 5 0 < / H e i g h t > < I s E x p a n d e d > t r u e < / I s E x p a n d e d > < W i d t h > 2 0 0 < / W i d t h > < / a : V a l u e > < / a : K e y V a l u e O f D i a g r a m O b j e c t K e y a n y T y p e z b w N T n L X > < a : K e y V a l u e O f D i a g r a m O b j e c t K e y a n y T y p e z b w N T n L X > < a : K e y > < K e y > T a b l e s \ T a b l e 4 \ C o l u m n s \ D a t e   I s s u e < / K e y > < / a : K e y > < a : V a l u e   i : t y p e = " D i a g r a m D i s p l a y N o d e V i e w S t a t e " > < H e i g h t > 1 5 0 < / H e i g h t > < I s E x p a n d e d > t r u e < / I s E x p a n d e d > < W i d t h > 2 0 0 < / W i d t h > < / a : V a l u e > < / a : K e y V a l u e O f D i a g r a m O b j e c t K e y a n y T y p e z b w N T n L X > < a : K e y V a l u e O f D i a g r a m O b j e c t K e y a n y T y p e z b w N T n L X > < a : K e y > < K e y > T a b l e s \ T a b l e 4 \ C o l u m n s \ I S S U E < / K e y > < / a : K e y > < a : V a l u e   i : t y p e = " D i a g r a m D i s p l a y N o d e V i e w S t a t e " > < H e i g h t > 1 5 0 < / H e i g h t > < I s E x p a n d e d > t r u e < / I s E x p a n d e d > < W i d t h > 2 0 0 < / W i d t h > < / a : V a l u e > < / a : K e y V a l u e O f D i a g r a m O b j e c t K e y a n y T y p e z b w N T n L X > < a : K e y V a l u e O f D i a g r a m O b j e c t K e y a n y T y p e z b w N T n L X > < a : K e y > < K e y > T a b l e s \ T a b l e 2 < / K e y > < / a : K e y > < a : V a l u e   i : t y p e = " D i a g r a m D i s p l a y N o d e V i e w S t a t e " > < H e i g h t > 1 5 0 < / H e i g h t > < I s E x p a n d e d > t r u e < / I s E x p a n d e d > < L a y e d O u t > t r u e < / L a y e d O u t > < L e f t > 3 2 9 . 9 0 3 8 1 0 5 6 7 6 6 5 8 < / L e f t > < T a b I n d e x > 1 < / T a b I n d e x > < W i d t h > 2 0 0 < / W i d t h > < / a : V a l u e > < / a : K e y V a l u e O f D i a g r a m O b j e c t K e y a n y T y p e z b w N T n L X > < a : K e y V a l u e O f D i a g r a m O b j e c t K e y a n y T y p e z b w N T n L X > < a : K e y > < K e y > T a b l e s \ T a b l e 2 \ C o l u m n s \ N o . < / K e y > < / a : K e y > < a : V a l u e   i : t y p e = " D i a g r a m D i s p l a y N o d e V i e w S t a t e " > < H e i g h t > 1 5 0 < / H e i g h t > < I s E x p a n d e d > t r u e < / I s E x p a n d e d > < W i d t h > 2 0 0 < / W i d t h > < / a : V a l u e > < / a : K e y V a l u e O f D i a g r a m O b j e c t K e y a n y T y p e z b w N T n L X > < a : K e y V a l u e O f D i a g r a m O b j e c t K e y a n y T y p e z b w N T n L X > < a : K e y > < K e y > T a b l e s \ T a b l e 2 \ C o l u m n s \ N O .   P O N < / K e y > < / a : K e y > < a : V a l u e   i : t y p e = " D i a g r a m D i s p l a y N o d e V i e w S t a t e " > < H e i g h t > 1 5 0 < / H e i g h t > < I s E x p a n d e d > t r u e < / I s E x p a n d e d > < W i d t h > 2 0 0 < / W i d t h > < / a : V a l u e > < / a : K e y V a l u e O f D i a g r a m O b j e c t K e y a n y T y p e z b w N T n L X > < a : K e y V a l u e O f D i a g r a m O b j e c t K e y a n y T y p e z b w N T n L X > < a : K e y > < K e y > T a b l e s \ T a b l e 2 \ C o l u m n s \ T y p e     S t r u k t u r < / K e y > < / a : K e y > < a : V a l u e   i : t y p e = " D i a g r a m D i s p l a y N o d e V i e w S t a t e " > < H e i g h t > 1 5 0 < / H e i g h t > < I s E x p a n d e d > t r u e < / I s E x p a n d e d > < W i d t h > 2 0 0 < / W i d t h > < / a : V a l u e > < / a : K e y V a l u e O f D i a g r a m O b j e c t K e y a n y T y p e z b w N T n L X > < a : K e y V a l u e O f D i a g r a m O b j e c t K e y a n y T y p e z b w N T n L X > < a : K e y > < K e y > T a b l e s \ T a b l e 2 \ C o l u m n s \ Q t y   ( U n i t ) < / K e y > < / a : K e y > < a : V a l u e   i : t y p e = " D i a g r a m D i s p l a y N o d e V i e w S t a t e " > < H e i g h t > 1 5 0 < / H e i g h t > < I s E x p a n d e d > t r u e < / I s E x p a n d e d > < W i d t h > 2 0 0 < / W i d t h > < / a : V a l u e > < / a : K e y V a l u e O f D i a g r a m O b j e c t K e y a n y T y p e z b w N T n L X > < a : K e y V a l u e O f D i a g r a m O b j e c t K e y a n y T y p e z b w N T n L X > < a : K e y > < K e y > T a b l e s \ T a b l e 2 \ C o l u m n s \ M a r k i n g   S t r u k t u r < / K e y > < / a : K e y > < a : V a l u e   i : t y p e = " D i a g r a m D i s p l a y N o d e V i e w S t a t e " > < H e i g h t > 1 5 0 < / H e i g h t > < I s E x p a n d e d > t r u e < / I s E x p a n d e d > < W i d t h > 2 0 0 < / W i d t h > < / a : V a l u e > < / a : K e y V a l u e O f D i a g r a m O b j e c t K e y a n y T y p e z b w N T n L X > < a : K e y V a l u e O f D i a g r a m O b j e c t K e y a n y T y p e z b w N T n L X > < a : K e y > < K e y > T a b l e s \ T a b l e 2 \ C o l u m n s \ D e s k r i p s i     P e k e r j a a n < / K e y > < / a : K e y > < a : V a l u e   i : t y p e = " D i a g r a m D i s p l a y N o d e V i e w S t a t e " > < H e i g h t > 1 5 0 < / H e i g h t > < I s E x p a n d e d > t r u e < / I s E x p a n d e d > < W i d t h > 2 0 0 < / W i d t h > < / a : V a l u e > < / a : K e y V a l u e O f D i a g r a m O b j e c t K e y a n y T y p e z b w N T n L X > < a : K e y V a l u e O f D i a g r a m O b j e c t K e y a n y T y p e z b w N T n L X > < a : K e y > < K e y > T a b l e s \ T a b l e 2 \ C o l u m n s \ C l i e n t < / K e y > < / a : K e y > < a : V a l u e   i : t y p e = " D i a g r a m D i s p l a y N o d e V i e w S t a t e " > < H e i g h t > 1 5 0 < / H e i g h t > < I s E x p a n d e d > t r u e < / I s E x p a n d e d > < W i d t h > 2 0 0 < / W i d t h > < / a : V a l u e > < / a : K e y V a l u e O f D i a g r a m O b j e c t K e y a n y T y p e z b w N T n L X > < a : K e y V a l u e O f D i a g r a m O b j e c t K e y a n y T y p e z b w N T n L X > < a : K e y > < K e y > T a b l e s \ T a b l e 2 \ C o l u m n s \ D a e r a h < / K e y > < / a : K e y > < a : V a l u e   i : t y p e = " D i a g r a m D i s p l a y N o d e V i e w S t a t e " > < H e i g h t > 1 5 0 < / H e i g h t > < I s E x p a n d e d > t r u e < / I s E x p a n d e d > < W i d t h > 2 0 0 < / W i d t h > < / a : V a l u e > < / a : K e y V a l u e O f D i a g r a m O b j e c t K e y a n y T y p e z b w N T n L X > < a : K e y V a l u e O f D i a g r a m O b j e c t K e y a n y T y p e z b w N T n L X > < a : K e y > < K e y > T a b l e s \ T a b l e 2 \ C o l u m n s \ T o t a l   B e r a t   ( K g ) < / K e y > < / a : K e y > < a : V a l u e   i : t y p e = " D i a g r a m D i s p l a y N o d e V i e w S t a t e " > < H e i g h t > 1 5 0 < / H e i g h t > < I s E x p a n d e d > t r u e < / I s E x p a n d e d > < W i d t h > 2 0 0 < / W i d t h > < / a : V a l u e > < / a : K e y V a l u e O f D i a g r a m O b j e c t K e y a n y T y p e z b w N T n L X > < a : K e y V a l u e O f D i a g r a m O b j e c t K e y a n y T y p e z b w N T n L X > < a : K e y > < K e y > T a b l e s \ T a b l e 2 \ C o l u m n s \ S t a t u s < / K e y > < / a : K e y > < a : V a l u e   i : t y p e = " D i a g r a m D i s p l a y N o d e V i e w S t a t e " > < H e i g h t > 1 5 0 < / H e i g h t > < I s E x p a n d e d > t r u e < / I s E x p a n d e d > < W i d t h > 2 0 0 < / W i d t h > < / a : V a l u e > < / a : K e y V a l u e O f D i a g r a m O b j e c t K e y a n y T y p e z b w N T n L X > < a : K e y V a l u e O f D i a g r a m O b j e c t K e y a n y T y p e z b w N T n L X > < a : K e y > < K e y > T a b l e s \ T a b l e 2 \ C o l u m n s \ M a r k e t i n g < / K e y > < / a : K e y > < a : V a l u e   i : t y p e = " D i a g r a m D i s p l a y N o d e V i e w S t a t e " > < H e i g h t > 1 5 0 < / H e i g h t > < I s E x p a n d e d > t r u e < / I s E x p a n d e d > < W i d t h > 2 0 0 < / W i d t h > < / a : V a l u e > < / a : K e y V a l u e O f D i a g r a m O b j e c t K e y a n y T y p e z b w N T n L X > < a : K e y V a l u e O f D i a g r a m O b j e c t K e y a n y T y p e z b w N T n L X > < a : K e y > < K e y > T a b l e s \ T a b l e 2 \ C o l u m n s \ P R O G R E S S   ( % ) < / K e y > < / a : K e y > < a : V a l u e   i : t y p e = " D i a g r a m D i s p l a y N o d e V i e w S t a t e " > < H e i g h t > 1 5 0 < / H e i g h t > < I s E x p a n d e d > t r u e < / I s E x p a n d e d > < W i d t h > 2 0 0 < / W i d t h > < / a : V a l u e > < / a : K e y V a l u e O f D i a g r a m O b j e c t K e y a n y T y p e z b w N T n L X > < a : K e y V a l u e O f D i a g r a m O b j e c t K e y a n y T y p e z b w N T n L X > < a : K e y > < K e y > T a b l e s \ T a b l e 2 \ C o l u m n s \ D a t e   P O N < / K e y > < / a : K e y > < a : V a l u e   i : t y p e = " D i a g r a m D i s p l a y N o d e V i e w S t a t e " > < H e i g h t > 1 5 0 < / H e i g h t > < I s E x p a n d e d > t r u e < / I s E x p a n d e d > < W i d t h > 2 0 0 < / W i d t h > < / a : V a l u e > < / a : K e y V a l u e O f D i a g r a m O b j e c t K e y a n y T y p e z b w N T n L X > < a : K e y V a l u e O f D i a g r a m O b j e c t K e y a n y T y p e z b w N T n L X > < a : K e y > < K e y > T a b l e s \ T a b l e 2 \ C o l u m n s \ D a t e   F i n i s h < / K e y > < / a : K e y > < a : V a l u e   i : t y p e = " D i a g r a m D i s p l a y N o d e V i e w S t a t e " > < H e i g h t > 1 5 0 < / H e i g h t > < I s E x p a n d e d > t r u e < / I s E x p a n d e d > < W i d t h > 2 0 0 < / W i d t h > < / a : V a l u e > < / a : K e y V a l u e O f D i a g r a m O b j e c t K e y a n y T y p e z b w N T n L X > < a : K e y V a l u e O f D i a g r a m O b j e c t K e y a n y T y p e z b w N T n L X > < a : K e y > < K e y > T a b l e s \ T a b l e 2 \ M e a s u r e s \ S u m   o f   Q t y   ( U n i t ) < / K e y > < / a : K e y > < a : V a l u e   i : t y p e = " D i a g r a m D i s p l a y N o d e V i e w S t a t e " > < H e i g h t > 1 5 0 < / H e i g h t > < I s E x p a n d e d > t r u e < / I s E x p a n d e d > < W i d t h > 2 0 0 < / W i d t h > < / a : V a l u e > < / a : K e y V a l u e O f D i a g r a m O b j e c t K e y a n y T y p e z b w N T n L X > < a : K e y V a l u e O f D i a g r a m O b j e c t K e y a n y T y p e z b w N T n L X > < a : K e y > < K e y > T a b l e s \ T a b l e 2 \ S u m   o f   Q t y   ( U n i t ) \ A d d i t i o n a l   I n f o \ I m p l i c i t   M e a s u r e < / K e y > < / a : K e y > < a : V a l u e   i : t y p e = " D i a g r a m D i s p l a y V i e w S t a t e I D i a g r a m T a g A d d i t i o n a l I n f o " / > < / a : K e y V a l u e O f D i a g r a m O b j e c t K e y a n y T y p e z b w N T n L X > < a : K e y V a l u e O f D i a g r a m O b j e c t K e y a n y T y p e z b w N T n L X > < a : K e y > < K e y > T a b l e s \ T a b l e 3 < / K e y > < / a : K e y > < a : V a l u e   i : t y p e = " D i a g r a m D i s p l a y N o d e V i e w S t a t e " > < H e i g h t > 1 5 0 < / H e i g h t > < I s E x p a n d e d > t r u e < / I s E x p a n d e d > < L a y e d O u t > t r u e < / L a y e d O u t > < L e f t > 5 6 9 . 9 0 3 8 1 0 5 6 7 6 6 5 8 < / L e f t > < T a b I n d e x > 2 < / T a b I n d e x > < W i d t h > 2 0 0 < / W i d t h > < / a : V a l u e > < / a : K e y V a l u e O f D i a g r a m O b j e c t K e y a n y T y p e z b w N T n L X > < a : K e y V a l u e O f D i a g r a m O b j e c t K e y a n y T y p e z b w N T n L X > < a : K e y > < K e y > T a b l e s \ T a b l e 3 \ C o l u m n s \ N o . < / K e y > < / a : K e y > < a : V a l u e   i : t y p e = " D i a g r a m D i s p l a y N o d e V i e w S t a t e " > < H e i g h t > 1 5 0 < / H e i g h t > < I s E x p a n d e d > t r u e < / I s E x p a n d e d > < W i d t h > 2 0 0 < / W i d t h > < / a : V a l u e > < / a : K e y V a l u e O f D i a g r a m O b j e c t K e y a n y T y p e z b w N T n L X > < a : K e y V a l u e O f D i a g r a m O b j e c t K e y a n y T y p e z b w N T n L X > < a : K e y > < K e y > T a b l e s \ T a b l e 3 \ C o l u m n s \ N o . P O N < / K e y > < / a : K e y > < a : V a l u e   i : t y p e = " D i a g r a m D i s p l a y N o d e V i e w S t a t e " > < H e i g h t > 1 5 0 < / H e i g h t > < I s E x p a n d e d > t r u e < / I s E x p a n d e d > < W i d t h > 2 0 0 < / W i d t h > < / a : V a l u e > < / a : K e y V a l u e O f D i a g r a m O b j e c t K e y a n y T y p e z b w N T n L X > < a : K e y V a l u e O f D i a g r a m O b j e c t K e y a n y T y p e z b w N T n L X > < a : K e y > < K e y > T a b l e s \ T a b l e 3 \ C o l u m n s \ V e n d o r < / K e y > < / a : K e y > < a : V a l u e   i : t y p e = " D i a g r a m D i s p l a y N o d e V i e w S t a t e " > < H e i g h t > 1 5 0 < / H e i g h t > < I s E x p a n d e d > t r u e < / I s E x p a n d e d > < W i d t h > 2 0 0 < / W i d t h > < / a : V a l u e > < / a : K e y V a l u e O f D i a g r a m O b j e c t K e y a n y T y p e z b w N T n L X > < a : K e y V a l u e O f D i a g r a m O b j e c t K e y a n y T y p e z b w N T n L X > < a : K e y > < K e y > T a b l e s \ T a b l e 3 \ C o l u m n s \ T y p e     S t r u k t u r < / K e y > < / a : K e y > < a : V a l u e   i : t y p e = " D i a g r a m D i s p l a y N o d e V i e w S t a t e " > < H e i g h t > 1 5 0 < / H e i g h t > < I s E x p a n d e d > t r u e < / I s E x p a n d e d > < W i d t h > 2 0 0 < / W i d t h > < / a : V a l u e > < / a : K e y V a l u e O f D i a g r a m O b j e c t K e y a n y T y p e z b w N T n L X > < a : K e y V a l u e O f D i a g r a m O b j e c t K e y a n y T y p e z b w N T n L X > < a : K e y > < K e y > T a b l e s \ T a b l e 3 \ C o l u m n s \ M a r k i n g   S t r u k t u r < / K e y > < / a : K e y > < a : V a l u e   i : t y p e = " D i a g r a m D i s p l a y N o d e V i e w S t a t e " > < H e i g h t > 1 5 0 < / H e i g h t > < I s E x p a n d e d > t r u e < / I s E x p a n d e d > < W i d t h > 2 0 0 < / W i d t h > < / a : V a l u e > < / a : K e y V a l u e O f D i a g r a m O b j e c t K e y a n y T y p e z b w N T n L X > < a : K e y V a l u e O f D i a g r a m O b j e c t K e y a n y T y p e z b w N T n L X > < a : K e y > < K e y > T a b l e s \ T a b l e 3 \ C o l u m n s \ B e r a t   F a b r i k a s i < / K e y > < / a : K e y > < a : V a l u e   i : t y p e = " D i a g r a m D i s p l a y N o d e V i e w S t a t e " > < H e i g h t > 1 5 0 < / H e i g h t > < I s E x p a n d e d > t r u e < / I s E x p a n d e d > < W i d t h > 2 0 0 < / W i d t h > < / a : V a l u e > < / a : K e y V a l u e O f D i a g r a m O b j e c t K e y a n y T y p e z b w N T n L X > < a : K e y V a l u e O f D i a g r a m O b j e c t K e y a n y T y p e z b w N T n L X > < a : K e y > < K e y > T a b l e s \ T a b l e 3 \ C o l u m n s \ D a t e   R e l e a s e   S D < / K e y > < / a : K e y > < a : V a l u e   i : t y p e = " D i a g r a m D i s p l a y N o d e V i e w S t a t e " > < H e i g h t > 1 5 0 < / H e i g h t > < I s E x p a n d e d > t r u e < / I s E x p a n d e d > < W i d t h > 2 0 0 < / W i d t h > < / a : V a l u e > < / a : K e y V a l u e O f D i a g r a m O b j e c t K e y a n y T y p e z b w N T n L X > < a : K e y V a l u e O f D i a g r a m O b j e c t K e y a n y T y p e z b w N T n L X > < a : K e y > < K e y > T a b l e s \ T a b l e 3 \ C o l u m n s \ D a t e   S t a r t     P O N < / K e y > < / a : K e y > < a : V a l u e   i : t y p e = " D i a g r a m D i s p l a y N o d e V i e w S t a t e " > < H e i g h t > 1 5 0 < / H e i g h t > < I s E x p a n d e d > t r u e < / I s E x p a n d e d > < W i d t h > 2 0 0 < / W i d t h > < / a : V a l u e > < / a : K e y V a l u e O f D i a g r a m O b j e c t K e y a n y T y p e z b w N T n L X > < a : K e y V a l u e O f D i a g r a m O b j e c t K e y a n y T y p e z b w N T n L X > < a : K e y > < K e y > T a b l e s \ T a b l e 3 \ C o l u m n s \ D a t e   F i n i s h     P O N < / K e y > < / a : K e y > < a : V a l u e   i : t y p e = " D i a g r a m D i s p l a y N o d e V i e w S t a t e " > < H e i g h t > 1 5 0 < / H e i g h t > < I s E x p a n d e d > t r u e < / I s E x p a n d e d > < W i d t h > 2 0 0 < / W i d t h > < / a : V a l u e > < / a : K e y V a l u e O f D i a g r a m O b j e c t K e y a n y T y p e z b w N T n L X > < a : K e y V a l u e O f D i a g r a m O b j e c t K e y a n y T y p e z b w N T n L X > < a : K e y > < K e y > T a b l e s \ T a b l e 3 \ C o l u m n s \ D a t e   F i n i s h     A k t u a l < / K e y > < / a : K e y > < a : V a l u e   i : t y p e = " D i a g r a m D i s p l a y N o d e V i e w S t a t e " > < H e i g h t > 1 5 0 < / H e i g h t > < I s E x p a n d e d > t r u e < / I s E x p a n d e d > < W i d t h > 2 0 0 < / W i d t h > < / a : V a l u e > < / a : K e y V a l u e O f D i a g r a m O b j e c t K e y a n y T y p e z b w N T n L X > < a : K e y V a l u e O f D i a g r a m O b j e c t K e y a n y T y p e z b w N T n L X > < a : K e y > < K e y > T a b l e s \ T a b l e 3 \ C o l u m n s \ P r o g r e s s   ( % ) < / K e y > < / a : K e y > < a : V a l u e   i : t y p e = " D i a g r a m D i s p l a y N o d e V i e w S t a t e " > < H e i g h t > 1 5 0 < / H e i g h t > < I s E x p a n d e d > t r u e < / I s E x p a n d e d > < W i d t h > 2 0 0 < / W i d t h > < / a : V a l u e > < / a : K e y V a l u e O f D i a g r a m O b j e c t K e y a n y T y p e z b w N T n L X > < a : K e y V a l u e O f D i a g r a m O b j e c t K e y a n y T y p e z b w N T n L X > < a : K e y > < K e y > T a b l e s \ T a b l e 3 \ C o l u m n s \ I S S U E < / K e y > < / a : K e y > < a : V a l u e   i : t y p e = " D i a g r a m D i s p l a y N o d e V i e w S t a t e " > < H e i g h t > 1 5 0 < / H e i g h t > < I s E x p a n d e d > t r u e < / I s E x p a n d e d > < W i d t h > 2 0 0 < / W i d t h > < / a : V a l u e > < / a : K e y V a l u e O f D i a g r a m O b j e c t K e y a n y T y p e z b w N T n L X > < a : K e y V a l u e O f D i a g r a m O b j e c t K e y a n y T y p e z b w N T n L X > < a : K e y > < K e y > T a b l e s \ T a b l e 3 \ C o l u m n s \ S T A T U S < / K e y > < / a : K e y > < a : V a l u e   i : t y p e = " D i a g r a m D i s p l a y N o d e V i e w S t a t e " > < H e i g h t > 1 5 0 < / H e i g h t > < I s E x p a n d e d > t r u e < / I s E x p a n d e d > < W i d t h > 2 0 0 < / W i d t h > < / a : V a l u e > < / a : K e y V a l u e O f D i a g r a m O b j e c t K e y a n y T y p e z b w N T n L X > < a : K e y V a l u e O f D i a g r a m O b j e c t K e y a n y T y p e z b w N T n L X > < a : K e y > < K e y > T a b l e s \ T a b l e 3 \ C o l u m n s \ K e t e r a n g a n < / K e y > < / a : K e y > < a : V a l u e   i : t y p e = " D i a g r a m D i s p l a y N o d e V i e w S t a t e " > < H e i g h t > 1 5 0 < / H e i g h t > < I s E x p a n d e d > t r u e < / I s E x p a n d e d > < W i d t h > 2 0 0 < / W i d t h > < / a : V a l u e > < / a : K e y V a l u e O f D i a g r a m O b j e c t K e y a n y T y p e z b w N T n L X > < / V i e w S t a t e s > < / D i a g r a m M a n a g e r . S e r i a l i z a b l e D i a g r a m > < D i a g r a m M a n a g e r . S e r i a l i z a b l e D i a g r a m > < A d a p t e r   i : t y p e = " M e a s u r e D i a g r a m S a n d b o x A d a p t e r " > < T a b l e N a m e > T a b l e 3 < / 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 T a b l e 3 < / 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 C o l u m n s \ N o . < / K e y > < / D i a g r a m O b j e c t K e y > < D i a g r a m O b j e c t K e y > < K e y > C o l u m n s \ N o . P O N < / K e y > < / D i a g r a m O b j e c t K e y > < D i a g r a m O b j e c t K e y > < K e y > C o l u m n s \ V e n d o r < / K e y > < / D i a g r a m O b j e c t K e y > < D i a g r a m O b j e c t K e y > < K e y > C o l u m n s \ T y p e     S t r u k t u r < / K e y > < / D i a g r a m O b j e c t K e y > < D i a g r a m O b j e c t K e y > < K e y > C o l u m n s \ M a r k i n g   S t r u k t u r < / K e y > < / D i a g r a m O b j e c t K e y > < D i a g r a m O b j e c t K e y > < K e y > C o l u m n s \ B e r a t   F a b r i k a s i < / K e y > < / D i a g r a m O b j e c t K e y > < D i a g r a m O b j e c t K e y > < K e y > C o l u m n s \ D a t e   R e l e a s e   S D < / K e y > < / D i a g r a m O b j e c t K e y > < D i a g r a m O b j e c t K e y > < K e y > C o l u m n s \ D a t e   S t a r t     P O N < / K e y > < / D i a g r a m O b j e c t K e y > < D i a g r a m O b j e c t K e y > < K e y > C o l u m n s \ D a t e   F i n i s h     P O N < / K e y > < / D i a g r a m O b j e c t K e y > < D i a g r a m O b j e c t K e y > < K e y > C o l u m n s \ D a t e   F i n i s h     A k t u a l < / K e y > < / D i a g r a m O b j e c t K e y > < D i a g r a m O b j e c t K e y > < K e y > C o l u m n s \ P r o g r e s s   ( % ) < / K e y > < / D i a g r a m O b j e c t K e y > < D i a g r a m O b j e c t K e y > < K e y > C o l u m n s \ I S S U E < / K e y > < / D i a g r a m O b j e c t K e y > < D i a g r a m O b j e c t K e y > < K e y > C o l u m n s \ S T A T U S < / K e y > < / D i a g r a m O b j e c t K e y > < D i a g r a m O b j e c t K e y > < K e y > C o l u m n s \ K e t e r a n g a n 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 C o l u m n s \ N o . < / K e y > < / a : K e y > < a : V a l u e   i : t y p e = " M e a s u r e G r i d N o d e V i e w S t a t e " > < L a y e d O u t > t r u e < / L a y e d O u t > < / a : V a l u e > < / a : K e y V a l u e O f D i a g r a m O b j e c t K e y a n y T y p e z b w N T n L X > < a : K e y V a l u e O f D i a g r a m O b j e c t K e y a n y T y p e z b w N T n L X > < a : K e y > < K e y > C o l u m n s \ N o . P O N < / K e y > < / a : K e y > < a : V a l u e   i : t y p e = " M e a s u r e G r i d N o d e V i e w S t a t e " > < C o l u m n > 1 < / C o l u m n > < L a y e d O u t > t r u e < / L a y e d O u t > < / a : V a l u e > < / a : K e y V a l u e O f D i a g r a m O b j e c t K e y a n y T y p e z b w N T n L X > < a : K e y V a l u e O f D i a g r a m O b j e c t K e y a n y T y p e z b w N T n L X > < a : K e y > < K e y > C o l u m n s \ V e n d o r < / K e y > < / a : K e y > < a : V a l u e   i : t y p e = " M e a s u r e G r i d N o d e V i e w S t a t e " > < C o l u m n > 2 < / C o l u m n > < L a y e d O u t > t r u e < / L a y e d O u t > < / a : V a l u e > < / a : K e y V a l u e O f D i a g r a m O b j e c t K e y a n y T y p e z b w N T n L X > < a : K e y V a l u e O f D i a g r a m O b j e c t K e y a n y T y p e z b w N T n L X > < a : K e y > < K e y > C o l u m n s \ T y p e     S t r u k t u r < / K e y > < / a : K e y > < a : V a l u e   i : t y p e = " M e a s u r e G r i d N o d e V i e w S t a t e " > < C o l u m n > 3 < / C o l u m n > < L a y e d O u t > t r u e < / L a y e d O u t > < / a : V a l u e > < / a : K e y V a l u e O f D i a g r a m O b j e c t K e y a n y T y p e z b w N T n L X > < a : K e y V a l u e O f D i a g r a m O b j e c t K e y a n y T y p e z b w N T n L X > < a : K e y > < K e y > C o l u m n s \ M a r k i n g   S t r u k t u r < / K e y > < / a : K e y > < a : V a l u e   i : t y p e = " M e a s u r e G r i d N o d e V i e w S t a t e " > < C o l u m n > 4 < / C o l u m n > < L a y e d O u t > t r u e < / L a y e d O u t > < / a : V a l u e > < / a : K e y V a l u e O f D i a g r a m O b j e c t K e y a n y T y p e z b w N T n L X > < a : K e y V a l u e O f D i a g r a m O b j e c t K e y a n y T y p e z b w N T n L X > < a : K e y > < K e y > C o l u m n s \ B e r a t   F a b r i k a s i < / K e y > < / a : K e y > < a : V a l u e   i : t y p e = " M e a s u r e G r i d N o d e V i e w S t a t e " > < C o l u m n > 5 < / C o l u m n > < L a y e d O u t > t r u e < / L a y e d O u t > < / a : V a l u e > < / a : K e y V a l u e O f D i a g r a m O b j e c t K e y a n y T y p e z b w N T n L X > < a : K e y V a l u e O f D i a g r a m O b j e c t K e y a n y T y p e z b w N T n L X > < a : K e y > < K e y > C o l u m n s \ D a t e   R e l e a s e   S D < / K e y > < / a : K e y > < a : V a l u e   i : t y p e = " M e a s u r e G r i d N o d e V i e w S t a t e " > < C o l u m n > 6 < / C o l u m n > < L a y e d O u t > t r u e < / L a y e d O u t > < / a : V a l u e > < / a : K e y V a l u e O f D i a g r a m O b j e c t K e y a n y T y p e z b w N T n L X > < a : K e y V a l u e O f D i a g r a m O b j e c t K e y a n y T y p e z b w N T n L X > < a : K e y > < K e y > C o l u m n s \ D a t e   S t a r t     P O N < / K e y > < / a : K e y > < a : V a l u e   i : t y p e = " M e a s u r e G r i d N o d e V i e w S t a t e " > < C o l u m n > 7 < / C o l u m n > < L a y e d O u t > t r u e < / L a y e d O u t > < / a : V a l u e > < / a : K e y V a l u e O f D i a g r a m O b j e c t K e y a n y T y p e z b w N T n L X > < a : K e y V a l u e O f D i a g r a m O b j e c t K e y a n y T y p e z b w N T n L X > < a : K e y > < K e y > C o l u m n s \ D a t e   F i n i s h     P O N < / K e y > < / a : K e y > < a : V a l u e   i : t y p e = " M e a s u r e G r i d N o d e V i e w S t a t e " > < C o l u m n > 8 < / C o l u m n > < L a y e d O u t > t r u e < / L a y e d O u t > < / a : V a l u e > < / a : K e y V a l u e O f D i a g r a m O b j e c t K e y a n y T y p e z b w N T n L X > < a : K e y V a l u e O f D i a g r a m O b j e c t K e y a n y T y p e z b w N T n L X > < a : K e y > < K e y > C o l u m n s \ D a t e   F i n i s h     A k t u a l < / K e y > < / a : K e y > < a : V a l u e   i : t y p e = " M e a s u r e G r i d N o d e V i e w S t a t e " > < C o l u m n > 9 < / C o l u m n > < L a y e d O u t > t r u e < / L a y e d O u t > < / a : V a l u e > < / a : K e y V a l u e O f D i a g r a m O b j e c t K e y a n y T y p e z b w N T n L X > < a : K e y V a l u e O f D i a g r a m O b j e c t K e y a n y T y p e z b w N T n L X > < a : K e y > < K e y > C o l u m n s \ P r o g r e s s   ( % ) < / K e y > < / a : K e y > < a : V a l u e   i : t y p e = " M e a s u r e G r i d N o d e V i e w S t a t e " > < C o l u m n > 1 0 < / C o l u m n > < L a y e d O u t > t r u e < / L a y e d O u t > < / a : V a l u e > < / a : K e y V a l u e O f D i a g r a m O b j e c t K e y a n y T y p e z b w N T n L X > < a : K e y V a l u e O f D i a g r a m O b j e c t K e y a n y T y p e z b w N T n L X > < a : K e y > < K e y > C o l u m n s \ I S S U E < / K e y > < / a : K e y > < a : V a l u e   i : t y p e = " M e a s u r e G r i d N o d e V i e w S t a t e " > < C o l u m n > 1 1 < / C o l u m n > < L a y e d O u t > t r u e < / L a y e d O u t > < / a : V a l u e > < / a : K e y V a l u e O f D i a g r a m O b j e c t K e y a n y T y p e z b w N T n L X > < a : K e y V a l u e O f D i a g r a m O b j e c t K e y a n y T y p e z b w N T n L X > < a : K e y > < K e y > C o l u m n s \ S T A T U S < / K e y > < / a : K e y > < a : V a l u e   i : t y p e = " M e a s u r e G r i d N o d e V i e w S t a t e " > < C o l u m n > 1 2 < / C o l u m n > < L a y e d O u t > t r u e < / L a y e d O u t > < / a : V a l u e > < / a : K e y V a l u e O f D i a g r a m O b j e c t K e y a n y T y p e z b w N T n L X > < a : K e y V a l u e O f D i a g r a m O b j e c t K e y a n y T y p e z b w N T n L X > < a : K e y > < K e y > C o l u m n s \ K e t e r a n g a n < / K e y > < / a : K e y > < a : V a l u e   i : t y p e = " M e a s u r e G r i d N o d e V i e w S t a t e " > < C o l u m n > 1 3 < / C o l u m n > < L a y e d O u t > t r u e < / L a y e d O u t > < / a : V a l u e > < / a : K e y V a l u e O f D i a g r a m O b j e c t K e y a n y T y p e z b w N T n L X > < / V i e w S t a t e s > < / D i a g r a m M a n a g e r . S e r i a l i z a b l e D i a g r a m > < D i a g r a m M a n a g e r . S e r i a l i z a b l e D i a g r a m > < A d a p t e r   i : t y p e = " M e a s u r e D i a g r a m S a n d b o x A d a p t e r " > < T a b l e N a m e > T a b l e 4 < / 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 T a b l e 4 < / 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 C o l u m n s \ N o . < / K e y > < / D i a g r a m O b j e c t K e y > < D i a g r a m O b j e c t K e y > < K e y > C o l u m n s \ N o . P O N < / K e y > < / D i a g r a m O b j e c t K e y > < D i a g r a m O b j e c t K e y > < K e y > C o l u m n s \ T y p e     S t r u k t u r < / K e y > < / D i a g r a m O b j e c t K e y > < D i a g r a m O b j e c t K e y > < K e y > C o l u m n s \ M a r k i n g   S t r u k t u r < / K e y > < / D i a g r a m O b j e c t K e y > < D i a g r a m O b j e c t K e y > < K e y > C o l u m n s \ D a t e   I s s u e < / K e y > < / D i a g r a m O b j e c t K e y > < D i a g r a m O b j e c t K e y > < K e y > C o l u m n s \ I S S U E 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 C o l u m n s \ N o . < / K e y > < / a : K e y > < a : V a l u e   i : t y p e = " M e a s u r e G r i d N o d e V i e w S t a t e " > < L a y e d O u t > t r u e < / L a y e d O u t > < / a : V a l u e > < / a : K e y V a l u e O f D i a g r a m O b j e c t K e y a n y T y p e z b w N T n L X > < a : K e y V a l u e O f D i a g r a m O b j e c t K e y a n y T y p e z b w N T n L X > < a : K e y > < K e y > C o l u m n s \ N o . P O N < / K e y > < / a : K e y > < a : V a l u e   i : t y p e = " M e a s u r e G r i d N o d e V i e w S t a t e " > < C o l u m n > 1 < / C o l u m n > < L a y e d O u t > t r u e < / L a y e d O u t > < / a : V a l u e > < / a : K e y V a l u e O f D i a g r a m O b j e c t K e y a n y T y p e z b w N T n L X > < a : K e y V a l u e O f D i a g r a m O b j e c t K e y a n y T y p e z b w N T n L X > < a : K e y > < K e y > C o l u m n s \ T y p e     S t r u k t u r < / K e y > < / a : K e y > < a : V a l u e   i : t y p e = " M e a s u r e G r i d N o d e V i e w S t a t e " > < C o l u m n > 2 < / C o l u m n > < L a y e d O u t > t r u e < / L a y e d O u t > < / a : V a l u e > < / a : K e y V a l u e O f D i a g r a m O b j e c t K e y a n y T y p e z b w N T n L X > < a : K e y V a l u e O f D i a g r a m O b j e c t K e y a n y T y p e z b w N T n L X > < a : K e y > < K e y > C o l u m n s \ M a r k i n g   S t r u k t u r < / K e y > < / a : K e y > < a : V a l u e   i : t y p e = " M e a s u r e G r i d N o d e V i e w S t a t e " > < C o l u m n > 3 < / C o l u m n > < L a y e d O u t > t r u e < / L a y e d O u t > < / a : V a l u e > < / a : K e y V a l u e O f D i a g r a m O b j e c t K e y a n y T y p e z b w N T n L X > < a : K e y V a l u e O f D i a g r a m O b j e c t K e y a n y T y p e z b w N T n L X > < a : K e y > < K e y > C o l u m n s \ D a t e   I s s u e < / K e y > < / a : K e y > < a : V a l u e   i : t y p e = " M e a s u r e G r i d N o d e V i e w S t a t e " > < C o l u m n > 4 < / C o l u m n > < L a y e d O u t > t r u e < / L a y e d O u t > < / a : V a l u e > < / a : K e y V a l u e O f D i a g r a m O b j e c t K e y a n y T y p e z b w N T n L X > < a : K e y V a l u e O f D i a g r a m O b j e c t K e y a n y T y p e z b w N T n L X > < a : K e y > < K e y > C o l u m n s \ I S S U E < / K e y > < / a : K e y > < a : V a l u e   i : t y p e = " M e a s u r e G r i d N o d e V i e w S t a t e " > < C o l u m n > 5 < / C o l u m n > < L a y e d O u t > t r u e < / L a y e d O u t > < / a : V a l u e > < / a : K e y V a l u e O f D i a g r a m O b j e c t K e y a n y T y p e z b w N T n L X > < / V i e w S t a t e s > < / D i a g r a m M a n a g e r . S e r i a l i z a b l e D i a g r a m > < / A r r a y O f D i a g r a m M a n a g e r . S e r i a l i z a b l e D i a g r a m > ] ] > < / C u s t o m C o n t e n t > < / G e m i n i > 
</file>

<file path=customXml/item8.xml>��< ? x m l   v e r s i o n = " 1 . 0 "   e n c o d i n g = " U T F - 1 6 " ? > < G e m i n i   x m l n s = " h t t p : / / g e m i n i / p i v o t c u s t o m i z a t i o n / P o w e r P i v o t V e r s i o n " > < C u s t o m C o n t e n t > < ! [ C D A T A [ 2 0 1 5 . 1 3 0 . 1 6 0 5 . 1 0 7 5 ] ] > < / C u s t o m C o n t e n t > < / G e m i n i > 
</file>

<file path=customXml/item9.xml>��< ? x m l   v e r s i o n = " 1 . 0 "   e n c o d i n g = " U T F - 1 6 " ? > < G e m i n i   x m l n s = " h t t p : / / g e m i n i / p i v o t c u s t o m i z a t i o n / T a b l e X M L _ T a b l e 4 " > < C u s t o m C o n t e n t > < ! [ C D A T A [ < T a b l e W i d g e t G r i d S e r i a l i z a t i o n   x m l n s : x s d = " h t t p : / / w w w . w 3 . o r g / 2 0 0 1 / X M L S c h e m a "   x m l n s : x s i = " h t t p : / / w w w . w 3 . o r g / 2 0 0 1 / X M L S c h e m a - i n s t a n c e " > < C o l u m n S u g g e s t e d T y p e   / > < C o l u m n F o r m a t   / > < C o l u m n A c c u r a c y   / > < C o l u m n C u r r e n c y S y m b o l   / > < C o l u m n P o s i t i v e P a t t e r n   / > < C o l u m n N e g a t i v e P a t t e r n   / > < C o l u m n W i d t h s > < i t e m > < k e y > < s t r i n g > N o . < / s t r i n g > < / k e y > < v a l u e > < i n t > 7 0 < / i n t > < / v a l u e > < / i t e m > < i t e m > < k e y > < s t r i n g > N o . P O N < / s t r i n g > < / k e y > < v a l u e > < i n t > 1 0 5 < / i n t > < / v a l u e > < / i t e m > < i t e m > < k e y > < s t r i n g > T y p e     S t r u k t u r < / s t r i n g > < / k e y > < v a l u e > < i n t > 1 5 1 < / i n t > < / v a l u e > < / i t e m > < i t e m > < k e y > < s t r i n g > M a r k i n g   S t r u k t u r < / s t r i n g > < / k e y > < v a l u e > < i n t > 1 7 5 < / i n t > < / v a l u e > < / i t e m > < i t e m > < k e y > < s t r i n g > D a t e   I s s u e < / s t r i n g > < / k e y > < v a l u e > < i n t > 1 2 4 < / i n t > < / v a l u e > < / i t e m > < i t e m > < k e y > < s t r i n g > I S S U E < / s t r i n g > < / k e y > < v a l u e > < i n t > 5 7 2 < / i n t > < / v a l u e > < / i t e m > < / C o l u m n W i d t h s > < C o l u m n D i s p l a y I n d e x > < i t e m > < k e y > < s t r i n g > N o . < / s t r i n g > < / k e y > < v a l u e > < i n t > 0 < / i n t > < / v a l u e > < / i t e m > < i t e m > < k e y > < s t r i n g > N o . P O N < / s t r i n g > < / k e y > < v a l u e > < i n t > 1 < / i n t > < / v a l u e > < / i t e m > < i t e m > < k e y > < s t r i n g > T y p e     S t r u k t u r < / s t r i n g > < / k e y > < v a l u e > < i n t > 2 < / i n t > < / v a l u e > < / i t e m > < i t e m > < k e y > < s t r i n g > M a r k i n g   S t r u k t u r < / s t r i n g > < / k e y > < v a l u e > < i n t > 3 < / i n t > < / v a l u e > < / i t e m > < i t e m > < k e y > < s t r i n g > D a t e   I s s u e < / s t r i n g > < / k e y > < v a l u e > < i n t > 4 < / i n t > < / v a l u e > < / i t e m > < i t e m > < k e y > < s t r i n g > I S S U E < / s t r i n g > < / k e y > < v a l u e > < i n t > 5 < / 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EA44CFA7-63BD-41A7-B07F-9B1C957A61AA}">
  <ds:schemaRefs/>
</ds:datastoreItem>
</file>

<file path=customXml/itemProps10.xml><?xml version="1.0" encoding="utf-8"?>
<ds:datastoreItem xmlns:ds="http://schemas.openxmlformats.org/officeDocument/2006/customXml" ds:itemID="{E7073604-1F9D-4102-BDAD-097558E93A07}">
  <ds:schemaRefs/>
</ds:datastoreItem>
</file>

<file path=customXml/itemProps11.xml><?xml version="1.0" encoding="utf-8"?>
<ds:datastoreItem xmlns:ds="http://schemas.openxmlformats.org/officeDocument/2006/customXml" ds:itemID="{3D91D749-8B27-4CAA-B9C1-56201FA698E5}">
  <ds:schemaRefs>
    <ds:schemaRef ds:uri="http://www.w3.org/2001/XMLSchema"/>
    <ds:schemaRef ds:uri="http://microsoft.data.visualization.engine.tours/1.0"/>
  </ds:schemaRefs>
</ds:datastoreItem>
</file>

<file path=customXml/itemProps12.xml><?xml version="1.0" encoding="utf-8"?>
<ds:datastoreItem xmlns:ds="http://schemas.openxmlformats.org/officeDocument/2006/customXml" ds:itemID="{1B6BF701-83CE-4F0F-9D73-0206DE10C1CB}">
  <ds:schemaRefs>
    <ds:schemaRef ds:uri="http://schemas.microsoft.com/DataMashup"/>
  </ds:schemaRefs>
</ds:datastoreItem>
</file>

<file path=customXml/itemProps13.xml><?xml version="1.0" encoding="utf-8"?>
<ds:datastoreItem xmlns:ds="http://schemas.openxmlformats.org/officeDocument/2006/customXml" ds:itemID="{D0BB67AF-9BFE-461A-90EA-FB0C7AF59125}">
  <ds:schemaRefs/>
</ds:datastoreItem>
</file>

<file path=customXml/itemProps14.xml><?xml version="1.0" encoding="utf-8"?>
<ds:datastoreItem xmlns:ds="http://schemas.openxmlformats.org/officeDocument/2006/customXml" ds:itemID="{8F7F5224-0255-45B5-B5F4-63747FE189C3}">
  <ds:schemaRefs/>
</ds:datastoreItem>
</file>

<file path=customXml/itemProps15.xml><?xml version="1.0" encoding="utf-8"?>
<ds:datastoreItem xmlns:ds="http://schemas.openxmlformats.org/officeDocument/2006/customXml" ds:itemID="{F9E449A6-7269-40A0-9C29-A53366683BBA}">
  <ds:schemaRefs/>
</ds:datastoreItem>
</file>

<file path=customXml/itemProps16.xml><?xml version="1.0" encoding="utf-8"?>
<ds:datastoreItem xmlns:ds="http://schemas.openxmlformats.org/officeDocument/2006/customXml" ds:itemID="{A9ADA5E3-0EAF-4230-99A0-5E39F968019B}">
  <ds:schemaRefs/>
</ds:datastoreItem>
</file>

<file path=customXml/itemProps17.xml><?xml version="1.0" encoding="utf-8"?>
<ds:datastoreItem xmlns:ds="http://schemas.openxmlformats.org/officeDocument/2006/customXml" ds:itemID="{D6528BDE-E962-49C9-A64B-B10B5B39F724}">
  <ds:schemaRefs/>
</ds:datastoreItem>
</file>

<file path=customXml/itemProps18.xml><?xml version="1.0" encoding="utf-8"?>
<ds:datastoreItem xmlns:ds="http://schemas.openxmlformats.org/officeDocument/2006/customXml" ds:itemID="{5DA30A47-DBEA-4225-8D55-B43CE18929E1}">
  <ds:schemaRefs>
    <ds:schemaRef ds:uri="http://www.w3.org/2001/XMLSchema"/>
    <ds:schemaRef ds:uri="http://microsoft.data.visualization.Client.Excel.LState/1.0"/>
  </ds:schemaRefs>
</ds:datastoreItem>
</file>

<file path=customXml/itemProps19.xml><?xml version="1.0" encoding="utf-8"?>
<ds:datastoreItem xmlns:ds="http://schemas.openxmlformats.org/officeDocument/2006/customXml" ds:itemID="{C081867B-5E33-406B-AB32-EFBFBE731E65}">
  <ds:schemaRefs>
    <ds:schemaRef ds:uri="http://www.w3.org/2001/XMLSchema"/>
    <ds:schemaRef ds:uri="http://microsoft.data.visualization.Client.Excel.CustomMapList/1.0"/>
  </ds:schemaRefs>
</ds:datastoreItem>
</file>

<file path=customXml/itemProps2.xml><?xml version="1.0" encoding="utf-8"?>
<ds:datastoreItem xmlns:ds="http://schemas.openxmlformats.org/officeDocument/2006/customXml" ds:itemID="{5B31DD05-13E5-4ED3-A78D-83AE41A02B21}">
  <ds:schemaRefs/>
</ds:datastoreItem>
</file>

<file path=customXml/itemProps20.xml><?xml version="1.0" encoding="utf-8"?>
<ds:datastoreItem xmlns:ds="http://schemas.openxmlformats.org/officeDocument/2006/customXml" ds:itemID="{8C6F3AEA-372E-46DB-A056-5B4373506F46}">
  <ds:schemaRefs/>
</ds:datastoreItem>
</file>

<file path=customXml/itemProps21.xml><?xml version="1.0" encoding="utf-8"?>
<ds:datastoreItem xmlns:ds="http://schemas.openxmlformats.org/officeDocument/2006/customXml" ds:itemID="{E480F2E8-B47E-44CA-90F0-A57FDED9215B}">
  <ds:schemaRefs/>
</ds:datastoreItem>
</file>

<file path=customXml/itemProps22.xml><?xml version="1.0" encoding="utf-8"?>
<ds:datastoreItem xmlns:ds="http://schemas.openxmlformats.org/officeDocument/2006/customXml" ds:itemID="{3A769A3F-CEB6-4C54-8CC9-52D19FD18FEC}">
  <ds:schemaRefs/>
</ds:datastoreItem>
</file>

<file path=customXml/itemProps23.xml><?xml version="1.0" encoding="utf-8"?>
<ds:datastoreItem xmlns:ds="http://schemas.openxmlformats.org/officeDocument/2006/customXml" ds:itemID="{13458D07-AD65-4AA7-9920-3A1E1B0CD02B}">
  <ds:schemaRefs/>
</ds:datastoreItem>
</file>

<file path=customXml/itemProps24.xml><?xml version="1.0" encoding="utf-8"?>
<ds:datastoreItem xmlns:ds="http://schemas.openxmlformats.org/officeDocument/2006/customXml" ds:itemID="{3D96760E-5BAE-4DC5-AC61-F236DBF8FD37}">
  <ds:schemaRefs/>
</ds:datastoreItem>
</file>

<file path=customXml/itemProps3.xml><?xml version="1.0" encoding="utf-8"?>
<ds:datastoreItem xmlns:ds="http://schemas.openxmlformats.org/officeDocument/2006/customXml" ds:itemID="{AD6E1CA2-8A70-4710-84B6-8D2D40E0F87A}">
  <ds:schemaRefs/>
</ds:datastoreItem>
</file>

<file path=customXml/itemProps4.xml><?xml version="1.0" encoding="utf-8"?>
<ds:datastoreItem xmlns:ds="http://schemas.openxmlformats.org/officeDocument/2006/customXml" ds:itemID="{B828E300-B7D5-4FA8-95EA-BD9A945331B1}">
  <ds:schemaRefs>
    <ds:schemaRef ds:uri="http://www.w3.org/2001/XMLSchema"/>
    <ds:schemaRef ds:uri="http://microsoft.data.visualization.Client.Excel/1.0"/>
  </ds:schemaRefs>
</ds:datastoreItem>
</file>

<file path=customXml/itemProps5.xml><?xml version="1.0" encoding="utf-8"?>
<ds:datastoreItem xmlns:ds="http://schemas.openxmlformats.org/officeDocument/2006/customXml" ds:itemID="{6FE1C0F6-D710-4971-AEDF-328727FF4D46}">
  <ds:schemaRefs/>
</ds:datastoreItem>
</file>

<file path=customXml/itemProps6.xml><?xml version="1.0" encoding="utf-8"?>
<ds:datastoreItem xmlns:ds="http://schemas.openxmlformats.org/officeDocument/2006/customXml" ds:itemID="{F2187D9D-46B2-4CA8-A16E-753C388EDB4E}">
  <ds:schemaRefs/>
</ds:datastoreItem>
</file>

<file path=customXml/itemProps7.xml><?xml version="1.0" encoding="utf-8"?>
<ds:datastoreItem xmlns:ds="http://schemas.openxmlformats.org/officeDocument/2006/customXml" ds:itemID="{C01B2848-4682-40F8-88A6-D966FF879CAD}">
  <ds:schemaRefs/>
</ds:datastoreItem>
</file>

<file path=customXml/itemProps8.xml><?xml version="1.0" encoding="utf-8"?>
<ds:datastoreItem xmlns:ds="http://schemas.openxmlformats.org/officeDocument/2006/customXml" ds:itemID="{AFB5E8CF-89EA-4283-A3D1-88185ED4F75C}">
  <ds:schemaRefs/>
</ds:datastoreItem>
</file>

<file path=customXml/itemProps9.xml><?xml version="1.0" encoding="utf-8"?>
<ds:datastoreItem xmlns:ds="http://schemas.openxmlformats.org/officeDocument/2006/customXml" ds:itemID="{B195AF32-35B8-40AE-B6C0-A64903A452A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15</vt:i4>
      </vt:variant>
      <vt:variant>
        <vt:lpstr>Named Ranges</vt:lpstr>
      </vt:variant>
      <vt:variant>
        <vt:i4>8</vt:i4>
      </vt:variant>
    </vt:vector>
  </HeadingPairs>
  <TitlesOfParts>
    <vt:vector size="23" baseType="lpstr">
      <vt:lpstr>LOGISTIK MASUK</vt:lpstr>
      <vt:lpstr>STATUS</vt:lpstr>
      <vt:lpstr>DASHBOARD FINAL</vt:lpstr>
      <vt:lpstr>PIVOT</vt:lpstr>
      <vt:lpstr>DATA MASTER</vt:lpstr>
      <vt:lpstr>DATA FABRIKASI</vt:lpstr>
      <vt:lpstr>Sheet1</vt:lpstr>
      <vt:lpstr>ISSUE PROJECT</vt:lpstr>
      <vt:lpstr>Data Aksesories</vt:lpstr>
      <vt:lpstr>Data Baut Jembatan</vt:lpstr>
      <vt:lpstr>DATA PACKING </vt:lpstr>
      <vt:lpstr>CONSUMABLE PACKING</vt:lpstr>
      <vt:lpstr>DATA TRIAL BAILEY</vt:lpstr>
      <vt:lpstr>Total</vt:lpstr>
      <vt:lpstr>Sheet2</vt:lpstr>
      <vt:lpstr>'CONSUMABLE PACKING'!MASTER</vt:lpstr>
      <vt:lpstr>'DATA PACKING '!MASTER</vt:lpstr>
      <vt:lpstr>'DATA TRIAL BAILEY'!MASTER</vt:lpstr>
      <vt:lpstr>MASTER</vt:lpstr>
      <vt:lpstr>'CONSUMABLE PACKING'!Print_Area</vt:lpstr>
      <vt:lpstr>'DASHBOARD FINAL'!Print_Area</vt:lpstr>
      <vt:lpstr>'DATA PACKING '!Print_Area</vt:lpstr>
      <vt:lpstr>'DASHBOARD FINAL'!Print_Titles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PTWIRATAMA</dc:creator>
  <cp:lastModifiedBy>Allee Ptwiratama</cp:lastModifiedBy>
  <cp:lastPrinted>2024-02-16T13:41:28Z</cp:lastPrinted>
  <dcterms:created xsi:type="dcterms:W3CDTF">2022-06-14T04:16:16Z</dcterms:created>
  <dcterms:modified xsi:type="dcterms:W3CDTF">2024-12-14T06:00:39Z</dcterms:modified>
</cp:coreProperties>
</file>