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at\OneDrive - Instituto Tecnologico y de Estudios Superiores de Monterrey\Documents\MNT_ITESM_Thesis\Viscosity\"/>
    </mc:Choice>
  </mc:AlternateContent>
  <xr:revisionPtr revIDLastSave="0" documentId="13_ncr:1_{0F01E999-A8DA-40AA-B7D2-EFA4422482B9}" xr6:coauthVersionLast="45" xr6:coauthVersionMax="45" xr10:uidLastSave="{00000000-0000-0000-0000-000000000000}"/>
  <bookViews>
    <workbookView xWindow="420" yWindow="2700" windowWidth="15345" windowHeight="11385" activeTab="2" xr2:uid="{B7136CE4-8007-46B5-82B9-4587FFE551E7}"/>
  </bookViews>
  <sheets>
    <sheet name="rheology" sheetId="2" r:id="rId1"/>
    <sheet name="solventNpolymerData" sheetId="1" r:id="rId2"/>
    <sheet name="solutionPrepNCara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8" i="3" l="1"/>
  <c r="F49" i="3"/>
  <c r="F50" i="3"/>
  <c r="F51" i="3"/>
  <c r="D48" i="3"/>
  <c r="D49" i="3"/>
  <c r="D50" i="3"/>
  <c r="D51" i="3"/>
  <c r="C50" i="3"/>
  <c r="D73" i="3"/>
  <c r="C73" i="3" s="1"/>
  <c r="F61" i="3"/>
  <c r="F62" i="3"/>
  <c r="F63" i="3"/>
  <c r="F64" i="3"/>
  <c r="D61" i="3"/>
  <c r="D62" i="3"/>
  <c r="D63" i="3"/>
  <c r="D64" i="3"/>
  <c r="F60" i="3"/>
  <c r="D60" i="3"/>
  <c r="D68" i="3"/>
  <c r="D67" i="3"/>
  <c r="H38" i="3"/>
  <c r="H39" i="3"/>
  <c r="H40" i="3"/>
  <c r="H41" i="3"/>
  <c r="F38" i="3"/>
  <c r="F39" i="3"/>
  <c r="F40" i="3"/>
  <c r="F41" i="3"/>
  <c r="D38" i="3"/>
  <c r="D39" i="3"/>
  <c r="D40" i="3"/>
  <c r="D41" i="3"/>
  <c r="H37" i="3"/>
  <c r="F37" i="3"/>
  <c r="D37" i="3"/>
  <c r="D45" i="3"/>
  <c r="F15" i="3"/>
  <c r="F16" i="3"/>
  <c r="F17" i="3"/>
  <c r="F18" i="3"/>
  <c r="F14" i="3"/>
  <c r="D15" i="3"/>
  <c r="D16" i="3"/>
  <c r="D17" i="3"/>
  <c r="D18" i="3"/>
  <c r="D14" i="3"/>
  <c r="D22" i="3"/>
  <c r="D76" i="3"/>
  <c r="C76" i="3" s="1"/>
  <c r="D77" i="3"/>
  <c r="C77" i="3" s="1"/>
  <c r="D78" i="3"/>
  <c r="C78" i="3" s="1"/>
  <c r="D70" i="3"/>
  <c r="C70" i="3" s="1"/>
  <c r="D74" i="3"/>
  <c r="C74" i="3" s="1"/>
  <c r="D72" i="3"/>
  <c r="C72" i="3" s="1"/>
  <c r="D71" i="3"/>
  <c r="C71" i="3" s="1"/>
  <c r="D25" i="3"/>
  <c r="C25" i="3" s="1"/>
  <c r="D26" i="3"/>
  <c r="C26" i="3" s="1"/>
  <c r="D27" i="3"/>
  <c r="C27" i="3" s="1"/>
  <c r="D28" i="3"/>
  <c r="C28" i="3" s="1"/>
  <c r="D24" i="3"/>
  <c r="C24" i="3" s="1"/>
  <c r="F47" i="3"/>
  <c r="D47" i="3"/>
  <c r="D129" i="3"/>
  <c r="C129" i="3" s="1"/>
  <c r="D130" i="3"/>
  <c r="C130" i="3" s="1"/>
  <c r="D131" i="3"/>
  <c r="C131" i="3" s="1"/>
  <c r="D132" i="3"/>
  <c r="C132" i="3" s="1"/>
  <c r="B8" i="3"/>
  <c r="B7" i="3"/>
  <c r="B6" i="3"/>
  <c r="B5" i="3"/>
  <c r="B4" i="3"/>
  <c r="C49" i="3" l="1"/>
  <c r="C51" i="3"/>
  <c r="C48" i="3"/>
  <c r="C47" i="3"/>
  <c r="D128" i="3"/>
  <c r="C128" i="3" s="1"/>
  <c r="D116" i="3"/>
  <c r="C116" i="3" s="1"/>
  <c r="D115" i="3"/>
  <c r="C115" i="3" s="1"/>
  <c r="D103" i="3"/>
  <c r="C103" i="3" s="1"/>
  <c r="D102" i="3"/>
  <c r="C102" i="3" s="1"/>
  <c r="D79" i="3" l="1"/>
  <c r="C79" i="3" s="1"/>
  <c r="D80" i="3"/>
  <c r="C80" i="3" s="1"/>
  <c r="D54" i="3"/>
  <c r="D55" i="3"/>
  <c r="D56" i="3"/>
  <c r="D57" i="3"/>
  <c r="D53" i="3"/>
  <c r="F54" i="3"/>
  <c r="F55" i="3"/>
  <c r="F56" i="3"/>
  <c r="F57" i="3"/>
  <c r="F53" i="3"/>
  <c r="D31" i="3"/>
  <c r="C31" i="3" s="1"/>
  <c r="D32" i="3"/>
  <c r="C32" i="3" s="1"/>
  <c r="D33" i="3"/>
  <c r="C33" i="3" s="1"/>
  <c r="D34" i="3"/>
  <c r="C34" i="3" s="1"/>
  <c r="D30" i="3"/>
  <c r="C30" i="3" s="1"/>
  <c r="E5" i="3"/>
  <c r="E6" i="3"/>
  <c r="E7" i="3"/>
  <c r="E8" i="3"/>
  <c r="E4" i="3"/>
  <c r="D11" i="3"/>
  <c r="D126" i="3"/>
  <c r="F120" i="3" s="1"/>
  <c r="D113" i="3"/>
  <c r="F107" i="3" s="1"/>
  <c r="E62" i="3"/>
  <c r="C57" i="3" l="1"/>
  <c r="C56" i="3"/>
  <c r="C54" i="3"/>
  <c r="C55" i="3"/>
  <c r="C53" i="3"/>
  <c r="D106" i="3"/>
  <c r="E106" i="3" s="1"/>
  <c r="E60" i="3"/>
  <c r="D110" i="3"/>
  <c r="E110" i="3" s="1"/>
  <c r="E64" i="3"/>
  <c r="D109" i="3"/>
  <c r="E109" i="3" s="1"/>
  <c r="D108" i="3"/>
  <c r="E108" i="3" s="1"/>
  <c r="F119" i="3"/>
  <c r="D107" i="3"/>
  <c r="E107" i="3" s="1"/>
  <c r="F123" i="3"/>
  <c r="E61" i="3"/>
  <c r="F110" i="3"/>
  <c r="F122" i="3"/>
  <c r="F109" i="3"/>
  <c r="F121" i="3"/>
  <c r="F108" i="3"/>
  <c r="D119" i="3"/>
  <c r="E119" i="3" s="1"/>
  <c r="D123" i="3"/>
  <c r="E123" i="3" s="1"/>
  <c r="D122" i="3"/>
  <c r="E122" i="3" s="1"/>
  <c r="D121" i="3"/>
  <c r="E121" i="3" s="1"/>
  <c r="D120" i="3"/>
  <c r="E120" i="3" s="1"/>
  <c r="E63" i="3"/>
  <c r="F106" i="3"/>
  <c r="D100" i="3"/>
  <c r="F97" i="3" s="1"/>
  <c r="D21" i="3"/>
  <c r="D44" i="3"/>
  <c r="G38" i="3" s="1"/>
  <c r="D90" i="3"/>
  <c r="F85" i="3" s="1"/>
  <c r="E20" i="1"/>
  <c r="H9" i="1"/>
  <c r="H8" i="1"/>
  <c r="H7" i="1"/>
  <c r="H6" i="1"/>
  <c r="H5" i="1"/>
  <c r="H4" i="1"/>
  <c r="H3" i="1"/>
  <c r="H2" i="1"/>
  <c r="E12" i="1"/>
  <c r="E13" i="1"/>
  <c r="E9" i="1"/>
  <c r="E8" i="1"/>
  <c r="E7" i="1"/>
  <c r="E5" i="1"/>
  <c r="E4" i="1"/>
  <c r="E3" i="1"/>
  <c r="E2" i="1"/>
  <c r="E17" i="1"/>
  <c r="E16" i="1"/>
  <c r="E15" i="1"/>
  <c r="E14" i="1"/>
  <c r="E6" i="1"/>
  <c r="E15" i="3" l="1"/>
  <c r="G84" i="3"/>
  <c r="F96" i="3"/>
  <c r="F95" i="3"/>
  <c r="F94" i="3"/>
  <c r="D87" i="3"/>
  <c r="E87" i="3" s="1"/>
  <c r="D95" i="3"/>
  <c r="E95" i="3" s="1"/>
  <c r="D85" i="3"/>
  <c r="E85" i="3" s="1"/>
  <c r="D84" i="3"/>
  <c r="E84" i="3" s="1"/>
  <c r="F86" i="3"/>
  <c r="D94" i="3"/>
  <c r="E94" i="3" s="1"/>
  <c r="D93" i="3"/>
  <c r="E93" i="3" s="1"/>
  <c r="G83" i="3"/>
  <c r="G87" i="3"/>
  <c r="G86" i="3"/>
  <c r="F93" i="3"/>
  <c r="D86" i="3"/>
  <c r="E86" i="3" s="1"/>
  <c r="D97" i="3"/>
  <c r="E97" i="3" s="1"/>
  <c r="D96" i="3"/>
  <c r="E96" i="3" s="1"/>
  <c r="F84" i="3"/>
  <c r="G85" i="3"/>
  <c r="D83" i="3"/>
  <c r="E83" i="3" s="1"/>
  <c r="F83" i="3"/>
  <c r="F87" i="3"/>
  <c r="E16" i="3"/>
  <c r="E17" i="3"/>
  <c r="E38" i="3"/>
  <c r="E18" i="3"/>
  <c r="E37" i="3"/>
  <c r="G41" i="3"/>
  <c r="E41" i="3"/>
  <c r="G37" i="3"/>
  <c r="G40" i="3"/>
  <c r="E40" i="3"/>
  <c r="E14" i="3"/>
  <c r="G39" i="3"/>
  <c r="E39" i="3"/>
</calcChain>
</file>

<file path=xl/sharedStrings.xml><?xml version="1.0" encoding="utf-8"?>
<sst xmlns="http://schemas.openxmlformats.org/spreadsheetml/2006/main" count="194" uniqueCount="105">
  <si>
    <t>Pa.s</t>
  </si>
  <si>
    <t>Pa</t>
  </si>
  <si>
    <t>1/s</t>
  </si>
  <si>
    <t>°C</t>
  </si>
  <si>
    <t>PEO</t>
  </si>
  <si>
    <t>POLY(ETHYLENE OXIDE)</t>
  </si>
  <si>
    <t>DICHLOROMETHANE</t>
  </si>
  <si>
    <t>N,N-DIMETHYLACETAMIDE</t>
  </si>
  <si>
    <t>2-BUTANONE</t>
  </si>
  <si>
    <t>CHLOROFORM</t>
  </si>
  <si>
    <t>1-METHYL-2-PYRROLIDINONE</t>
  </si>
  <si>
    <t>N,N-DIMETHYLFORMAMIDE</t>
  </si>
  <si>
    <t>TETRAHYDROFURAN</t>
  </si>
  <si>
    <t>POLY(9-VINYLCARBAZOLE)</t>
  </si>
  <si>
    <t>POLY(STYRENE-CO-ALPHA-METHYLSTYRENE)</t>
  </si>
  <si>
    <t>270997-100ML</t>
  </si>
  <si>
    <t>38840-1L-F</t>
  </si>
  <si>
    <t>360473-500ML</t>
  </si>
  <si>
    <t>C2432-1L</t>
  </si>
  <si>
    <t>328634-100ML</t>
  </si>
  <si>
    <t>227056-100ML</t>
  </si>
  <si>
    <t>401757-100ML</t>
  </si>
  <si>
    <t>182605-5G</t>
  </si>
  <si>
    <t>428329-5G</t>
  </si>
  <si>
    <t>POLYANILINE (EMERALDINE SALT)</t>
  </si>
  <si>
    <t>457205-250G</t>
  </si>
  <si>
    <t>430072-1KG</t>
  </si>
  <si>
    <t>430102-1KG</t>
  </si>
  <si>
    <t>SU-8 2002</t>
  </si>
  <si>
    <t>NA</t>
  </si>
  <si>
    <t>name</t>
  </si>
  <si>
    <t>189456-250G</t>
  </si>
  <si>
    <t>sku</t>
  </si>
  <si>
    <t>POLY(STYRENE-CO-BUTADIENE)</t>
  </si>
  <si>
    <t>POLYSTYRENE</t>
  </si>
  <si>
    <t>g/ml</t>
  </si>
  <si>
    <t>vapor density (vs air)</t>
  </si>
  <si>
    <t>mol wt</t>
  </si>
  <si>
    <t>soluble</t>
  </si>
  <si>
    <t>insoluble</t>
  </si>
  <si>
    <t>hydrocarbons, esters, ketones</t>
  </si>
  <si>
    <t>water, alcohols, glycols</t>
  </si>
  <si>
    <t>vapour pressure (mmHg)</t>
  </si>
  <si>
    <t>conductivity (S/cm)</t>
  </si>
  <si>
    <t>density (g/ml)</t>
  </si>
  <si>
    <t>PEO wt% in SU-8 2002</t>
  </si>
  <si>
    <t>abbr</t>
  </si>
  <si>
    <t>DCM</t>
  </si>
  <si>
    <t>DMAc</t>
  </si>
  <si>
    <t>MEK</t>
  </si>
  <si>
    <t>CHL</t>
  </si>
  <si>
    <t>DMF</t>
  </si>
  <si>
    <t>NMP</t>
  </si>
  <si>
    <t>SU8</t>
  </si>
  <si>
    <t>THF</t>
  </si>
  <si>
    <t>PVK</t>
  </si>
  <si>
    <t>PANI</t>
  </si>
  <si>
    <t>PS</t>
  </si>
  <si>
    <t>PSB</t>
  </si>
  <si>
    <t>PSMS</t>
  </si>
  <si>
    <t>217964-100G</t>
  </si>
  <si>
    <t>TBT</t>
  </si>
  <si>
    <t>TETRABUTYLAMMONIUM TETRAFLUOROBORATE</t>
  </si>
  <si>
    <t>methanol: soluble 10%</t>
  </si>
  <si>
    <t>m PEO [mg]</t>
  </si>
  <si>
    <t>m TBT [mg]</t>
  </si>
  <si>
    <t>m THF [mg]</t>
  </si>
  <si>
    <t>m PS [mg]</t>
  </si>
  <si>
    <t>m PSB [mg]</t>
  </si>
  <si>
    <t>m DMF [mg]</t>
  </si>
  <si>
    <t>PAN</t>
  </si>
  <si>
    <t>POLYACRYLONITRILE</t>
  </si>
  <si>
    <t>181315-100G</t>
  </si>
  <si>
    <t>m NMP [mg]</t>
  </si>
  <si>
    <t>m PANI [mg]</t>
  </si>
  <si>
    <t>m PAN [mg]</t>
  </si>
  <si>
    <t>g</t>
  </si>
  <si>
    <t>m CHL [mg]</t>
  </si>
  <si>
    <t>m PVK [mg]</t>
  </si>
  <si>
    <t>m DCM [mg]</t>
  </si>
  <si>
    <t>m PSMS [mg]</t>
  </si>
  <si>
    <t>(prepare 2 ml of solution; times 1000 to get cuantities in mg)</t>
  </si>
  <si>
    <t>PEO/TBT wt% in SU8</t>
  </si>
  <si>
    <t>PS wt% in THF</t>
  </si>
  <si>
    <t>PSB wt% in THF/DMF</t>
  </si>
  <si>
    <t>PSB wt% in NMP</t>
  </si>
  <si>
    <t>PANI/PAN wt% in NMP</t>
  </si>
  <si>
    <t>PVK wt% in CHL</t>
  </si>
  <si>
    <t>PVK wt% in DCM</t>
  </si>
  <si>
    <t>PSMS wt% in DMF</t>
  </si>
  <si>
    <t>m SU8 [mg]</t>
  </si>
  <si>
    <t>v SU8 [ul]</t>
  </si>
  <si>
    <t>v THF [ul]</t>
  </si>
  <si>
    <t>v DMF [ul]</t>
  </si>
  <si>
    <t>v NMP [ul]</t>
  </si>
  <si>
    <t>v CHL [ul]</t>
  </si>
  <si>
    <t>v DCM [ul]</t>
  </si>
  <si>
    <t>Planned</t>
  </si>
  <si>
    <t>Sample
Set
00</t>
  </si>
  <si>
    <t>Infinite shear rate viscosity [Pa.s]</t>
  </si>
  <si>
    <t>Temperature [°C]</t>
  </si>
  <si>
    <t>Zero shear rate viscosity [Pa.s]</t>
  </si>
  <si>
    <t>Sample Set 00</t>
  </si>
  <si>
    <t>too thin</t>
  </si>
  <si>
    <t>Sample
Set
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</si>
</sst>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"/>
    <numFmt numFmtId="166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11"/>
      <name val="Consolas"/>
      <family val="3"/>
    </font>
    <font>
      <b/>
      <sz val="11"/>
      <name val="Consolas"/>
      <family val="3"/>
    </font>
    <font>
      <sz val="11"/>
      <color rgb="FF000000"/>
      <name val="Consolas"/>
      <family val="3"/>
    </font>
    <font>
      <sz val="14"/>
      <color theme="1"/>
      <name val="Consolas"/>
      <family val="3"/>
    </font>
    <font>
      <b/>
      <sz val="11"/>
      <color rgb="FF00B0F0"/>
      <name val="Consolas"/>
      <family val="3"/>
    </font>
    <font>
      <sz val="11"/>
      <color theme="1" tint="0.499984740745262"/>
      <name val="Consolas"/>
      <family val="3"/>
    </font>
    <font>
      <b/>
      <sz val="11"/>
      <color theme="0"/>
      <name val="Consolas"/>
      <family val="3"/>
    </font>
    <font>
      <sz val="11"/>
      <color rgb="FFFF0000"/>
      <name val="Consolas"/>
      <family val="3"/>
    </font>
    <font>
      <b/>
      <sz val="11"/>
      <color theme="5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165" fontId="3" fillId="0" borderId="0" xfId="0" applyNumberFormat="1" applyFont="1"/>
    <xf numFmtId="0" fontId="4" fillId="0" borderId="0" xfId="0" applyFont="1"/>
    <xf numFmtId="3" fontId="3" fillId="0" borderId="0" xfId="0" applyNumberFormat="1" applyFont="1"/>
    <xf numFmtId="0" fontId="3" fillId="0" borderId="0" xfId="0" applyFont="1" applyAlignment="1">
      <alignment shrinkToFit="1"/>
    </xf>
    <xf numFmtId="0" fontId="1" fillId="0" borderId="0" xfId="0" applyFont="1" applyAlignment="1">
      <alignment horizontal="right"/>
    </xf>
    <xf numFmtId="0" fontId="6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7" fillId="0" borderId="0" xfId="0" applyFont="1"/>
    <xf numFmtId="0" fontId="4" fillId="0" borderId="0" xfId="0" applyFont="1" applyAlignment="1">
      <alignment vertical="center"/>
    </xf>
    <xf numFmtId="2" fontId="8" fillId="0" borderId="0" xfId="0" applyNumberFormat="1" applyFont="1" applyAlignment="1">
      <alignment horizontal="right" vertical="center" wrapText="1"/>
    </xf>
    <xf numFmtId="2" fontId="8" fillId="0" borderId="0" xfId="0" applyNumberFormat="1" applyFont="1" applyBorder="1" applyAlignment="1">
      <alignment horizontal="right" vertical="center" wrapText="1"/>
    </xf>
    <xf numFmtId="166" fontId="1" fillId="0" borderId="0" xfId="0" applyNumberFormat="1" applyFont="1"/>
    <xf numFmtId="166" fontId="8" fillId="0" borderId="0" xfId="0" applyNumberFormat="1" applyFont="1" applyAlignment="1">
      <alignment horizontal="right"/>
    </xf>
    <xf numFmtId="166" fontId="8" fillId="0" borderId="0" xfId="0" applyNumberFormat="1" applyFont="1" applyAlignment="1">
      <alignment horizontal="right" vertical="center" wrapText="1"/>
    </xf>
    <xf numFmtId="166" fontId="8" fillId="0" borderId="0" xfId="0" applyNumberFormat="1" applyFont="1" applyBorder="1" applyAlignment="1">
      <alignment horizontal="right"/>
    </xf>
    <xf numFmtId="166" fontId="8" fillId="0" borderId="0" xfId="0" applyNumberFormat="1" applyFont="1" applyBorder="1" applyAlignment="1">
      <alignment horizontal="right" vertical="center" wrapText="1"/>
    </xf>
    <xf numFmtId="0" fontId="7" fillId="2" borderId="0" xfId="0" applyFont="1" applyFill="1"/>
    <xf numFmtId="0" fontId="2" fillId="2" borderId="0" xfId="0" applyFont="1" applyFill="1"/>
    <xf numFmtId="0" fontId="1" fillId="2" borderId="0" xfId="0" applyFont="1" applyFill="1"/>
    <xf numFmtId="166" fontId="1" fillId="2" borderId="0" xfId="0" applyNumberFormat="1" applyFont="1" applyFill="1"/>
    <xf numFmtId="0" fontId="4" fillId="0" borderId="0" xfId="0" applyFont="1" applyAlignment="1">
      <alignment shrinkToFit="1"/>
    </xf>
    <xf numFmtId="2" fontId="1" fillId="3" borderId="0" xfId="0" applyNumberFormat="1" applyFont="1" applyFill="1"/>
    <xf numFmtId="0" fontId="9" fillId="4" borderId="0" xfId="0" applyFont="1" applyFill="1"/>
    <xf numFmtId="0" fontId="6" fillId="4" borderId="0" xfId="0" applyFont="1" applyFill="1"/>
    <xf numFmtId="0" fontId="4" fillId="4" borderId="0" xfId="0" applyFont="1" applyFill="1"/>
    <xf numFmtId="2" fontId="5" fillId="4" borderId="0" xfId="0" applyNumberFormat="1" applyFont="1" applyFill="1" applyAlignment="1">
      <alignment horizontal="right" vertical="center" wrapText="1"/>
    </xf>
    <xf numFmtId="2" fontId="5" fillId="4" borderId="0" xfId="0" applyNumberFormat="1" applyFont="1" applyFill="1" applyBorder="1" applyAlignment="1">
      <alignment horizontal="right" vertical="center" wrapText="1"/>
    </xf>
    <xf numFmtId="0" fontId="2" fillId="4" borderId="0" xfId="0" applyFont="1" applyFill="1"/>
    <xf numFmtId="0" fontId="1" fillId="4" borderId="0" xfId="0" applyFont="1" applyFill="1"/>
    <xf numFmtId="166" fontId="1" fillId="3" borderId="0" xfId="0" applyNumberFormat="1" applyFont="1" applyFill="1"/>
    <xf numFmtId="0" fontId="1" fillId="3" borderId="0" xfId="0" applyFont="1" applyFill="1"/>
    <xf numFmtId="0" fontId="3" fillId="0" borderId="0" xfId="0" applyFont="1" applyFill="1" applyAlignment="1">
      <alignment vertical="center"/>
    </xf>
    <xf numFmtId="0" fontId="3" fillId="0" borderId="0" xfId="0" applyFont="1" applyFill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right"/>
    </xf>
    <xf numFmtId="165" fontId="7" fillId="0" borderId="0" xfId="0" applyNumberFormat="1" applyFont="1"/>
    <xf numFmtId="166" fontId="7" fillId="0" borderId="0" xfId="0" applyNumberFormat="1" applyFont="1" applyBorder="1" applyAlignment="1">
      <alignment horizontal="right" vertical="center" wrapText="1"/>
    </xf>
    <xf numFmtId="0" fontId="7" fillId="2" borderId="0" xfId="0" applyFont="1" applyFill="1" applyAlignment="1">
      <alignment horizontal="right"/>
    </xf>
    <xf numFmtId="165" fontId="7" fillId="2" borderId="0" xfId="0" applyNumberFormat="1" applyFont="1" applyFill="1"/>
    <xf numFmtId="0" fontId="7" fillId="3" borderId="0" xfId="0" applyFont="1" applyFill="1"/>
    <xf numFmtId="0" fontId="7" fillId="0" borderId="0" xfId="0" applyFont="1" applyFill="1" applyAlignment="1">
      <alignment horizontal="center" vertical="center"/>
    </xf>
    <xf numFmtId="166" fontId="3" fillId="0" borderId="0" xfId="0" applyNumberFormat="1" applyFont="1" applyFill="1"/>
    <xf numFmtId="166" fontId="3" fillId="0" borderId="0" xfId="0" applyNumberFormat="1" applyFont="1"/>
    <xf numFmtId="0" fontId="9" fillId="4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/>
    <xf numFmtId="0" fontId="9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4" fontId="10" fillId="0" borderId="0" xfId="0" applyNumberFormat="1" applyFont="1"/>
    <xf numFmtId="0" fontId="10" fillId="0" borderId="0" xfId="0" applyFont="1"/>
    <xf numFmtId="166" fontId="1" fillId="0" borderId="0" xfId="0" applyNumberFormat="1" applyFont="1" applyFill="1"/>
    <xf numFmtId="0" fontId="1" fillId="0" borderId="0" xfId="0" applyFont="1" applyFill="1"/>
    <xf numFmtId="0" fontId="2" fillId="0" borderId="0" xfId="0" applyFont="1" applyFill="1"/>
    <xf numFmtId="0" fontId="11" fillId="0" borderId="0" xfId="0" applyFont="1" applyFill="1"/>
    <xf numFmtId="165" fontId="7" fillId="0" borderId="0" xfId="0" applyNumberFormat="1" applyFont="1" applyFill="1"/>
    <xf numFmtId="0" fontId="7" fillId="0" borderId="0" xfId="0" applyFont="1" applyFill="1"/>
    <xf numFmtId="166" fontId="11" fillId="0" borderId="0" xfId="0" applyNumberFormat="1" applyFont="1" applyFill="1"/>
    <xf numFmtId="0" fontId="4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39607-5DC3-4C9F-95FC-45D8E3B32FD0}">
  <dimension ref="A1:G20"/>
  <sheetViews>
    <sheetView workbookViewId="0">
      <selection activeCell="B1" sqref="B1:E6"/>
    </sheetView>
  </sheetViews>
  <sheetFormatPr defaultRowHeight="15" x14ac:dyDescent="0.25"/>
  <cols>
    <col min="1" max="1" width="20.140625" bestFit="1" customWidth="1"/>
    <col min="2" max="3" width="9.28515625" bestFit="1" customWidth="1"/>
    <col min="4" max="5" width="9.5703125" bestFit="1" customWidth="1"/>
  </cols>
  <sheetData>
    <row r="1" spans="1:7" x14ac:dyDescent="0.25">
      <c r="A1" t="s">
        <v>45</v>
      </c>
      <c r="B1" t="s">
        <v>1</v>
      </c>
      <c r="C1" t="s">
        <v>2</v>
      </c>
      <c r="D1" t="s">
        <v>0</v>
      </c>
      <c r="E1" t="s">
        <v>3</v>
      </c>
    </row>
    <row r="2" spans="1:7" x14ac:dyDescent="0.25">
      <c r="A2" s="1">
        <v>0</v>
      </c>
      <c r="B2" s="3">
        <v>2.5008191666666666E-3</v>
      </c>
      <c r="C2" s="3">
        <v>2.9630584166666668E-2</v>
      </c>
      <c r="D2" s="3">
        <v>0.15952790000000003</v>
      </c>
      <c r="E2" s="3">
        <v>25.000666666666664</v>
      </c>
    </row>
    <row r="3" spans="1:7" x14ac:dyDescent="0.25">
      <c r="A3" s="1">
        <v>0.25</v>
      </c>
      <c r="B3" s="3">
        <v>1.1454375999999999E-2</v>
      </c>
      <c r="C3" s="3">
        <v>2.1552710000000003E-2</v>
      </c>
      <c r="D3" s="3">
        <v>0.75992060000000006</v>
      </c>
      <c r="E3" s="3">
        <v>25.0001</v>
      </c>
    </row>
    <row r="4" spans="1:7" x14ac:dyDescent="0.25">
      <c r="A4" s="1">
        <v>0.5</v>
      </c>
      <c r="B4" s="3">
        <v>0.29249992307692307</v>
      </c>
      <c r="C4" s="3">
        <v>3.491015153846154E-2</v>
      </c>
      <c r="D4" s="3">
        <v>16.825127692307692</v>
      </c>
      <c r="E4" s="3">
        <v>25</v>
      </c>
    </row>
    <row r="5" spans="1:7" x14ac:dyDescent="0.25">
      <c r="A5" s="1">
        <v>0.75</v>
      </c>
      <c r="B5" s="3">
        <v>0.75534333333333326</v>
      </c>
      <c r="C5" s="3">
        <v>8.2608486111111101E-2</v>
      </c>
      <c r="D5" s="3">
        <v>34.761310000000002</v>
      </c>
      <c r="E5" s="3">
        <v>25.000055555555555</v>
      </c>
    </row>
    <row r="6" spans="1:7" x14ac:dyDescent="0.25">
      <c r="A6" s="1">
        <v>1</v>
      </c>
      <c r="B6" s="3">
        <v>1.0604903529411764</v>
      </c>
      <c r="C6" s="3">
        <v>6.9187764117647058E-2</v>
      </c>
      <c r="D6" s="3">
        <v>50.084594705882346</v>
      </c>
      <c r="E6" s="3">
        <v>25.000294117647062</v>
      </c>
    </row>
    <row r="13" spans="1:7" x14ac:dyDescent="0.25">
      <c r="G13" s="2"/>
    </row>
    <row r="15" spans="1:7" x14ac:dyDescent="0.25">
      <c r="C15" s="2"/>
    </row>
    <row r="19" spans="4:4" x14ac:dyDescent="0.25">
      <c r="D19" s="2"/>
    </row>
    <row r="20" spans="4:4" x14ac:dyDescent="0.25">
      <c r="D20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E191C-5F93-480D-978C-2A064FA643C9}">
  <dimension ref="A1:I20"/>
  <sheetViews>
    <sheetView workbookViewId="0">
      <selection activeCell="C14" sqref="C14"/>
    </sheetView>
  </sheetViews>
  <sheetFormatPr defaultRowHeight="15" x14ac:dyDescent="0.25"/>
  <cols>
    <col min="1" max="1" width="14.85546875" style="6" bestFit="1" customWidth="1"/>
    <col min="2" max="2" width="5.5703125" style="6" bestFit="1" customWidth="1"/>
    <col min="3" max="3" width="43.28515625" style="6" bestFit="1" customWidth="1"/>
    <col min="4" max="4" width="11.140625" style="6" customWidth="1"/>
    <col min="5" max="5" width="6.7109375" style="6" bestFit="1" customWidth="1"/>
    <col min="6" max="6" width="26.7109375" style="6" bestFit="1" customWidth="1"/>
    <col min="7" max="7" width="17.140625" style="6" customWidth="1"/>
    <col min="8" max="16384" width="9.140625" style="6"/>
  </cols>
  <sheetData>
    <row r="1" spans="1:9" s="9" customFormat="1" x14ac:dyDescent="0.25">
      <c r="A1" s="9" t="s">
        <v>32</v>
      </c>
      <c r="B1" s="9" t="s">
        <v>46</v>
      </c>
      <c r="C1" s="9" t="s">
        <v>30</v>
      </c>
      <c r="D1" s="9" t="s">
        <v>44</v>
      </c>
      <c r="F1" s="9" t="s">
        <v>36</v>
      </c>
      <c r="G1" s="9" t="s">
        <v>42</v>
      </c>
    </row>
    <row r="2" spans="1:9" s="9" customFormat="1" x14ac:dyDescent="0.25">
      <c r="A2" s="7" t="s">
        <v>15</v>
      </c>
      <c r="B2" s="40" t="s">
        <v>47</v>
      </c>
      <c r="C2" s="6" t="s">
        <v>6</v>
      </c>
      <c r="D2" s="8">
        <v>1.3254999999999999</v>
      </c>
      <c r="E2" s="6" t="str">
        <f>"@20°C"</f>
        <v>@20°C</v>
      </c>
      <c r="F2" s="6">
        <v>2.9</v>
      </c>
      <c r="G2" s="6">
        <v>353.99</v>
      </c>
      <c r="H2" s="6" t="str">
        <f>"@20°C"</f>
        <v>@20°C</v>
      </c>
    </row>
    <row r="3" spans="1:9" x14ac:dyDescent="0.25">
      <c r="A3" s="7" t="s">
        <v>16</v>
      </c>
      <c r="B3" s="40" t="s">
        <v>48</v>
      </c>
      <c r="C3" s="6" t="s">
        <v>7</v>
      </c>
      <c r="D3" s="8">
        <v>0.94299999999999995</v>
      </c>
      <c r="E3" s="6" t="str">
        <f>"@20°C"</f>
        <v>@20°C</v>
      </c>
      <c r="F3" s="6">
        <v>3</v>
      </c>
      <c r="G3" s="6">
        <v>2</v>
      </c>
      <c r="H3" s="6" t="str">
        <f>"@25°C"</f>
        <v>@25°C</v>
      </c>
    </row>
    <row r="4" spans="1:9" x14ac:dyDescent="0.25">
      <c r="A4" s="7" t="s">
        <v>17</v>
      </c>
      <c r="B4" s="40" t="s">
        <v>49</v>
      </c>
      <c r="C4" s="6" t="s">
        <v>8</v>
      </c>
      <c r="D4" s="8">
        <v>0.80600000000000005</v>
      </c>
      <c r="E4" s="6" t="str">
        <f>"@20°C"</f>
        <v>@20°C</v>
      </c>
      <c r="F4" s="6">
        <v>2.4900000000000002</v>
      </c>
      <c r="G4" s="6">
        <v>71</v>
      </c>
      <c r="H4" s="6" t="str">
        <f t="shared" ref="H4:H9" si="0">"@20°C"</f>
        <v>@20°C</v>
      </c>
    </row>
    <row r="5" spans="1:9" x14ac:dyDescent="0.25">
      <c r="A5" s="7" t="s">
        <v>18</v>
      </c>
      <c r="B5" s="40" t="s">
        <v>50</v>
      </c>
      <c r="C5" s="6" t="s">
        <v>9</v>
      </c>
      <c r="D5" s="8">
        <v>1.4832000000000001</v>
      </c>
      <c r="E5" s="6" t="str">
        <f>"@20°C"</f>
        <v>@20°C</v>
      </c>
      <c r="F5" s="6">
        <v>4.0999999999999996</v>
      </c>
      <c r="G5" s="6">
        <v>160</v>
      </c>
      <c r="H5" s="6" t="str">
        <f t="shared" si="0"/>
        <v>@20°C</v>
      </c>
    </row>
    <row r="6" spans="1:9" x14ac:dyDescent="0.25">
      <c r="A6" s="7" t="s">
        <v>19</v>
      </c>
      <c r="B6" s="40" t="s">
        <v>52</v>
      </c>
      <c r="C6" s="6" t="s">
        <v>10</v>
      </c>
      <c r="D6" s="8">
        <v>1.0269999999999999</v>
      </c>
      <c r="E6" s="6" t="str">
        <f>"@25°C"</f>
        <v>@25°C</v>
      </c>
      <c r="F6" s="6">
        <v>3.4</v>
      </c>
      <c r="G6" s="6">
        <v>0.28999999999999998</v>
      </c>
      <c r="H6" s="6" t="str">
        <f t="shared" si="0"/>
        <v>@20°C</v>
      </c>
    </row>
    <row r="7" spans="1:9" x14ac:dyDescent="0.25">
      <c r="A7" s="7" t="s">
        <v>20</v>
      </c>
      <c r="B7" s="40" t="s">
        <v>51</v>
      </c>
      <c r="C7" s="6" t="s">
        <v>11</v>
      </c>
      <c r="D7" s="8">
        <v>0.95</v>
      </c>
      <c r="E7" s="6" t="str">
        <f>"@20°C"</f>
        <v>@20°C</v>
      </c>
      <c r="F7" s="6">
        <v>2.5</v>
      </c>
      <c r="G7" s="6">
        <v>2.7</v>
      </c>
      <c r="H7" s="6" t="str">
        <f t="shared" si="0"/>
        <v>@20°C</v>
      </c>
    </row>
    <row r="8" spans="1:9" x14ac:dyDescent="0.25">
      <c r="A8" s="6" t="s">
        <v>29</v>
      </c>
      <c r="B8" s="41" t="s">
        <v>53</v>
      </c>
      <c r="C8" s="7" t="s">
        <v>28</v>
      </c>
      <c r="D8" s="8">
        <v>1.123</v>
      </c>
      <c r="E8" s="6" t="str">
        <f>"@20°C"</f>
        <v>@20°C</v>
      </c>
      <c r="F8" s="6" t="s">
        <v>29</v>
      </c>
      <c r="G8" s="6">
        <v>8.6999999999999993</v>
      </c>
      <c r="H8" s="6" t="str">
        <f t="shared" si="0"/>
        <v>@20°C</v>
      </c>
    </row>
    <row r="9" spans="1:9" x14ac:dyDescent="0.25">
      <c r="A9" s="7" t="s">
        <v>21</v>
      </c>
      <c r="B9" s="40" t="s">
        <v>54</v>
      </c>
      <c r="C9" s="6" t="s">
        <v>12</v>
      </c>
      <c r="D9" s="8">
        <v>0.88800000000000001</v>
      </c>
      <c r="E9" s="6" t="str">
        <f>"@20°C"</f>
        <v>@20°C</v>
      </c>
      <c r="F9" s="6">
        <v>2.5</v>
      </c>
      <c r="G9" s="6">
        <v>143</v>
      </c>
      <c r="H9" s="6" t="str">
        <f t="shared" si="0"/>
        <v>@20°C</v>
      </c>
    </row>
    <row r="10" spans="1:9" x14ac:dyDescent="0.25">
      <c r="B10" s="41"/>
    </row>
    <row r="11" spans="1:9" s="9" customFormat="1" x14ac:dyDescent="0.25">
      <c r="A11" s="9" t="s">
        <v>32</v>
      </c>
      <c r="B11" s="9" t="s">
        <v>46</v>
      </c>
      <c r="C11" s="9" t="s">
        <v>30</v>
      </c>
      <c r="D11" s="9" t="s">
        <v>44</v>
      </c>
      <c r="F11" s="9" t="s">
        <v>37</v>
      </c>
      <c r="G11" s="9" t="s">
        <v>43</v>
      </c>
      <c r="H11" s="29" t="s">
        <v>38</v>
      </c>
      <c r="I11" s="29" t="s">
        <v>39</v>
      </c>
    </row>
    <row r="12" spans="1:9" x14ac:dyDescent="0.25">
      <c r="A12" s="7" t="s">
        <v>22</v>
      </c>
      <c r="B12" s="40" t="s">
        <v>55</v>
      </c>
      <c r="C12" s="6" t="s">
        <v>13</v>
      </c>
      <c r="D12" s="8">
        <v>1.2</v>
      </c>
      <c r="E12" s="6" t="str">
        <f>"@25°C"</f>
        <v>@25°C</v>
      </c>
      <c r="F12" s="10">
        <v>1100000</v>
      </c>
      <c r="G12" s="6" t="s">
        <v>29</v>
      </c>
      <c r="H12" s="11" t="s">
        <v>29</v>
      </c>
      <c r="I12" s="11" t="s">
        <v>29</v>
      </c>
    </row>
    <row r="13" spans="1:9" x14ac:dyDescent="0.25">
      <c r="A13" s="7" t="s">
        <v>23</v>
      </c>
      <c r="B13" s="40" t="s">
        <v>56</v>
      </c>
      <c r="C13" s="6" t="s">
        <v>24</v>
      </c>
      <c r="D13" s="8">
        <v>1.2450000000000001</v>
      </c>
      <c r="E13" s="6" t="str">
        <f>"@20°C"</f>
        <v>@20°C</v>
      </c>
      <c r="F13" s="10">
        <v>15000</v>
      </c>
      <c r="G13" s="6">
        <v>3</v>
      </c>
      <c r="H13" s="11" t="s">
        <v>40</v>
      </c>
      <c r="I13" s="11" t="s">
        <v>41</v>
      </c>
    </row>
    <row r="14" spans="1:9" x14ac:dyDescent="0.25">
      <c r="A14" s="7" t="s">
        <v>25</v>
      </c>
      <c r="B14" s="40" t="s">
        <v>59</v>
      </c>
      <c r="C14" s="6" t="s">
        <v>14</v>
      </c>
      <c r="D14" s="8">
        <v>1.07</v>
      </c>
      <c r="E14" s="6" t="str">
        <f>"@25°C"</f>
        <v>@25°C</v>
      </c>
      <c r="F14" s="6" t="s">
        <v>29</v>
      </c>
      <c r="G14" s="6" t="s">
        <v>29</v>
      </c>
      <c r="H14" s="11" t="s">
        <v>40</v>
      </c>
      <c r="I14" s="11" t="s">
        <v>41</v>
      </c>
    </row>
    <row r="15" spans="1:9" x14ac:dyDescent="0.25">
      <c r="A15" s="7" t="s">
        <v>26</v>
      </c>
      <c r="B15" s="40" t="s">
        <v>58</v>
      </c>
      <c r="C15" s="6" t="s">
        <v>33</v>
      </c>
      <c r="D15" s="8">
        <v>1.04</v>
      </c>
      <c r="E15" s="6" t="str">
        <f>"@25°C"</f>
        <v>@25°C</v>
      </c>
      <c r="F15" s="6" t="s">
        <v>29</v>
      </c>
      <c r="G15" s="6" t="s">
        <v>29</v>
      </c>
      <c r="H15" s="11" t="s">
        <v>29</v>
      </c>
      <c r="I15" s="11" t="s">
        <v>29</v>
      </c>
    </row>
    <row r="16" spans="1:9" x14ac:dyDescent="0.25">
      <c r="A16" s="7" t="s">
        <v>27</v>
      </c>
      <c r="B16" s="40" t="s">
        <v>57</v>
      </c>
      <c r="C16" s="6" t="s">
        <v>34</v>
      </c>
      <c r="D16" s="8">
        <v>1.06</v>
      </c>
      <c r="E16" s="6" t="str">
        <f>"@25°C"</f>
        <v>@25°C</v>
      </c>
      <c r="F16" s="10">
        <v>192000</v>
      </c>
      <c r="G16" s="6" t="s">
        <v>29</v>
      </c>
      <c r="H16" s="11" t="s">
        <v>29</v>
      </c>
      <c r="I16" s="11" t="s">
        <v>29</v>
      </c>
    </row>
    <row r="17" spans="1:9" x14ac:dyDescent="0.25">
      <c r="A17" s="6" t="s">
        <v>31</v>
      </c>
      <c r="B17" s="41" t="s">
        <v>4</v>
      </c>
      <c r="C17" s="7" t="s">
        <v>5</v>
      </c>
      <c r="D17" s="8">
        <v>1.21</v>
      </c>
      <c r="E17" s="6" t="str">
        <f>"@25°C"</f>
        <v>@25°C</v>
      </c>
      <c r="F17" s="10">
        <v>900000</v>
      </c>
      <c r="G17" s="6" t="s">
        <v>29</v>
      </c>
      <c r="H17" s="11" t="s">
        <v>29</v>
      </c>
      <c r="I17" s="11" t="s">
        <v>29</v>
      </c>
    </row>
    <row r="18" spans="1:9" x14ac:dyDescent="0.25">
      <c r="A18" s="6" t="s">
        <v>60</v>
      </c>
      <c r="B18" s="41" t="s">
        <v>61</v>
      </c>
      <c r="C18" s="6" t="s">
        <v>62</v>
      </c>
      <c r="D18" s="8">
        <v>0.4</v>
      </c>
      <c r="E18" s="6" t="s">
        <v>29</v>
      </c>
      <c r="F18" s="6" t="s">
        <v>29</v>
      </c>
      <c r="G18" s="6" t="s">
        <v>29</v>
      </c>
      <c r="H18" s="11" t="s">
        <v>63</v>
      </c>
      <c r="I18" s="11" t="s">
        <v>29</v>
      </c>
    </row>
    <row r="19" spans="1:9" x14ac:dyDescent="0.25">
      <c r="B19" s="41"/>
      <c r="H19" s="11"/>
      <c r="I19" s="11"/>
    </row>
    <row r="20" spans="1:9" x14ac:dyDescent="0.25">
      <c r="A20" s="6" t="s">
        <v>72</v>
      </c>
      <c r="B20" s="41" t="s">
        <v>70</v>
      </c>
      <c r="C20" s="6" t="s">
        <v>71</v>
      </c>
      <c r="D20" s="6">
        <v>1.1839999999999999</v>
      </c>
      <c r="E20" s="6" t="str">
        <f>"@25°C"</f>
        <v>@25°C</v>
      </c>
      <c r="F20" s="10">
        <v>150000</v>
      </c>
      <c r="G20" s="6" t="s">
        <v>29</v>
      </c>
      <c r="H20" s="11" t="s">
        <v>29</v>
      </c>
      <c r="I20" s="11" t="s">
        <v>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913E4-9BA3-456A-A7BC-B2736832302E}">
  <dimension ref="A1:L132"/>
  <sheetViews>
    <sheetView tabSelected="1" topLeftCell="B1" workbookViewId="0">
      <selection activeCell="K19" sqref="K19"/>
    </sheetView>
  </sheetViews>
  <sheetFormatPr defaultRowHeight="15" x14ac:dyDescent="0.25"/>
  <cols>
    <col min="1" max="1" width="9" style="4" bestFit="1" customWidth="1"/>
    <col min="2" max="2" width="4.42578125" style="4" bestFit="1" customWidth="1"/>
    <col min="3" max="3" width="23.140625" style="4" bestFit="1" customWidth="1"/>
    <col min="4" max="4" width="13.7109375" style="4" bestFit="1" customWidth="1"/>
    <col min="5" max="5" width="13.7109375" style="4" customWidth="1"/>
    <col min="6" max="6" width="13.7109375" style="4" bestFit="1" customWidth="1"/>
    <col min="7" max="7" width="13.7109375" style="4" customWidth="1"/>
    <col min="8" max="8" width="12.42578125" style="4" customWidth="1"/>
    <col min="9" max="9" width="0.42578125" style="37" customWidth="1"/>
    <col min="10" max="12" width="15.7109375" style="4" customWidth="1"/>
    <col min="13" max="16384" width="9.140625" style="4"/>
  </cols>
  <sheetData>
    <row r="1" spans="1:12" s="13" customFormat="1" ht="18.75" x14ac:dyDescent="0.3">
      <c r="C1" s="13">
        <v>2000</v>
      </c>
      <c r="D1" s="13" t="s">
        <v>81</v>
      </c>
      <c r="I1" s="32"/>
    </row>
    <row r="2" spans="1:12" x14ac:dyDescent="0.25">
      <c r="C2" s="4">
        <v>3000</v>
      </c>
    </row>
    <row r="3" spans="1:12" s="9" customFormat="1" x14ac:dyDescent="0.25">
      <c r="A3" s="59" t="s">
        <v>97</v>
      </c>
      <c r="B3" s="53"/>
      <c r="C3" s="31" t="s">
        <v>82</v>
      </c>
      <c r="D3" s="9" t="s">
        <v>90</v>
      </c>
      <c r="E3" s="9" t="s">
        <v>91</v>
      </c>
      <c r="F3" s="9" t="s">
        <v>64</v>
      </c>
      <c r="G3" s="9" t="s">
        <v>65</v>
      </c>
      <c r="I3" s="33"/>
      <c r="J3" s="5" t="s">
        <v>99</v>
      </c>
      <c r="K3" s="5" t="s">
        <v>101</v>
      </c>
      <c r="L3" s="5" t="s">
        <v>100</v>
      </c>
    </row>
    <row r="4" spans="1:12" s="12" customFormat="1" x14ac:dyDescent="0.25">
      <c r="A4" s="59"/>
      <c r="B4" s="53" t="str">
        <f>"000"</f>
        <v>000</v>
      </c>
      <c r="C4" s="18">
        <v>0</v>
      </c>
      <c r="D4" s="21">
        <v>2246</v>
      </c>
      <c r="E4" s="21">
        <f>D4/$D$10</f>
        <v>2000</v>
      </c>
      <c r="F4" s="22">
        <v>0</v>
      </c>
      <c r="G4" s="22">
        <v>11.28</v>
      </c>
      <c r="I4" s="34"/>
      <c r="J4" s="58">
        <v>1.7899999999999999E-4</v>
      </c>
      <c r="K4" s="58">
        <v>0.106836</v>
      </c>
      <c r="L4" s="58">
        <v>20</v>
      </c>
    </row>
    <row r="5" spans="1:12" s="12" customFormat="1" x14ac:dyDescent="0.25">
      <c r="A5" s="59"/>
      <c r="B5" s="53" t="str">
        <f>"025"</f>
        <v>025</v>
      </c>
      <c r="C5" s="18">
        <v>0.25</v>
      </c>
      <c r="D5" s="21">
        <v>2246</v>
      </c>
      <c r="E5" s="21">
        <f t="shared" ref="E5:E8" si="0">D5/$D$10</f>
        <v>2000</v>
      </c>
      <c r="F5" s="22">
        <v>5.65</v>
      </c>
      <c r="G5" s="22">
        <v>11.32</v>
      </c>
      <c r="I5" s="34"/>
      <c r="J5" s="58">
        <v>6.1300000000000005E-4</v>
      </c>
      <c r="K5" s="14">
        <v>22.628292999999999</v>
      </c>
      <c r="L5" s="58">
        <v>20</v>
      </c>
    </row>
    <row r="6" spans="1:12" s="12" customFormat="1" x14ac:dyDescent="0.25">
      <c r="A6" s="59"/>
      <c r="B6" s="53" t="str">
        <f>"050"</f>
        <v>050</v>
      </c>
      <c r="C6" s="18">
        <v>0.5</v>
      </c>
      <c r="D6" s="21">
        <v>2246</v>
      </c>
      <c r="E6" s="21">
        <f t="shared" si="0"/>
        <v>2000</v>
      </c>
      <c r="F6" s="22">
        <v>11.34</v>
      </c>
      <c r="G6" s="22">
        <v>11.34</v>
      </c>
      <c r="I6" s="34"/>
      <c r="J6" s="58">
        <v>1.6898E-2</v>
      </c>
      <c r="K6" s="14">
        <v>618.78667700000005</v>
      </c>
      <c r="L6" s="58">
        <v>20</v>
      </c>
    </row>
    <row r="7" spans="1:12" s="12" customFormat="1" x14ac:dyDescent="0.25">
      <c r="A7" s="59"/>
      <c r="B7" s="53" t="str">
        <f>"075"</f>
        <v>075</v>
      </c>
      <c r="C7" s="18">
        <v>0.75</v>
      </c>
      <c r="D7" s="21">
        <v>2246</v>
      </c>
      <c r="E7" s="21">
        <f t="shared" si="0"/>
        <v>2000</v>
      </c>
      <c r="F7" s="22">
        <v>17.059999999999999</v>
      </c>
      <c r="G7" s="22">
        <v>11.37</v>
      </c>
      <c r="I7" s="34"/>
      <c r="J7" s="66">
        <v>5.9131999999999997E-2</v>
      </c>
      <c r="K7" s="58">
        <v>4278.319708</v>
      </c>
      <c r="L7" s="58">
        <v>20</v>
      </c>
    </row>
    <row r="8" spans="1:12" s="12" customFormat="1" x14ac:dyDescent="0.25">
      <c r="A8" s="59"/>
      <c r="B8" s="53" t="str">
        <f>"100"</f>
        <v>100</v>
      </c>
      <c r="C8" s="19">
        <v>1</v>
      </c>
      <c r="D8" s="23">
        <v>2246</v>
      </c>
      <c r="E8" s="21">
        <f t="shared" si="0"/>
        <v>2000</v>
      </c>
      <c r="F8" s="24">
        <v>22.8</v>
      </c>
      <c r="G8" s="24">
        <v>11.4</v>
      </c>
      <c r="I8" s="35"/>
      <c r="J8" s="66">
        <v>-0.14122599999999999</v>
      </c>
      <c r="K8" s="14">
        <v>12927.421598000001</v>
      </c>
      <c r="L8" s="58">
        <v>20</v>
      </c>
    </row>
    <row r="9" spans="1:12" s="12" customFormat="1" x14ac:dyDescent="0.25">
      <c r="A9" s="59"/>
      <c r="B9" s="53"/>
      <c r="C9" s="19"/>
      <c r="D9" s="23"/>
      <c r="E9" s="23"/>
      <c r="F9" s="24"/>
      <c r="G9" s="24"/>
      <c r="I9" s="35"/>
      <c r="J9" s="58"/>
      <c r="K9" s="58"/>
      <c r="L9" s="58"/>
    </row>
    <row r="10" spans="1:12" s="12" customFormat="1" x14ac:dyDescent="0.25">
      <c r="A10" s="59"/>
      <c r="B10" s="53"/>
      <c r="C10" s="44" t="s">
        <v>35</v>
      </c>
      <c r="D10" s="45">
        <v>1.123</v>
      </c>
      <c r="E10" s="45"/>
      <c r="F10" s="45">
        <v>1.21</v>
      </c>
      <c r="G10" s="45">
        <v>0.4</v>
      </c>
      <c r="H10" s="44"/>
      <c r="I10" s="35"/>
      <c r="J10" s="58"/>
      <c r="L10" s="58"/>
    </row>
    <row r="11" spans="1:12" s="12" customFormat="1" x14ac:dyDescent="0.25">
      <c r="A11" s="59"/>
      <c r="B11" s="53"/>
      <c r="C11" s="16"/>
      <c r="D11" s="16">
        <f>C1*D10</f>
        <v>2246</v>
      </c>
      <c r="E11" s="16" t="s">
        <v>76</v>
      </c>
      <c r="G11" s="16"/>
      <c r="H11" s="46"/>
      <c r="I11" s="35"/>
      <c r="J11" s="14"/>
      <c r="L11" s="14"/>
    </row>
    <row r="13" spans="1:12" s="5" customFormat="1" x14ac:dyDescent="0.25">
      <c r="A13" s="59" t="s">
        <v>97</v>
      </c>
      <c r="B13" s="53"/>
      <c r="C13" s="31" t="s">
        <v>83</v>
      </c>
      <c r="D13" s="5" t="s">
        <v>66</v>
      </c>
      <c r="E13" s="5" t="s">
        <v>92</v>
      </c>
      <c r="F13" s="5" t="s">
        <v>67</v>
      </c>
      <c r="I13" s="36"/>
    </row>
    <row r="14" spans="1:12" x14ac:dyDescent="0.25">
      <c r="A14" s="59"/>
      <c r="B14" s="53"/>
      <c r="C14" s="15">
        <v>20</v>
      </c>
      <c r="D14" s="20">
        <f>$D$22*((100-C14)/100)</f>
        <v>2131.2000000000003</v>
      </c>
      <c r="E14" s="20">
        <f>D14/$D$20</f>
        <v>2400.0000000000005</v>
      </c>
      <c r="F14" s="20">
        <f>$D$22*(C14/100)</f>
        <v>532.80000000000007</v>
      </c>
      <c r="G14" s="20"/>
      <c r="H14" s="20"/>
    </row>
    <row r="15" spans="1:12" x14ac:dyDescent="0.25">
      <c r="A15" s="59"/>
      <c r="B15" s="53"/>
      <c r="C15" s="15">
        <v>25</v>
      </c>
      <c r="D15" s="20">
        <f t="shared" ref="D15:D18" si="1">$D$22*((100-C15)/100)</f>
        <v>1998</v>
      </c>
      <c r="E15" s="20">
        <f>D15/$D$20</f>
        <v>2250</v>
      </c>
      <c r="F15" s="20">
        <f t="shared" ref="F15:F18" si="2">$D$22*(C15/100)</f>
        <v>666</v>
      </c>
      <c r="G15" s="20"/>
      <c r="H15" s="20"/>
      <c r="J15" s="4">
        <v>0.35607699999999998</v>
      </c>
      <c r="K15" s="67">
        <v>0.12851899999999999</v>
      </c>
    </row>
    <row r="16" spans="1:12" x14ac:dyDescent="0.25">
      <c r="A16" s="59"/>
      <c r="B16" s="53"/>
      <c r="C16" s="15">
        <v>30</v>
      </c>
      <c r="D16" s="20">
        <f t="shared" si="1"/>
        <v>1864.8</v>
      </c>
      <c r="E16" s="20">
        <f>D16/$D$20</f>
        <v>2100</v>
      </c>
      <c r="F16" s="20">
        <f t="shared" si="2"/>
        <v>799.19999999999993</v>
      </c>
      <c r="G16" s="20"/>
      <c r="H16" s="20"/>
      <c r="J16" s="67">
        <v>0.918902</v>
      </c>
      <c r="K16" s="67">
        <v>1.331504</v>
      </c>
    </row>
    <row r="17" spans="1:12" x14ac:dyDescent="0.25">
      <c r="A17" s="59"/>
      <c r="B17" s="53"/>
      <c r="C17" s="15">
        <v>35</v>
      </c>
      <c r="D17" s="20">
        <f t="shared" si="1"/>
        <v>1731.6000000000001</v>
      </c>
      <c r="E17" s="20">
        <f>D17/$D$20</f>
        <v>1950.0000000000002</v>
      </c>
      <c r="F17" s="20">
        <f t="shared" si="2"/>
        <v>932.4</v>
      </c>
      <c r="G17" s="20"/>
      <c r="H17" s="20"/>
      <c r="J17" s="67">
        <v>2.5808939999999998</v>
      </c>
      <c r="K17" s="67">
        <v>3.4811550000000002</v>
      </c>
    </row>
    <row r="18" spans="1:12" x14ac:dyDescent="0.25">
      <c r="A18" s="59"/>
      <c r="B18" s="53"/>
      <c r="C18" s="15">
        <v>40</v>
      </c>
      <c r="D18" s="20">
        <f t="shared" si="1"/>
        <v>1598.3999999999999</v>
      </c>
      <c r="E18" s="20">
        <f>D18/$D$20</f>
        <v>1799.9999999999998</v>
      </c>
      <c r="F18" s="20">
        <f t="shared" si="2"/>
        <v>1065.6000000000001</v>
      </c>
      <c r="G18" s="20"/>
      <c r="H18" s="20"/>
      <c r="J18" s="4">
        <v>0.48035</v>
      </c>
      <c r="K18" s="4">
        <v>6.1443620000000001</v>
      </c>
    </row>
    <row r="19" spans="1:12" x14ac:dyDescent="0.25">
      <c r="A19" s="59"/>
      <c r="B19" s="53"/>
    </row>
    <row r="20" spans="1:12" x14ac:dyDescent="0.25">
      <c r="A20" s="59"/>
      <c r="B20" s="53"/>
      <c r="C20" s="44" t="s">
        <v>35</v>
      </c>
      <c r="D20" s="45">
        <v>0.88800000000000001</v>
      </c>
      <c r="E20" s="45"/>
      <c r="F20" s="45">
        <v>1.06</v>
      </c>
      <c r="G20" s="45"/>
      <c r="H20" s="16"/>
    </row>
    <row r="21" spans="1:12" x14ac:dyDescent="0.25">
      <c r="A21" s="59"/>
      <c r="B21" s="53"/>
      <c r="C21" s="16"/>
      <c r="D21" s="16">
        <f>C1*D20</f>
        <v>1776</v>
      </c>
      <c r="E21" s="16" t="s">
        <v>76</v>
      </c>
      <c r="G21" s="16"/>
      <c r="H21" s="16"/>
    </row>
    <row r="22" spans="1:12" x14ac:dyDescent="0.25">
      <c r="A22" s="75"/>
      <c r="B22" s="75"/>
      <c r="D22" s="16">
        <f>C2*D20</f>
        <v>2664</v>
      </c>
      <c r="E22" s="16" t="s">
        <v>76</v>
      </c>
      <c r="J22" s="5" t="s">
        <v>99</v>
      </c>
      <c r="K22" s="5" t="s">
        <v>101</v>
      </c>
      <c r="L22" s="5" t="s">
        <v>100</v>
      </c>
    </row>
    <row r="23" spans="1:12" x14ac:dyDescent="0.25">
      <c r="A23" s="42"/>
      <c r="B23" s="42"/>
      <c r="J23" s="5"/>
      <c r="K23" s="5"/>
      <c r="L23" s="5"/>
    </row>
    <row r="24" spans="1:12" ht="15" customHeight="1" x14ac:dyDescent="0.25">
      <c r="A24" s="60" t="s">
        <v>104</v>
      </c>
      <c r="B24" s="56">
        <v>0</v>
      </c>
      <c r="C24" s="20">
        <f>(F24/(D24+F24))*100</f>
        <v>19.752993448301833</v>
      </c>
      <c r="D24" s="20">
        <f>$D$20*E24</f>
        <v>2131.1999999999998</v>
      </c>
      <c r="E24" s="20">
        <v>2400</v>
      </c>
      <c r="F24" s="20">
        <v>524.6</v>
      </c>
      <c r="G24" s="20"/>
      <c r="H24" s="20"/>
      <c r="L24" s="58"/>
    </row>
    <row r="25" spans="1:12" x14ac:dyDescent="0.25">
      <c r="A25" s="60"/>
      <c r="B25" s="56">
        <v>1</v>
      </c>
      <c r="C25" s="20">
        <f t="shared" ref="C25:C28" si="3">(F25/(D25+F25))*100</f>
        <v>25.221052631578942</v>
      </c>
      <c r="D25" s="20">
        <f t="shared" ref="D25:D28" si="4">$D$20*E25</f>
        <v>1953.6000000000001</v>
      </c>
      <c r="E25" s="20">
        <v>2200</v>
      </c>
      <c r="F25" s="20">
        <v>658.9</v>
      </c>
      <c r="G25" s="20"/>
      <c r="H25" s="20"/>
      <c r="K25" s="67"/>
      <c r="L25" s="58"/>
    </row>
    <row r="26" spans="1:12" x14ac:dyDescent="0.25">
      <c r="A26" s="60"/>
      <c r="B26" s="56">
        <v>2</v>
      </c>
      <c r="C26" s="20">
        <f t="shared" si="3"/>
        <v>30.222637979420021</v>
      </c>
      <c r="D26" s="20">
        <f t="shared" si="4"/>
        <v>1864.8</v>
      </c>
      <c r="E26" s="20">
        <v>2100</v>
      </c>
      <c r="F26" s="20">
        <v>807.7</v>
      </c>
      <c r="G26" s="20"/>
      <c r="H26" s="20"/>
      <c r="J26" s="67"/>
      <c r="K26" s="67"/>
      <c r="L26" s="58"/>
    </row>
    <row r="27" spans="1:12" x14ac:dyDescent="0.25">
      <c r="A27" s="60"/>
      <c r="B27" s="56">
        <v>3</v>
      </c>
      <c r="C27" s="20">
        <f t="shared" si="3"/>
        <v>35.583384239462433</v>
      </c>
      <c r="D27" s="20">
        <f t="shared" si="4"/>
        <v>1687.2</v>
      </c>
      <c r="E27" s="20">
        <v>1900</v>
      </c>
      <c r="F27" s="20">
        <v>932</v>
      </c>
      <c r="G27" s="20"/>
      <c r="H27" s="20"/>
      <c r="L27" s="58"/>
    </row>
    <row r="28" spans="1:12" x14ac:dyDescent="0.25">
      <c r="A28" s="60"/>
      <c r="B28" s="56">
        <v>4</v>
      </c>
      <c r="C28" s="20">
        <f t="shared" si="3"/>
        <v>39.941384233861875</v>
      </c>
      <c r="D28" s="20">
        <f t="shared" si="4"/>
        <v>1598.4</v>
      </c>
      <c r="E28" s="20">
        <v>1800</v>
      </c>
      <c r="F28" s="20">
        <v>1063</v>
      </c>
      <c r="G28" s="20"/>
      <c r="H28" s="20"/>
      <c r="K28" s="67"/>
      <c r="L28" s="58"/>
    </row>
    <row r="29" spans="1:12" x14ac:dyDescent="0.25">
      <c r="A29" s="42"/>
      <c r="B29" s="42"/>
      <c r="J29" s="5"/>
      <c r="K29" s="5"/>
      <c r="L29" s="5"/>
    </row>
    <row r="30" spans="1:12" ht="15" customHeight="1" x14ac:dyDescent="0.25">
      <c r="A30" s="60" t="s">
        <v>98</v>
      </c>
      <c r="B30" s="56">
        <v>0</v>
      </c>
      <c r="C30" s="20">
        <f>(F30/(D30+F30))*100</f>
        <v>0.25833988543187686</v>
      </c>
      <c r="D30" s="20">
        <f>$D$20*E30</f>
        <v>1776</v>
      </c>
      <c r="E30" s="20">
        <v>2000</v>
      </c>
      <c r="F30" s="20">
        <v>4.5999999999999996</v>
      </c>
      <c r="G30" s="20"/>
      <c r="H30" s="20"/>
      <c r="J30" s="4">
        <v>2.6400000000000002E-4</v>
      </c>
      <c r="K30" s="4">
        <v>1.7329999999999999E-3</v>
      </c>
      <c r="L30" s="58">
        <v>20</v>
      </c>
    </row>
    <row r="31" spans="1:12" x14ac:dyDescent="0.25">
      <c r="A31" s="60"/>
      <c r="B31" s="56">
        <v>1</v>
      </c>
      <c r="C31" s="20">
        <f t="shared" ref="C31:C34" si="5">(F31/(D31+F31))*100</f>
        <v>4.1635898892360119</v>
      </c>
      <c r="D31" s="20">
        <f t="shared" ref="D31:D34" si="6">$D$20*E31</f>
        <v>1687.2</v>
      </c>
      <c r="E31" s="20">
        <v>1900</v>
      </c>
      <c r="F31" s="20">
        <v>73.3</v>
      </c>
      <c r="G31" s="20"/>
      <c r="H31" s="20"/>
      <c r="J31" s="4">
        <v>2.9629999999999999E-3</v>
      </c>
      <c r="K31" s="67">
        <v>0.95067100000000004</v>
      </c>
      <c r="L31" s="58">
        <v>20</v>
      </c>
    </row>
    <row r="32" spans="1:12" x14ac:dyDescent="0.25">
      <c r="A32" s="60"/>
      <c r="B32" s="56">
        <v>2</v>
      </c>
      <c r="C32" s="20">
        <f t="shared" si="5"/>
        <v>8.3275980729525099</v>
      </c>
      <c r="D32" s="20">
        <f t="shared" si="6"/>
        <v>1598.4</v>
      </c>
      <c r="E32" s="20">
        <v>1800</v>
      </c>
      <c r="F32" s="20">
        <v>145.19999999999999</v>
      </c>
      <c r="G32" s="20"/>
      <c r="H32" s="20"/>
      <c r="J32" s="67">
        <v>3.5182999999999999E-2</v>
      </c>
      <c r="K32" s="67">
        <v>4.2918999999999999E-2</v>
      </c>
      <c r="L32" s="58">
        <v>20</v>
      </c>
    </row>
    <row r="33" spans="1:12" x14ac:dyDescent="0.25">
      <c r="A33" s="60"/>
      <c r="B33" s="56">
        <v>3</v>
      </c>
      <c r="C33" s="20">
        <f t="shared" si="5"/>
        <v>11.031949237448513</v>
      </c>
      <c r="D33" s="20">
        <f t="shared" si="6"/>
        <v>1598.4</v>
      </c>
      <c r="E33" s="20">
        <v>1800</v>
      </c>
      <c r="F33" s="20">
        <v>198.2</v>
      </c>
      <c r="G33" s="20"/>
      <c r="H33" s="20"/>
      <c r="J33" s="4">
        <v>2.8964E-2</v>
      </c>
      <c r="K33" s="4">
        <v>0.31996999999999998</v>
      </c>
      <c r="L33" s="58">
        <v>20</v>
      </c>
    </row>
    <row r="34" spans="1:12" x14ac:dyDescent="0.25">
      <c r="A34" s="60"/>
      <c r="B34" s="56">
        <v>4</v>
      </c>
      <c r="C34" s="20">
        <f t="shared" si="5"/>
        <v>15.172902080219371</v>
      </c>
      <c r="D34" s="20">
        <f t="shared" si="6"/>
        <v>1509.6</v>
      </c>
      <c r="E34" s="20">
        <v>1700</v>
      </c>
      <c r="F34" s="20">
        <v>270.02</v>
      </c>
      <c r="G34" s="20"/>
      <c r="H34" s="20"/>
      <c r="J34" s="4">
        <v>0.198681</v>
      </c>
      <c r="K34" s="67">
        <v>1.2781130000000001</v>
      </c>
      <c r="L34" s="58">
        <v>20</v>
      </c>
    </row>
    <row r="35" spans="1:12" x14ac:dyDescent="0.25">
      <c r="A35" s="43"/>
      <c r="B35" s="43"/>
    </row>
    <row r="36" spans="1:12" s="5" customFormat="1" x14ac:dyDescent="0.25">
      <c r="A36" s="59" t="s">
        <v>97</v>
      </c>
      <c r="B36" s="53"/>
      <c r="C36" s="31" t="s">
        <v>84</v>
      </c>
      <c r="D36" s="17" t="s">
        <v>66</v>
      </c>
      <c r="E36" s="17" t="s">
        <v>92</v>
      </c>
      <c r="F36" s="5" t="s">
        <v>69</v>
      </c>
      <c r="G36" s="5" t="s">
        <v>93</v>
      </c>
      <c r="H36" s="17" t="s">
        <v>68</v>
      </c>
      <c r="I36" s="36"/>
    </row>
    <row r="37" spans="1:12" x14ac:dyDescent="0.25">
      <c r="A37" s="59"/>
      <c r="B37" s="53"/>
      <c r="C37" s="15">
        <v>9</v>
      </c>
      <c r="D37" s="20">
        <f>$D$45*((100-C37)*0.75/100)</f>
        <v>1849.91625</v>
      </c>
      <c r="E37" s="20">
        <f>D37/$D$43</f>
        <v>2083.2390202702704</v>
      </c>
      <c r="F37" s="20">
        <f>$D$45*((100-C37)*0.25/100)</f>
        <v>616.63875000000007</v>
      </c>
      <c r="G37" s="20">
        <f>F37/$F$43</f>
        <v>649.0934210526317</v>
      </c>
      <c r="H37" s="20">
        <f>$D$45*(C37/100)</f>
        <v>243.94499999999999</v>
      </c>
    </row>
    <row r="38" spans="1:12" x14ac:dyDescent="0.25">
      <c r="A38" s="59"/>
      <c r="B38" s="53"/>
      <c r="C38" s="15">
        <v>14</v>
      </c>
      <c r="D38" s="20">
        <f t="shared" ref="D38:D41" si="7">$D$45*((100-C38)*0.75/100)</f>
        <v>1748.2725</v>
      </c>
      <c r="E38" s="20">
        <f t="shared" ref="E38:E41" si="8">D38/$D$43</f>
        <v>1968.7753378378379</v>
      </c>
      <c r="F38" s="20">
        <f t="shared" ref="F38:F41" si="9">$D$45*((100-C38)*0.25/100)</f>
        <v>582.75749999999994</v>
      </c>
      <c r="G38" s="20">
        <f t="shared" ref="G38:G41" si="10">F38/$F$43</f>
        <v>613.42894736842106</v>
      </c>
      <c r="H38" s="20">
        <f t="shared" ref="H38:H41" si="11">$D$45*(C38/100)</f>
        <v>379.47</v>
      </c>
    </row>
    <row r="39" spans="1:12" x14ac:dyDescent="0.25">
      <c r="A39" s="59"/>
      <c r="B39" s="53"/>
      <c r="C39" s="15">
        <v>19</v>
      </c>
      <c r="D39" s="20">
        <f t="shared" si="7"/>
        <v>1646.6287500000001</v>
      </c>
      <c r="E39" s="20">
        <f t="shared" si="8"/>
        <v>1854.3116554054054</v>
      </c>
      <c r="F39" s="20">
        <f t="shared" si="9"/>
        <v>548.87625000000003</v>
      </c>
      <c r="G39" s="20">
        <f t="shared" si="10"/>
        <v>577.76447368421054</v>
      </c>
      <c r="H39" s="20">
        <f t="shared" si="11"/>
        <v>514.995</v>
      </c>
    </row>
    <row r="40" spans="1:12" x14ac:dyDescent="0.25">
      <c r="A40" s="59"/>
      <c r="B40" s="53"/>
      <c r="C40" s="15">
        <v>24</v>
      </c>
      <c r="D40" s="20">
        <f t="shared" si="7"/>
        <v>1544.9849999999999</v>
      </c>
      <c r="E40" s="20">
        <f t="shared" si="8"/>
        <v>1739.8479729729729</v>
      </c>
      <c r="F40" s="20">
        <f t="shared" si="9"/>
        <v>514.995</v>
      </c>
      <c r="G40" s="20">
        <f t="shared" si="10"/>
        <v>542.1</v>
      </c>
      <c r="H40" s="20">
        <f t="shared" si="11"/>
        <v>650.52</v>
      </c>
    </row>
    <row r="41" spans="1:12" x14ac:dyDescent="0.25">
      <c r="A41" s="59"/>
      <c r="B41" s="53"/>
      <c r="C41" s="15">
        <v>29</v>
      </c>
      <c r="D41" s="20">
        <f t="shared" si="7"/>
        <v>1443.3412499999999</v>
      </c>
      <c r="E41" s="20">
        <f t="shared" si="8"/>
        <v>1625.3842905405404</v>
      </c>
      <c r="F41" s="20">
        <f t="shared" si="9"/>
        <v>481.11374999999998</v>
      </c>
      <c r="G41" s="20">
        <f t="shared" si="10"/>
        <v>506.4355263157895</v>
      </c>
      <c r="H41" s="20">
        <f t="shared" si="11"/>
        <v>786.04499999999996</v>
      </c>
    </row>
    <row r="42" spans="1:12" x14ac:dyDescent="0.25">
      <c r="A42" s="59"/>
      <c r="B42" s="53"/>
    </row>
    <row r="43" spans="1:12" x14ac:dyDescent="0.25">
      <c r="A43" s="59"/>
      <c r="B43" s="53"/>
      <c r="C43" s="44" t="s">
        <v>35</v>
      </c>
      <c r="D43" s="45">
        <v>0.88800000000000001</v>
      </c>
      <c r="E43" s="45"/>
      <c r="F43" s="45">
        <v>0.95</v>
      </c>
      <c r="G43" s="20">
        <v>1400</v>
      </c>
      <c r="H43" s="45">
        <v>1.04</v>
      </c>
    </row>
    <row r="44" spans="1:12" x14ac:dyDescent="0.25">
      <c r="A44" s="59"/>
      <c r="B44" s="53"/>
      <c r="C44" s="16"/>
      <c r="D44" s="16">
        <f>C1*((D43*0.75)+(F43*0.25))</f>
        <v>1807</v>
      </c>
      <c r="E44" s="16" t="s">
        <v>76</v>
      </c>
      <c r="F44" s="16"/>
      <c r="G44" s="16"/>
      <c r="H44" s="16"/>
    </row>
    <row r="45" spans="1:12" x14ac:dyDescent="0.25">
      <c r="A45" s="53"/>
      <c r="B45" s="53"/>
      <c r="C45" s="16"/>
      <c r="D45" s="16">
        <f>C2*((D43*0.75)+(F43*0.25))</f>
        <v>2710.5</v>
      </c>
      <c r="E45" s="16" t="s">
        <v>76</v>
      </c>
      <c r="F45" s="16"/>
      <c r="G45" s="16"/>
      <c r="H45" s="16"/>
    </row>
    <row r="46" spans="1:12" x14ac:dyDescent="0.25">
      <c r="J46" s="5" t="s">
        <v>99</v>
      </c>
      <c r="K46" s="5" t="s">
        <v>101</v>
      </c>
      <c r="L46" s="5" t="s">
        <v>100</v>
      </c>
    </row>
    <row r="47" spans="1:12" x14ac:dyDescent="0.25">
      <c r="A47" s="60" t="s">
        <v>104</v>
      </c>
      <c r="B47" s="56">
        <v>5</v>
      </c>
      <c r="C47" s="20">
        <f>(H47/(D47+F47+H47))*100</f>
        <v>9.2846497764530547</v>
      </c>
      <c r="D47" s="20">
        <f>$D$43*E47</f>
        <v>1864.8</v>
      </c>
      <c r="E47" s="20">
        <v>2100</v>
      </c>
      <c r="F47" s="20">
        <f>$F$43*G47</f>
        <v>570</v>
      </c>
      <c r="G47" s="20">
        <v>600</v>
      </c>
      <c r="H47" s="20">
        <v>249.2</v>
      </c>
      <c r="J47" s="6"/>
      <c r="K47" s="67"/>
      <c r="L47" s="58"/>
    </row>
    <row r="48" spans="1:12" x14ac:dyDescent="0.25">
      <c r="A48" s="61"/>
      <c r="B48" s="57">
        <v>6</v>
      </c>
      <c r="C48" s="20">
        <f t="shared" ref="C48:C51" si="12">(H48/(D48+F48+H48))*100</f>
        <v>13.75317083930738</v>
      </c>
      <c r="D48" s="20">
        <f t="shared" ref="D48:D51" si="13">$D$43*E48</f>
        <v>1776</v>
      </c>
      <c r="E48" s="20">
        <v>2000</v>
      </c>
      <c r="F48" s="20">
        <f t="shared" ref="F48:F51" si="14">$F$43*G48</f>
        <v>570</v>
      </c>
      <c r="G48" s="20">
        <v>600</v>
      </c>
      <c r="H48" s="20">
        <v>374.1</v>
      </c>
      <c r="L48" s="58"/>
    </row>
    <row r="49" spans="1:12" x14ac:dyDescent="0.25">
      <c r="A49" s="61"/>
      <c r="B49" s="57">
        <v>7</v>
      </c>
      <c r="C49" s="20">
        <f t="shared" si="12"/>
        <v>19.465181058495823</v>
      </c>
      <c r="D49" s="20">
        <f t="shared" si="13"/>
        <v>1598.4</v>
      </c>
      <c r="E49" s="20">
        <v>1800</v>
      </c>
      <c r="F49" s="20">
        <f t="shared" si="14"/>
        <v>570</v>
      </c>
      <c r="G49" s="20">
        <v>600</v>
      </c>
      <c r="H49" s="20">
        <v>524.1</v>
      </c>
      <c r="J49" s="67"/>
      <c r="K49" s="67"/>
      <c r="L49" s="58"/>
    </row>
    <row r="50" spans="1:12" x14ac:dyDescent="0.25">
      <c r="A50" s="61"/>
      <c r="B50" s="57">
        <v>8</v>
      </c>
      <c r="C50" s="20">
        <f t="shared" si="12"/>
        <v>24.788721719028313</v>
      </c>
      <c r="D50" s="20">
        <f t="shared" si="13"/>
        <v>1509.6</v>
      </c>
      <c r="E50" s="20">
        <v>1700</v>
      </c>
      <c r="F50" s="20">
        <f t="shared" si="14"/>
        <v>475</v>
      </c>
      <c r="G50" s="20">
        <v>500</v>
      </c>
      <c r="H50" s="20">
        <v>654.1</v>
      </c>
      <c r="J50" s="67"/>
      <c r="K50" s="67"/>
      <c r="L50" s="58"/>
    </row>
    <row r="51" spans="1:12" x14ac:dyDescent="0.25">
      <c r="A51" s="61"/>
      <c r="B51" s="57">
        <v>9</v>
      </c>
      <c r="C51" s="20">
        <f t="shared" si="12"/>
        <v>29.406524885870166</v>
      </c>
      <c r="D51" s="20">
        <f t="shared" si="13"/>
        <v>1332</v>
      </c>
      <c r="E51" s="20">
        <v>1500</v>
      </c>
      <c r="F51" s="20">
        <f t="shared" si="14"/>
        <v>570</v>
      </c>
      <c r="G51" s="20">
        <v>600</v>
      </c>
      <c r="H51" s="20">
        <v>792.3</v>
      </c>
      <c r="J51" s="67"/>
      <c r="K51" s="6"/>
      <c r="L51" s="58"/>
    </row>
    <row r="52" spans="1:12" x14ac:dyDescent="0.25">
      <c r="J52" s="5"/>
      <c r="K52" s="5"/>
      <c r="L52" s="5"/>
    </row>
    <row r="53" spans="1:12" x14ac:dyDescent="0.25">
      <c r="A53" s="60" t="s">
        <v>98</v>
      </c>
      <c r="B53" s="56">
        <v>5</v>
      </c>
      <c r="C53" s="20">
        <f>(H53/(D53+F53+H53))*100</f>
        <v>1.4023026136301631</v>
      </c>
      <c r="D53" s="20">
        <f>$D$43*E53</f>
        <v>1332</v>
      </c>
      <c r="E53" s="20">
        <v>1500</v>
      </c>
      <c r="F53" s="20">
        <f>$F$43*G53</f>
        <v>475</v>
      </c>
      <c r="G53" s="20">
        <v>500</v>
      </c>
      <c r="H53" s="20">
        <v>25.7</v>
      </c>
      <c r="J53" s="6">
        <v>8.7530000000000004E-3</v>
      </c>
      <c r="K53" s="67">
        <v>8.3807010000000002</v>
      </c>
      <c r="L53" s="58">
        <v>20</v>
      </c>
    </row>
    <row r="54" spans="1:12" x14ac:dyDescent="0.25">
      <c r="A54" s="61"/>
      <c r="B54" s="57">
        <v>6</v>
      </c>
      <c r="C54" s="20">
        <f t="shared" ref="C54:C57" si="15">(H54/(D54+F54+H54))*100</f>
        <v>3.8727524204702628</v>
      </c>
      <c r="D54" s="20">
        <f t="shared" ref="D54:D57" si="16">$D$43*E54</f>
        <v>1332</v>
      </c>
      <c r="E54" s="20">
        <v>1500</v>
      </c>
      <c r="F54" s="20">
        <f t="shared" ref="F54:F57" si="17">$F$43*G54</f>
        <v>475</v>
      </c>
      <c r="G54" s="20">
        <v>500</v>
      </c>
      <c r="H54" s="20">
        <v>72.8</v>
      </c>
      <c r="J54" s="4">
        <v>4.2900000000000004E-3</v>
      </c>
      <c r="K54" s="4">
        <v>3.0336999999999999E-2</v>
      </c>
      <c r="L54" s="58">
        <v>20</v>
      </c>
    </row>
    <row r="55" spans="1:12" x14ac:dyDescent="0.25">
      <c r="A55" s="61"/>
      <c r="B55" s="57">
        <v>7</v>
      </c>
      <c r="C55" s="20">
        <f t="shared" si="15"/>
        <v>8.0392045776443251</v>
      </c>
      <c r="D55" s="20">
        <f>$D$43*G43</f>
        <v>1243.2</v>
      </c>
      <c r="E55" s="20">
        <v>1400</v>
      </c>
      <c r="F55" s="20">
        <f t="shared" si="17"/>
        <v>380</v>
      </c>
      <c r="G55" s="20">
        <v>400</v>
      </c>
      <c r="H55" s="20">
        <v>141.9</v>
      </c>
      <c r="J55" s="67">
        <v>1.9382E-2</v>
      </c>
      <c r="K55" s="67">
        <v>0.236674</v>
      </c>
      <c r="L55" s="58">
        <v>20</v>
      </c>
    </row>
    <row r="56" spans="1:12" x14ac:dyDescent="0.25">
      <c r="A56" s="61"/>
      <c r="B56" s="57">
        <v>8</v>
      </c>
      <c r="C56" s="20">
        <f t="shared" si="15"/>
        <v>11.750158164145628</v>
      </c>
      <c r="D56" s="20">
        <f t="shared" si="16"/>
        <v>1154.4000000000001</v>
      </c>
      <c r="E56" s="20">
        <v>1300</v>
      </c>
      <c r="F56" s="20">
        <f t="shared" si="17"/>
        <v>380</v>
      </c>
      <c r="G56" s="20">
        <v>400</v>
      </c>
      <c r="H56" s="20">
        <v>204.3</v>
      </c>
      <c r="J56" s="67">
        <v>3.4037999999999999E-2</v>
      </c>
      <c r="K56" s="6">
        <v>4.5269999999999998E-3</v>
      </c>
      <c r="L56" s="58">
        <v>20</v>
      </c>
    </row>
    <row r="57" spans="1:12" x14ac:dyDescent="0.25">
      <c r="A57" s="61"/>
      <c r="B57" s="57">
        <v>9</v>
      </c>
      <c r="C57" s="20">
        <f t="shared" si="15"/>
        <v>14.646492740724259</v>
      </c>
      <c r="D57" s="20">
        <f t="shared" si="16"/>
        <v>1154.4000000000001</v>
      </c>
      <c r="E57" s="20">
        <v>1300</v>
      </c>
      <c r="F57" s="20">
        <f t="shared" si="17"/>
        <v>380</v>
      </c>
      <c r="G57" s="20">
        <v>400</v>
      </c>
      <c r="H57" s="20">
        <v>263.3</v>
      </c>
      <c r="J57" s="4">
        <v>6.9047999999999998E-2</v>
      </c>
      <c r="K57" s="4">
        <v>9.5713000000000006E-2</v>
      </c>
      <c r="L57" s="58">
        <v>20</v>
      </c>
    </row>
    <row r="59" spans="1:12" s="5" customFormat="1" x14ac:dyDescent="0.25">
      <c r="A59" s="59" t="s">
        <v>97</v>
      </c>
      <c r="B59" s="53"/>
      <c r="C59" s="31" t="s">
        <v>85</v>
      </c>
      <c r="D59" s="5" t="s">
        <v>73</v>
      </c>
      <c r="E59" s="5" t="s">
        <v>94</v>
      </c>
      <c r="F59" s="17" t="s">
        <v>68</v>
      </c>
      <c r="G59" s="17"/>
      <c r="I59" s="36"/>
    </row>
    <row r="60" spans="1:12" x14ac:dyDescent="0.25">
      <c r="A60" s="59"/>
      <c r="B60" s="53"/>
      <c r="C60" s="15">
        <v>9</v>
      </c>
      <c r="D60" s="20">
        <f>$D$68*((100-C60)/100)</f>
        <v>2803.7099999999996</v>
      </c>
      <c r="E60" s="20">
        <f>D60/$D$66</f>
        <v>2730</v>
      </c>
      <c r="F60" s="20">
        <f>$D$68*(C60/100)</f>
        <v>277.28999999999996</v>
      </c>
      <c r="G60" s="20"/>
      <c r="H60" s="20"/>
    </row>
    <row r="61" spans="1:12" x14ac:dyDescent="0.25">
      <c r="A61" s="59"/>
      <c r="B61" s="53"/>
      <c r="C61" s="15">
        <v>14</v>
      </c>
      <c r="D61" s="20">
        <f t="shared" ref="D61:D64" si="18">$D$68*((100-C61)/100)</f>
        <v>2649.6599999999994</v>
      </c>
      <c r="E61" s="20">
        <f t="shared" ref="E61:E64" si="19">D61/$D$66</f>
        <v>2579.9999999999995</v>
      </c>
      <c r="F61" s="20">
        <f t="shared" ref="F61:F64" si="20">$D$68*(C61/100)</f>
        <v>431.34</v>
      </c>
      <c r="G61" s="20"/>
      <c r="H61" s="20"/>
    </row>
    <row r="62" spans="1:12" x14ac:dyDescent="0.25">
      <c r="A62" s="59"/>
      <c r="B62" s="53"/>
      <c r="C62" s="15">
        <v>19</v>
      </c>
      <c r="D62" s="20">
        <f t="shared" si="18"/>
        <v>2495.6099999999997</v>
      </c>
      <c r="E62" s="20">
        <f t="shared" si="19"/>
        <v>2430</v>
      </c>
      <c r="F62" s="20">
        <f t="shared" si="20"/>
        <v>585.38999999999987</v>
      </c>
      <c r="G62" s="20"/>
      <c r="H62" s="20"/>
    </row>
    <row r="63" spans="1:12" x14ac:dyDescent="0.25">
      <c r="A63" s="59"/>
      <c r="B63" s="53"/>
      <c r="C63" s="15">
        <v>24</v>
      </c>
      <c r="D63" s="20">
        <f t="shared" si="18"/>
        <v>2341.5599999999995</v>
      </c>
      <c r="E63" s="20">
        <f t="shared" si="19"/>
        <v>2279.9999999999995</v>
      </c>
      <c r="F63" s="20">
        <f t="shared" si="20"/>
        <v>739.43999999999983</v>
      </c>
      <c r="G63" s="20"/>
      <c r="H63" s="20"/>
    </row>
    <row r="64" spans="1:12" x14ac:dyDescent="0.25">
      <c r="A64" s="59"/>
      <c r="B64" s="53"/>
      <c r="C64" s="15">
        <v>29</v>
      </c>
      <c r="D64" s="20">
        <f t="shared" si="18"/>
        <v>2187.5099999999998</v>
      </c>
      <c r="E64" s="20">
        <f t="shared" si="19"/>
        <v>2130</v>
      </c>
      <c r="F64" s="20">
        <f t="shared" si="20"/>
        <v>893.48999999999978</v>
      </c>
      <c r="G64" s="20"/>
      <c r="H64" s="20"/>
    </row>
    <row r="65" spans="1:12" x14ac:dyDescent="0.25">
      <c r="A65" s="59"/>
      <c r="B65" s="53"/>
    </row>
    <row r="66" spans="1:12" x14ac:dyDescent="0.25">
      <c r="A66" s="59"/>
      <c r="B66" s="53"/>
      <c r="C66" s="44" t="s">
        <v>35</v>
      </c>
      <c r="D66" s="16">
        <v>1.0269999999999999</v>
      </c>
      <c r="E66" s="16"/>
      <c r="F66" s="45">
        <v>1.04</v>
      </c>
      <c r="G66" s="45"/>
      <c r="H66" s="16"/>
    </row>
    <row r="67" spans="1:12" x14ac:dyDescent="0.25">
      <c r="A67" s="59"/>
      <c r="B67" s="53"/>
      <c r="C67" s="16"/>
      <c r="D67" s="16">
        <f>C1*D66</f>
        <v>2054</v>
      </c>
      <c r="E67" s="16" t="s">
        <v>76</v>
      </c>
      <c r="F67" s="16"/>
      <c r="G67" s="16"/>
      <c r="H67" s="16"/>
    </row>
    <row r="68" spans="1:12" x14ac:dyDescent="0.25">
      <c r="A68" s="53"/>
      <c r="B68" s="53"/>
      <c r="C68" s="16"/>
      <c r="D68" s="16">
        <f>C2*D66</f>
        <v>3080.9999999999995</v>
      </c>
      <c r="E68" s="16" t="s">
        <v>76</v>
      </c>
      <c r="F68" s="16"/>
      <c r="G68" s="16"/>
      <c r="H68" s="16"/>
    </row>
    <row r="69" spans="1:12" x14ac:dyDescent="0.25">
      <c r="A69" s="50"/>
      <c r="B69" s="50"/>
      <c r="C69" s="41"/>
      <c r="D69" s="6"/>
      <c r="E69" s="6"/>
      <c r="F69" s="6"/>
      <c r="G69" s="6"/>
      <c r="H69" s="6"/>
      <c r="J69" s="5" t="s">
        <v>99</v>
      </c>
      <c r="K69" s="5" t="s">
        <v>101</v>
      </c>
      <c r="L69" s="5" t="s">
        <v>100</v>
      </c>
    </row>
    <row r="70" spans="1:12" x14ac:dyDescent="0.25">
      <c r="A70" s="62" t="s">
        <v>104</v>
      </c>
      <c r="B70" s="54">
        <v>10</v>
      </c>
      <c r="C70" s="51">
        <f>(F70/(D70+F70))*100</f>
        <v>0</v>
      </c>
      <c r="D70" s="52">
        <f>$D$66*E70</f>
        <v>2772.8999999999996</v>
      </c>
      <c r="E70" s="52">
        <v>2700</v>
      </c>
      <c r="F70" s="52"/>
      <c r="G70" s="52"/>
      <c r="H70" s="52"/>
      <c r="K70" s="67"/>
      <c r="L70" s="58"/>
    </row>
    <row r="71" spans="1:12" x14ac:dyDescent="0.25">
      <c r="A71" s="63"/>
      <c r="B71" s="55">
        <v>11</v>
      </c>
      <c r="C71" s="51">
        <f t="shared" ref="C71:C74" si="21">(F71/(D71+F71))*100</f>
        <v>0</v>
      </c>
      <c r="D71" s="52">
        <f>$D$66*E71</f>
        <v>2670.2</v>
      </c>
      <c r="E71" s="52">
        <v>2600</v>
      </c>
      <c r="F71" s="52"/>
      <c r="G71" s="52"/>
      <c r="H71" s="52"/>
      <c r="L71" s="58"/>
    </row>
    <row r="72" spans="1:12" x14ac:dyDescent="0.25">
      <c r="A72" s="63"/>
      <c r="B72" s="55">
        <v>12</v>
      </c>
      <c r="C72" s="51">
        <f t="shared" si="21"/>
        <v>0</v>
      </c>
      <c r="D72" s="52">
        <f>$D$66*E72</f>
        <v>2464.7999999999997</v>
      </c>
      <c r="E72" s="52">
        <v>2400</v>
      </c>
      <c r="F72" s="52"/>
      <c r="G72" s="52"/>
      <c r="H72" s="52"/>
      <c r="K72" s="67"/>
      <c r="L72" s="58"/>
    </row>
    <row r="73" spans="1:12" x14ac:dyDescent="0.25">
      <c r="A73" s="63"/>
      <c r="B73" s="55">
        <v>13</v>
      </c>
      <c r="C73" s="51">
        <f t="shared" si="21"/>
        <v>0</v>
      </c>
      <c r="D73" s="52">
        <f>$D$66*E73</f>
        <v>2362.1</v>
      </c>
      <c r="E73" s="52">
        <v>2300</v>
      </c>
      <c r="F73" s="52"/>
      <c r="G73" s="52"/>
      <c r="H73" s="52"/>
      <c r="K73" s="67"/>
      <c r="L73" s="58"/>
    </row>
    <row r="74" spans="1:12" x14ac:dyDescent="0.25">
      <c r="A74" s="63"/>
      <c r="B74" s="55">
        <v>14</v>
      </c>
      <c r="C74" s="51">
        <f t="shared" si="21"/>
        <v>0</v>
      </c>
      <c r="D74" s="52">
        <f>$D$66*E74</f>
        <v>2156.6999999999998</v>
      </c>
      <c r="E74" s="52">
        <v>2100</v>
      </c>
      <c r="F74" s="52"/>
      <c r="G74" s="52"/>
      <c r="H74" s="52"/>
      <c r="L74" s="58"/>
    </row>
    <row r="75" spans="1:12" x14ac:dyDescent="0.25">
      <c r="A75" s="50"/>
      <c r="B75" s="50"/>
      <c r="C75" s="41"/>
      <c r="D75" s="6"/>
      <c r="E75" s="6"/>
      <c r="F75" s="6"/>
      <c r="G75" s="6"/>
      <c r="H75" s="6"/>
      <c r="J75" s="5"/>
      <c r="K75" s="5"/>
      <c r="L75" s="5"/>
    </row>
    <row r="76" spans="1:12" x14ac:dyDescent="0.25">
      <c r="A76" s="62" t="s">
        <v>98</v>
      </c>
      <c r="B76" s="54">
        <v>10</v>
      </c>
      <c r="C76" s="51">
        <f>(F76/(D76+F76))*100</f>
        <v>1.0263576350407171</v>
      </c>
      <c r="D76" s="52">
        <f>$D$66*E76</f>
        <v>2054</v>
      </c>
      <c r="E76" s="52">
        <v>2000</v>
      </c>
      <c r="F76" s="52">
        <v>21.3</v>
      </c>
      <c r="G76" s="52"/>
      <c r="H76" s="52"/>
      <c r="J76" s="4">
        <v>2.0917000000000002E-2</v>
      </c>
      <c r="K76" s="67">
        <v>53.570850999999998</v>
      </c>
      <c r="L76" s="58">
        <v>20</v>
      </c>
    </row>
    <row r="77" spans="1:12" x14ac:dyDescent="0.25">
      <c r="A77" s="63"/>
      <c r="B77" s="55">
        <v>11</v>
      </c>
      <c r="C77" s="51">
        <f t="shared" ref="C77:C80" si="22">(F77/(D77+F77))*100</f>
        <v>3.5633092814075318</v>
      </c>
      <c r="D77" s="52">
        <f t="shared" ref="D77:D80" si="23">$D$66*E77</f>
        <v>1951.2999999999997</v>
      </c>
      <c r="E77" s="52">
        <v>1900</v>
      </c>
      <c r="F77" s="52">
        <v>72.099999999999994</v>
      </c>
      <c r="G77" s="52"/>
      <c r="H77" s="52"/>
      <c r="J77" s="4">
        <v>9.1500000000000001E-3</v>
      </c>
      <c r="K77" s="4">
        <v>2.2258E-2</v>
      </c>
      <c r="L77" s="58">
        <v>20</v>
      </c>
    </row>
    <row r="78" spans="1:12" x14ac:dyDescent="0.25">
      <c r="A78" s="63"/>
      <c r="B78" s="55">
        <v>12</v>
      </c>
      <c r="C78" s="51">
        <f t="shared" si="22"/>
        <v>7.74067974247642</v>
      </c>
      <c r="D78" s="52">
        <f t="shared" si="23"/>
        <v>1848.6</v>
      </c>
      <c r="E78" s="52">
        <v>1800</v>
      </c>
      <c r="F78" s="52">
        <v>155.1</v>
      </c>
      <c r="G78" s="52"/>
      <c r="H78" s="52"/>
      <c r="J78" s="4">
        <v>3.1720999999999999E-2</v>
      </c>
      <c r="K78" s="67">
        <v>2.6790000000000001E-2</v>
      </c>
      <c r="L78" s="58">
        <v>20</v>
      </c>
    </row>
    <row r="79" spans="1:12" x14ac:dyDescent="0.25">
      <c r="A79" s="63"/>
      <c r="B79" s="55">
        <v>13</v>
      </c>
      <c r="C79" s="51">
        <f t="shared" si="22"/>
        <v>11.512134411947729</v>
      </c>
      <c r="D79" s="52">
        <f t="shared" si="23"/>
        <v>1848.6</v>
      </c>
      <c r="E79" s="52">
        <v>1800</v>
      </c>
      <c r="F79" s="52">
        <v>240.5</v>
      </c>
      <c r="G79" s="52"/>
      <c r="H79" s="52"/>
      <c r="J79" s="4">
        <v>8.6243E-2</v>
      </c>
      <c r="K79" s="4">
        <v>1.5518959999999999</v>
      </c>
      <c r="L79" s="58">
        <v>20</v>
      </c>
    </row>
    <row r="80" spans="1:12" x14ac:dyDescent="0.25">
      <c r="A80" s="63"/>
      <c r="B80" s="55">
        <v>14</v>
      </c>
      <c r="C80" s="51">
        <f t="shared" si="22"/>
        <v>14.950311769290725</v>
      </c>
      <c r="D80" s="52">
        <f t="shared" si="23"/>
        <v>1745.8999999999999</v>
      </c>
      <c r="E80" s="52">
        <v>1700</v>
      </c>
      <c r="F80" s="52">
        <v>306.89999999999998</v>
      </c>
      <c r="G80" s="52"/>
      <c r="H80" s="52"/>
      <c r="J80" s="4">
        <v>0.15590399999999999</v>
      </c>
      <c r="K80" s="67">
        <v>0.16277</v>
      </c>
      <c r="L80" s="58">
        <v>20</v>
      </c>
    </row>
    <row r="82" spans="1:12" x14ac:dyDescent="0.25">
      <c r="A82" s="59" t="s">
        <v>97</v>
      </c>
      <c r="B82" s="53"/>
      <c r="C82" s="31" t="s">
        <v>86</v>
      </c>
      <c r="D82" s="26" t="s">
        <v>73</v>
      </c>
      <c r="E82" s="26" t="s">
        <v>94</v>
      </c>
      <c r="F82" s="26" t="s">
        <v>74</v>
      </c>
      <c r="G82" s="26" t="s">
        <v>75</v>
      </c>
      <c r="H82" s="39"/>
      <c r="J82" s="5"/>
      <c r="K82" s="5"/>
      <c r="L82" s="5"/>
    </row>
    <row r="83" spans="1:12" x14ac:dyDescent="0.25">
      <c r="A83" s="59"/>
      <c r="B83" s="53"/>
      <c r="C83" s="30">
        <v>0.25</v>
      </c>
      <c r="D83" s="28">
        <f t="shared" ref="D83:D84" si="24">$D$90*((100-C83)/100)</f>
        <v>2048.8650000000002</v>
      </c>
      <c r="E83" s="28">
        <f>D83/$D$89</f>
        <v>1995.0000000000005</v>
      </c>
      <c r="F83" s="28">
        <f>$D$90*((C83*0.3)/100)</f>
        <v>1.5405</v>
      </c>
      <c r="G83" s="28">
        <f>$D$90*((C83*0.7)/100)</f>
        <v>3.5944999999999996</v>
      </c>
      <c r="H83" s="39"/>
    </row>
    <row r="84" spans="1:12" x14ac:dyDescent="0.25">
      <c r="A84" s="59"/>
      <c r="B84" s="53"/>
      <c r="C84" s="30">
        <v>3.75</v>
      </c>
      <c r="D84" s="28">
        <f t="shared" si="24"/>
        <v>1976.9750000000001</v>
      </c>
      <c r="E84" s="28">
        <f t="shared" ref="E84:E87" si="25">D84/$D$89</f>
        <v>1925.0000000000002</v>
      </c>
      <c r="F84" s="28">
        <f t="shared" ref="F84:F87" si="26">$D$90*((C84*0.3)/100)</f>
        <v>23.107499999999998</v>
      </c>
      <c r="G84" s="28">
        <f>$D$90*((C84*0.7)/100)</f>
        <v>53.917499999999997</v>
      </c>
      <c r="H84" s="39"/>
    </row>
    <row r="85" spans="1:12" x14ac:dyDescent="0.25">
      <c r="A85" s="59"/>
      <c r="B85" s="53"/>
      <c r="C85" s="30">
        <v>7.5</v>
      </c>
      <c r="D85" s="28">
        <f>$D$90*((100-C85)/100)</f>
        <v>1899.95</v>
      </c>
      <c r="E85" s="28">
        <f t="shared" si="25"/>
        <v>1850.0000000000002</v>
      </c>
      <c r="F85" s="28">
        <f t="shared" si="26"/>
        <v>46.214999999999996</v>
      </c>
      <c r="G85" s="28">
        <f>$D$90*((C85*0.7)/100)</f>
        <v>107.83499999999999</v>
      </c>
      <c r="H85" s="39"/>
    </row>
    <row r="86" spans="1:12" x14ac:dyDescent="0.25">
      <c r="A86" s="59"/>
      <c r="B86" s="53"/>
      <c r="C86" s="30">
        <v>11.25</v>
      </c>
      <c r="D86" s="28">
        <f t="shared" ref="D86:D87" si="27">$D$90*((100-C86)/100)</f>
        <v>1822.925</v>
      </c>
      <c r="E86" s="28">
        <f t="shared" si="25"/>
        <v>1775</v>
      </c>
      <c r="F86" s="28">
        <f t="shared" si="26"/>
        <v>69.322500000000005</v>
      </c>
      <c r="G86" s="28">
        <f>$D$90*((C86*0.7)/100)</f>
        <v>161.75249999999997</v>
      </c>
      <c r="H86" s="39"/>
    </row>
    <row r="87" spans="1:12" x14ac:dyDescent="0.25">
      <c r="A87" s="59"/>
      <c r="B87" s="53"/>
      <c r="C87" s="30">
        <v>15</v>
      </c>
      <c r="D87" s="28">
        <f t="shared" si="27"/>
        <v>1745.8999999999999</v>
      </c>
      <c r="E87" s="28">
        <f t="shared" si="25"/>
        <v>1700</v>
      </c>
      <c r="F87" s="28">
        <f t="shared" si="26"/>
        <v>92.429999999999993</v>
      </c>
      <c r="G87" s="28">
        <f>$D$90*((C87*0.7)/100)</f>
        <v>215.67</v>
      </c>
      <c r="H87" s="39"/>
    </row>
    <row r="88" spans="1:12" x14ac:dyDescent="0.25">
      <c r="A88" s="59"/>
      <c r="B88" s="53"/>
      <c r="C88" s="27"/>
      <c r="D88" s="27"/>
      <c r="E88" s="27"/>
      <c r="F88" s="27"/>
      <c r="G88" s="27"/>
      <c r="H88" s="39"/>
    </row>
    <row r="89" spans="1:12" x14ac:dyDescent="0.25">
      <c r="A89" s="59"/>
      <c r="B89" s="53"/>
      <c r="C89" s="47" t="s">
        <v>35</v>
      </c>
      <c r="D89" s="48">
        <v>1.0269999999999999</v>
      </c>
      <c r="E89" s="48"/>
      <c r="F89" s="48">
        <v>1.2450000000000001</v>
      </c>
      <c r="G89" s="25">
        <v>1.1839999999999999</v>
      </c>
      <c r="H89" s="49"/>
    </row>
    <row r="90" spans="1:12" x14ac:dyDescent="0.25">
      <c r="A90" s="59"/>
      <c r="B90" s="53"/>
      <c r="C90" s="25"/>
      <c r="D90" s="25">
        <f>C1*D89</f>
        <v>2054</v>
      </c>
      <c r="E90" s="25" t="s">
        <v>76</v>
      </c>
      <c r="F90" s="25"/>
      <c r="G90" s="25"/>
      <c r="H90" s="25"/>
    </row>
    <row r="92" spans="1:12" s="5" customFormat="1" x14ac:dyDescent="0.25">
      <c r="A92" s="59" t="s">
        <v>97</v>
      </c>
      <c r="B92" s="53"/>
      <c r="C92" s="31" t="s">
        <v>87</v>
      </c>
      <c r="D92" s="5" t="s">
        <v>77</v>
      </c>
      <c r="E92" s="5" t="s">
        <v>95</v>
      </c>
      <c r="F92" s="5" t="s">
        <v>78</v>
      </c>
      <c r="G92" s="70"/>
      <c r="H92" s="70"/>
      <c r="I92" s="36"/>
    </row>
    <row r="93" spans="1:12" x14ac:dyDescent="0.25">
      <c r="A93" s="59"/>
      <c r="B93" s="53"/>
      <c r="C93" s="15">
        <v>0.25</v>
      </c>
      <c r="D93" s="20">
        <f>$D$100*((100-C93)/100)</f>
        <v>2958.9840000000004</v>
      </c>
      <c r="E93" s="20">
        <f>D93/$D$99</f>
        <v>1995.0000000000002</v>
      </c>
      <c r="F93" s="20">
        <f>$D$100*(C93/100)</f>
        <v>7.4160000000000004</v>
      </c>
      <c r="G93" s="74"/>
      <c r="H93" s="68"/>
    </row>
    <row r="94" spans="1:12" x14ac:dyDescent="0.25">
      <c r="A94" s="59"/>
      <c r="B94" s="53"/>
      <c r="C94" s="30">
        <v>3.75</v>
      </c>
      <c r="D94" s="38">
        <f>$D$100*((100-C94)/100)</f>
        <v>2855.1600000000003</v>
      </c>
      <c r="E94" s="20">
        <f>D94/$D$99</f>
        <v>1925</v>
      </c>
      <c r="F94" s="38">
        <f>$D$100*(C94/100)</f>
        <v>111.24</v>
      </c>
      <c r="G94" s="68"/>
      <c r="H94" s="68"/>
    </row>
    <row r="95" spans="1:12" x14ac:dyDescent="0.25">
      <c r="A95" s="59"/>
      <c r="B95" s="53"/>
      <c r="C95" s="15">
        <v>7.5</v>
      </c>
      <c r="D95" s="20">
        <f>$D$100*((100-C95)/100)</f>
        <v>2743.92</v>
      </c>
      <c r="E95" s="20">
        <f>D95/$D$99</f>
        <v>1850</v>
      </c>
      <c r="F95" s="20">
        <f>$D$100*(C95/100)</f>
        <v>222.48</v>
      </c>
      <c r="G95" s="68"/>
      <c r="H95" s="68"/>
    </row>
    <row r="96" spans="1:12" x14ac:dyDescent="0.25">
      <c r="A96" s="59"/>
      <c r="B96" s="53"/>
      <c r="C96" s="30">
        <v>11.25</v>
      </c>
      <c r="D96" s="38">
        <f>$D$100*((100-C96)/100)</f>
        <v>2632.68</v>
      </c>
      <c r="E96" s="20">
        <f>D96/$D$99</f>
        <v>1774.9999999999998</v>
      </c>
      <c r="F96" s="38">
        <f>$D$100*(C96/100)</f>
        <v>333.72</v>
      </c>
      <c r="G96" s="71"/>
      <c r="H96" s="68"/>
    </row>
    <row r="97" spans="1:12" x14ac:dyDescent="0.25">
      <c r="A97" s="59"/>
      <c r="B97" s="53"/>
      <c r="C97" s="15">
        <v>15</v>
      </c>
      <c r="D97" s="20">
        <f>$D$100*((100-C97)/100)</f>
        <v>2521.44</v>
      </c>
      <c r="E97" s="20">
        <f>D97/$D$99</f>
        <v>1700</v>
      </c>
      <c r="F97" s="20">
        <f>$D$100*(C97/100)</f>
        <v>444.96</v>
      </c>
      <c r="G97" s="71"/>
      <c r="H97" s="68"/>
    </row>
    <row r="98" spans="1:12" x14ac:dyDescent="0.25">
      <c r="A98" s="59"/>
      <c r="B98" s="53"/>
      <c r="G98" s="69"/>
      <c r="H98" s="69"/>
    </row>
    <row r="99" spans="1:12" x14ac:dyDescent="0.25">
      <c r="A99" s="59"/>
      <c r="B99" s="53"/>
      <c r="C99" s="44" t="s">
        <v>35</v>
      </c>
      <c r="D99" s="45">
        <v>1.4832000000000001</v>
      </c>
      <c r="E99" s="45"/>
      <c r="F99" s="45">
        <v>1.2</v>
      </c>
      <c r="G99" s="72"/>
      <c r="H99" s="73"/>
    </row>
    <row r="100" spans="1:12" x14ac:dyDescent="0.25">
      <c r="A100" s="59"/>
      <c r="B100" s="53"/>
      <c r="C100" s="16"/>
      <c r="D100" s="16">
        <f>C1*D99</f>
        <v>2966.4</v>
      </c>
      <c r="E100" s="16" t="s">
        <v>76</v>
      </c>
      <c r="F100" s="16"/>
      <c r="G100" s="73"/>
      <c r="H100" s="73"/>
    </row>
    <row r="101" spans="1:12" x14ac:dyDescent="0.25">
      <c r="A101" s="64"/>
      <c r="B101" s="64"/>
      <c r="C101" s="16"/>
      <c r="D101" s="16"/>
      <c r="E101" s="16"/>
      <c r="F101" s="16"/>
      <c r="G101" s="73"/>
      <c r="H101" s="73"/>
      <c r="J101" s="5" t="s">
        <v>99</v>
      </c>
      <c r="K101" s="5" t="s">
        <v>101</v>
      </c>
      <c r="L101" s="5" t="s">
        <v>100</v>
      </c>
    </row>
    <row r="102" spans="1:12" x14ac:dyDescent="0.25">
      <c r="A102" s="62" t="s">
        <v>102</v>
      </c>
      <c r="B102" s="54">
        <v>0</v>
      </c>
      <c r="C102" s="52">
        <f>(F102/(D102+F102))*100</f>
        <v>0.24548542220129804</v>
      </c>
      <c r="D102" s="6">
        <f>$D$99*E102</f>
        <v>2966.4</v>
      </c>
      <c r="E102" s="6">
        <v>2000</v>
      </c>
      <c r="F102" s="6">
        <v>7.3</v>
      </c>
      <c r="G102" s="74"/>
      <c r="H102" s="73"/>
      <c r="L102" s="58">
        <v>20</v>
      </c>
    </row>
    <row r="103" spans="1:12" x14ac:dyDescent="0.25">
      <c r="A103" s="62"/>
      <c r="B103" s="54">
        <v>1</v>
      </c>
      <c r="C103" s="52">
        <f t="shared" ref="C103" si="28">(F103/(D103+F103))*100</f>
        <v>7.5875055383252095</v>
      </c>
      <c r="D103" s="6">
        <f>$D$99*E103</f>
        <v>2669.76</v>
      </c>
      <c r="E103" s="6">
        <v>1800</v>
      </c>
      <c r="F103" s="6">
        <v>219.2</v>
      </c>
      <c r="G103" s="71"/>
      <c r="H103" s="73"/>
      <c r="L103" s="58">
        <v>20</v>
      </c>
    </row>
    <row r="104" spans="1:12" x14ac:dyDescent="0.25">
      <c r="G104" s="69"/>
      <c r="H104" s="69"/>
      <c r="L104" s="58"/>
    </row>
    <row r="105" spans="1:12" x14ac:dyDescent="0.25">
      <c r="A105" s="59" t="s">
        <v>97</v>
      </c>
      <c r="B105" s="53"/>
      <c r="C105" s="31" t="s">
        <v>88</v>
      </c>
      <c r="D105" s="5" t="s">
        <v>79</v>
      </c>
      <c r="E105" s="5" t="s">
        <v>96</v>
      </c>
      <c r="F105" s="5" t="s">
        <v>78</v>
      </c>
      <c r="G105" s="70"/>
      <c r="H105" s="69"/>
      <c r="L105" s="58"/>
    </row>
    <row r="106" spans="1:12" x14ac:dyDescent="0.25">
      <c r="A106" s="59"/>
      <c r="B106" s="53"/>
      <c r="C106" s="15">
        <v>0.25</v>
      </c>
      <c r="D106" s="20">
        <f>$D$113*((100-C106)/100)</f>
        <v>2644.3724999999999</v>
      </c>
      <c r="E106" s="20">
        <f>D106/$D$112</f>
        <v>1995</v>
      </c>
      <c r="F106" s="20">
        <f>$D$113*(C106/100)</f>
        <v>6.6275000000000004</v>
      </c>
      <c r="G106" s="68"/>
      <c r="H106" s="68"/>
    </row>
    <row r="107" spans="1:12" x14ac:dyDescent="0.25">
      <c r="A107" s="59"/>
      <c r="B107" s="53"/>
      <c r="C107" s="30">
        <v>3.75</v>
      </c>
      <c r="D107" s="38">
        <f t="shared" ref="D107:D110" si="29">$D$113*((100-C107)/100)</f>
        <v>2551.5875000000001</v>
      </c>
      <c r="E107" s="20">
        <f t="shared" ref="E107:E110" si="30">D107/$D$112</f>
        <v>1925.0000000000002</v>
      </c>
      <c r="F107" s="38">
        <f t="shared" ref="F107:F110" si="31">$D$113*(C107/100)</f>
        <v>99.412499999999994</v>
      </c>
      <c r="G107" s="68"/>
      <c r="H107" s="68"/>
    </row>
    <row r="108" spans="1:12" x14ac:dyDescent="0.25">
      <c r="A108" s="59"/>
      <c r="B108" s="53"/>
      <c r="C108" s="15">
        <v>7.5</v>
      </c>
      <c r="D108" s="20">
        <f t="shared" si="29"/>
        <v>2452.1750000000002</v>
      </c>
      <c r="E108" s="20">
        <f t="shared" si="30"/>
        <v>1850.0000000000002</v>
      </c>
      <c r="F108" s="20">
        <f t="shared" si="31"/>
        <v>198.82499999999999</v>
      </c>
      <c r="G108" s="68"/>
      <c r="H108" s="68"/>
    </row>
    <row r="109" spans="1:12" x14ac:dyDescent="0.25">
      <c r="A109" s="59"/>
      <c r="B109" s="53"/>
      <c r="C109" s="30">
        <v>11.25</v>
      </c>
      <c r="D109" s="38">
        <f t="shared" si="29"/>
        <v>2352.7624999999998</v>
      </c>
      <c r="E109" s="20">
        <f t="shared" si="30"/>
        <v>1775</v>
      </c>
      <c r="F109" s="38">
        <f t="shared" si="31"/>
        <v>298.23750000000001</v>
      </c>
      <c r="G109" s="71"/>
      <c r="H109" s="68"/>
    </row>
    <row r="110" spans="1:12" x14ac:dyDescent="0.25">
      <c r="A110" s="59"/>
      <c r="B110" s="53"/>
      <c r="C110" s="15">
        <v>15</v>
      </c>
      <c r="D110" s="20">
        <f t="shared" si="29"/>
        <v>2253.35</v>
      </c>
      <c r="E110" s="20">
        <f t="shared" si="30"/>
        <v>1700</v>
      </c>
      <c r="F110" s="20">
        <f t="shared" si="31"/>
        <v>397.65</v>
      </c>
      <c r="G110" s="71"/>
      <c r="H110" s="68"/>
    </row>
    <row r="111" spans="1:12" x14ac:dyDescent="0.25">
      <c r="A111" s="59"/>
      <c r="B111" s="53"/>
      <c r="G111" s="69"/>
      <c r="H111" s="69"/>
    </row>
    <row r="112" spans="1:12" x14ac:dyDescent="0.25">
      <c r="A112" s="59"/>
      <c r="B112" s="53"/>
      <c r="C112" s="44" t="s">
        <v>35</v>
      </c>
      <c r="D112" s="45">
        <v>1.3254999999999999</v>
      </c>
      <c r="E112" s="45"/>
      <c r="F112" s="45">
        <v>1.2</v>
      </c>
      <c r="G112" s="72"/>
      <c r="H112" s="73"/>
    </row>
    <row r="113" spans="1:12" x14ac:dyDescent="0.25">
      <c r="A113" s="59"/>
      <c r="B113" s="53"/>
      <c r="C113" s="16"/>
      <c r="D113" s="16">
        <f>C1*D112</f>
        <v>2651</v>
      </c>
      <c r="E113" s="16" t="s">
        <v>76</v>
      </c>
      <c r="F113" s="16"/>
      <c r="G113" s="73"/>
      <c r="H113" s="73"/>
    </row>
    <row r="114" spans="1:12" x14ac:dyDescent="0.25">
      <c r="G114" s="69"/>
      <c r="H114" s="69"/>
      <c r="J114" s="5" t="s">
        <v>99</v>
      </c>
      <c r="K114" s="5" t="s">
        <v>101</v>
      </c>
      <c r="L114" s="5" t="s">
        <v>100</v>
      </c>
    </row>
    <row r="115" spans="1:12" x14ac:dyDescent="0.25">
      <c r="A115" s="60" t="s">
        <v>102</v>
      </c>
      <c r="B115" s="56">
        <v>3</v>
      </c>
      <c r="C115" s="20">
        <f>(F115/(D115+F115))*100</f>
        <v>0.29336542801263726</v>
      </c>
      <c r="D115" s="4">
        <f>$D$112*E115</f>
        <v>2651</v>
      </c>
      <c r="E115" s="4">
        <v>2000</v>
      </c>
      <c r="F115" s="4">
        <v>7.8</v>
      </c>
      <c r="G115" s="74"/>
      <c r="H115" s="69"/>
      <c r="L115" s="58">
        <v>20</v>
      </c>
    </row>
    <row r="116" spans="1:12" x14ac:dyDescent="0.25">
      <c r="A116" s="60"/>
      <c r="B116" s="56">
        <v>4</v>
      </c>
      <c r="C116" s="20">
        <f t="shared" ref="C116" si="32">(F116/(D116+F116))*100</f>
        <v>7.6056228943190192</v>
      </c>
      <c r="D116" s="4">
        <f>$D$112*E116</f>
        <v>2385.8999999999996</v>
      </c>
      <c r="E116" s="4">
        <v>1800</v>
      </c>
      <c r="F116" s="4">
        <v>196.4</v>
      </c>
      <c r="G116" s="71"/>
      <c r="H116" s="69"/>
      <c r="L116" s="58">
        <v>20</v>
      </c>
    </row>
    <row r="117" spans="1:12" x14ac:dyDescent="0.25">
      <c r="G117" s="69"/>
      <c r="H117" s="69"/>
      <c r="L117" s="58"/>
    </row>
    <row r="118" spans="1:12" s="5" customFormat="1" x14ac:dyDescent="0.25">
      <c r="A118" s="59" t="s">
        <v>97</v>
      </c>
      <c r="B118" s="53"/>
      <c r="C118" s="31" t="s">
        <v>89</v>
      </c>
      <c r="D118" s="5" t="s">
        <v>69</v>
      </c>
      <c r="E118" s="5" t="s">
        <v>93</v>
      </c>
      <c r="F118" s="5" t="s">
        <v>80</v>
      </c>
      <c r="I118" s="36"/>
      <c r="L118" s="58"/>
    </row>
    <row r="119" spans="1:12" x14ac:dyDescent="0.25">
      <c r="A119" s="59"/>
      <c r="B119" s="53"/>
      <c r="C119" s="15">
        <v>0.25</v>
      </c>
      <c r="D119" s="20">
        <f>$D$126*((100-C119)/100)</f>
        <v>1895.25</v>
      </c>
      <c r="E119" s="20">
        <f>D119/$D$125</f>
        <v>1995</v>
      </c>
      <c r="F119" s="20">
        <f>$D$126*(C119/100)</f>
        <v>4.75</v>
      </c>
      <c r="G119" s="20"/>
      <c r="H119" s="20"/>
    </row>
    <row r="120" spans="1:12" x14ac:dyDescent="0.25">
      <c r="A120" s="59"/>
      <c r="B120" s="53"/>
      <c r="C120" s="15">
        <v>3.75</v>
      </c>
      <c r="D120" s="20">
        <f t="shared" ref="D120:D123" si="33">$D$126*((100-C120)/100)</f>
        <v>1828.75</v>
      </c>
      <c r="E120" s="20">
        <f t="shared" ref="E120:E123" si="34">D120/$D$125</f>
        <v>1925</v>
      </c>
      <c r="F120" s="20">
        <f t="shared" ref="F120:F123" si="35">$D$126*(C120/100)</f>
        <v>71.25</v>
      </c>
      <c r="G120" s="20"/>
      <c r="H120" s="20"/>
    </row>
    <row r="121" spans="1:12" x14ac:dyDescent="0.25">
      <c r="A121" s="59"/>
      <c r="B121" s="53"/>
      <c r="C121" s="15">
        <v>7.5</v>
      </c>
      <c r="D121" s="20">
        <f t="shared" si="33"/>
        <v>1757.5</v>
      </c>
      <c r="E121" s="20">
        <f t="shared" si="34"/>
        <v>1850</v>
      </c>
      <c r="F121" s="20">
        <f t="shared" si="35"/>
        <v>142.5</v>
      </c>
      <c r="G121" s="20"/>
      <c r="H121" s="20"/>
    </row>
    <row r="122" spans="1:12" x14ac:dyDescent="0.25">
      <c r="A122" s="59"/>
      <c r="B122" s="53"/>
      <c r="C122" s="15">
        <v>11.25</v>
      </c>
      <c r="D122" s="20">
        <f t="shared" si="33"/>
        <v>1686.25</v>
      </c>
      <c r="E122" s="20">
        <f t="shared" si="34"/>
        <v>1775</v>
      </c>
      <c r="F122" s="20">
        <f t="shared" si="35"/>
        <v>213.75</v>
      </c>
      <c r="G122" s="20"/>
      <c r="H122" s="20"/>
    </row>
    <row r="123" spans="1:12" x14ac:dyDescent="0.25">
      <c r="A123" s="59"/>
      <c r="B123" s="53"/>
      <c r="C123" s="15">
        <v>15</v>
      </c>
      <c r="D123" s="20">
        <f t="shared" si="33"/>
        <v>1615</v>
      </c>
      <c r="E123" s="20">
        <f t="shared" si="34"/>
        <v>1700</v>
      </c>
      <c r="F123" s="20">
        <f t="shared" si="35"/>
        <v>285</v>
      </c>
      <c r="G123" s="20"/>
      <c r="H123" s="20"/>
    </row>
    <row r="124" spans="1:12" x14ac:dyDescent="0.25">
      <c r="A124" s="59"/>
      <c r="B124" s="53"/>
    </row>
    <row r="125" spans="1:12" x14ac:dyDescent="0.25">
      <c r="A125" s="59"/>
      <c r="B125" s="53"/>
      <c r="C125" s="44" t="s">
        <v>35</v>
      </c>
      <c r="D125" s="45">
        <v>0.95</v>
      </c>
      <c r="E125" s="45"/>
      <c r="F125" s="45">
        <v>1.07</v>
      </c>
      <c r="G125" s="45"/>
      <c r="H125" s="16"/>
    </row>
    <row r="126" spans="1:12" x14ac:dyDescent="0.25">
      <c r="A126" s="59"/>
      <c r="B126" s="53"/>
      <c r="C126" s="16"/>
      <c r="D126" s="16">
        <f>C1*D125</f>
        <v>1900</v>
      </c>
      <c r="E126" s="16" t="s">
        <v>76</v>
      </c>
      <c r="F126" s="16"/>
      <c r="G126" s="16"/>
      <c r="H126" s="16"/>
    </row>
    <row r="127" spans="1:12" x14ac:dyDescent="0.25">
      <c r="J127" s="5" t="s">
        <v>99</v>
      </c>
      <c r="K127" s="5" t="s">
        <v>101</v>
      </c>
      <c r="L127" s="5" t="s">
        <v>100</v>
      </c>
    </row>
    <row r="128" spans="1:12" x14ac:dyDescent="0.25">
      <c r="A128" s="65" t="s">
        <v>102</v>
      </c>
      <c r="B128" s="54">
        <v>6</v>
      </c>
      <c r="C128" s="51">
        <f>(F128/(D128+F128))*100</f>
        <v>0.61202071454726159</v>
      </c>
      <c r="D128" s="41">
        <f>$D$125*E128</f>
        <v>1900</v>
      </c>
      <c r="E128" s="41">
        <v>2000</v>
      </c>
      <c r="F128" s="41">
        <v>11.7</v>
      </c>
      <c r="G128" s="74" t="s">
        <v>103</v>
      </c>
      <c r="L128" s="58">
        <v>20</v>
      </c>
    </row>
    <row r="129" spans="1:12" x14ac:dyDescent="0.25">
      <c r="A129" s="65"/>
      <c r="B129" s="54">
        <v>7</v>
      </c>
      <c r="C129" s="51">
        <f t="shared" ref="C129:C132" si="36">(F129/(D129+F129))*100</f>
        <v>4.9399620813145146</v>
      </c>
      <c r="D129" s="41">
        <f>$D$125*E129</f>
        <v>1805</v>
      </c>
      <c r="E129" s="41">
        <v>1900</v>
      </c>
      <c r="F129" s="41">
        <v>93.8</v>
      </c>
      <c r="G129" s="74" t="s">
        <v>103</v>
      </c>
      <c r="L129" s="58">
        <v>20</v>
      </c>
    </row>
    <row r="130" spans="1:12" x14ac:dyDescent="0.25">
      <c r="A130" s="65"/>
      <c r="B130" s="54">
        <v>8</v>
      </c>
      <c r="C130" s="51">
        <f t="shared" si="36"/>
        <v>8.0002152041749603</v>
      </c>
      <c r="D130" s="41">
        <f>$D$125*E130</f>
        <v>1710</v>
      </c>
      <c r="E130" s="41">
        <v>1800</v>
      </c>
      <c r="F130" s="41">
        <v>148.69999999999999</v>
      </c>
      <c r="G130" s="74" t="s">
        <v>103</v>
      </c>
      <c r="L130" s="58">
        <v>20</v>
      </c>
    </row>
    <row r="131" spans="1:12" x14ac:dyDescent="0.25">
      <c r="A131" s="65"/>
      <c r="B131" s="54">
        <v>9</v>
      </c>
      <c r="C131" s="51">
        <f t="shared" si="36"/>
        <v>11.43108717045631</v>
      </c>
      <c r="D131" s="41">
        <f>$D$125*E131</f>
        <v>1710</v>
      </c>
      <c r="E131" s="41">
        <v>1800</v>
      </c>
      <c r="F131" s="41">
        <v>220.7</v>
      </c>
      <c r="G131" s="74" t="s">
        <v>103</v>
      </c>
      <c r="L131" s="58">
        <v>20</v>
      </c>
    </row>
    <row r="132" spans="1:12" x14ac:dyDescent="0.25">
      <c r="A132" s="65"/>
      <c r="B132" s="54">
        <v>10</v>
      </c>
      <c r="C132" s="51">
        <f t="shared" si="36"/>
        <v>15.165204601565371</v>
      </c>
      <c r="D132" s="41">
        <f>$D$125*E132</f>
        <v>1615</v>
      </c>
      <c r="E132" s="41">
        <v>1700</v>
      </c>
      <c r="F132" s="41">
        <v>288.7</v>
      </c>
      <c r="G132" s="74" t="s">
        <v>103</v>
      </c>
      <c r="L132" s="58">
        <v>20</v>
      </c>
    </row>
  </sheetData>
  <mergeCells count="17">
    <mergeCell ref="A128:A132"/>
    <mergeCell ref="A24:A28"/>
    <mergeCell ref="A47:A51"/>
    <mergeCell ref="A70:A74"/>
    <mergeCell ref="A59:A67"/>
    <mergeCell ref="A82:A90"/>
    <mergeCell ref="A92:A100"/>
    <mergeCell ref="A105:A113"/>
    <mergeCell ref="A118:A126"/>
    <mergeCell ref="A76:A80"/>
    <mergeCell ref="A102:A103"/>
    <mergeCell ref="A115:A116"/>
    <mergeCell ref="A3:A11"/>
    <mergeCell ref="A13:A21"/>
    <mergeCell ref="A36:A44"/>
    <mergeCell ref="A30:A34"/>
    <mergeCell ref="A53:A5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rheology</vt:lpstr>
      <vt:lpstr>solventNpolymerData</vt:lpstr>
      <vt:lpstr>solutionPrepNCarac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KiraSensei 13</dc:creator>
  <cp:lastModifiedBy>KiraSensei 13</cp:lastModifiedBy>
  <cp:lastPrinted>2019-11-20T13:32:11Z</cp:lastPrinted>
  <dcterms:created xsi:type="dcterms:W3CDTF">2019-11-19T13:43:42Z</dcterms:created>
  <dcterms:modified xsi:type="dcterms:W3CDTF">2019-12-19T15:43:45Z</dcterms:modified>
</cp:coreProperties>
</file>