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60" yWindow="45" windowWidth="15150" windowHeight="7590" activeTab="2"/>
  </bookViews>
  <sheets>
    <sheet name="Mixing element Constants" sheetId="1" r:id="rId1"/>
    <sheet name="Data Input" sheetId="2" r:id="rId2"/>
    <sheet name="Instructions" sheetId="4" r:id="rId3"/>
  </sheets>
  <calcPr calcId="145621" concurrentCalc="0"/>
</workbook>
</file>

<file path=xl/calcChain.xml><?xml version="1.0" encoding="utf-8"?>
<calcChain xmlns="http://schemas.openxmlformats.org/spreadsheetml/2006/main">
  <c r="C8" i="1" l="1"/>
  <c r="I6" i="2"/>
  <c r="B9" i="1"/>
  <c r="C9" i="1"/>
  <c r="E9" i="1"/>
  <c r="I7" i="2"/>
  <c r="B10" i="1"/>
  <c r="C10" i="1"/>
  <c r="E10" i="1"/>
  <c r="I8" i="2"/>
  <c r="B11" i="1"/>
  <c r="C11" i="1"/>
  <c r="E11" i="1"/>
  <c r="I9" i="2"/>
  <c r="B12" i="1"/>
  <c r="C12" i="1"/>
  <c r="E12" i="1"/>
  <c r="I10" i="2"/>
  <c r="B13" i="1"/>
  <c r="C13" i="1"/>
  <c r="E13" i="1"/>
  <c r="I11" i="2"/>
  <c r="B14" i="1"/>
  <c r="C14" i="1"/>
  <c r="E14" i="1"/>
  <c r="I12" i="2"/>
  <c r="B15" i="1"/>
  <c r="C15" i="1"/>
  <c r="E15" i="1"/>
  <c r="I13" i="2"/>
  <c r="B16" i="1"/>
  <c r="C16" i="1"/>
  <c r="E16" i="1"/>
  <c r="I14" i="2"/>
  <c r="B17" i="1"/>
  <c r="C17" i="1"/>
  <c r="E17" i="1"/>
  <c r="I15" i="2"/>
  <c r="B18" i="1"/>
  <c r="C18" i="1"/>
  <c r="E18" i="1"/>
  <c r="I16" i="2"/>
  <c r="B19" i="1"/>
  <c r="C19" i="1"/>
  <c r="E19" i="1"/>
  <c r="I17" i="2"/>
  <c r="B20" i="1"/>
  <c r="C20" i="1"/>
  <c r="E20" i="1"/>
  <c r="I18" i="2"/>
  <c r="B21" i="1"/>
  <c r="C21" i="1"/>
  <c r="E21" i="1"/>
  <c r="I19" i="2"/>
  <c r="B22" i="1"/>
  <c r="C22" i="1"/>
  <c r="E22" i="1"/>
  <c r="I20" i="2"/>
  <c r="B23" i="1"/>
  <c r="C23" i="1"/>
  <c r="E23" i="1"/>
  <c r="E26" i="1"/>
  <c r="E29" i="1"/>
  <c r="J8" i="1"/>
  <c r="N8" i="1"/>
  <c r="J9" i="1"/>
  <c r="N9" i="1"/>
  <c r="J10" i="1"/>
  <c r="N10" i="1"/>
  <c r="J11" i="1"/>
  <c r="N11" i="1"/>
  <c r="J12" i="1"/>
  <c r="N12" i="1"/>
  <c r="J13" i="1"/>
  <c r="N13" i="1"/>
  <c r="J14" i="1"/>
  <c r="N14" i="1"/>
  <c r="J15" i="1"/>
  <c r="N15" i="1"/>
  <c r="J16" i="1"/>
  <c r="N16" i="1"/>
  <c r="J17" i="1"/>
  <c r="N17" i="1"/>
  <c r="J18" i="1"/>
  <c r="N18" i="1"/>
  <c r="J19" i="1"/>
  <c r="N19" i="1"/>
  <c r="J20" i="1"/>
  <c r="N20" i="1"/>
  <c r="J21" i="1"/>
  <c r="N21" i="1"/>
  <c r="J22" i="1"/>
  <c r="N22" i="1"/>
  <c r="J23" i="1"/>
  <c r="N23" i="1"/>
  <c r="M27" i="1"/>
  <c r="L20" i="2"/>
  <c r="L19" i="2"/>
  <c r="L18" i="2"/>
  <c r="L17" i="2"/>
  <c r="L16" i="2"/>
  <c r="L15" i="2"/>
  <c r="L14" i="2"/>
  <c r="L13" i="2"/>
  <c r="L12" i="2"/>
  <c r="L11" i="2"/>
  <c r="L10" i="2"/>
  <c r="L9" i="2"/>
  <c r="L8" i="2"/>
  <c r="L7" i="2"/>
  <c r="L6" i="2"/>
  <c r="L5" i="2"/>
  <c r="H20" i="2"/>
  <c r="H19" i="2"/>
  <c r="H18" i="2"/>
  <c r="H17" i="2"/>
  <c r="H16" i="2"/>
  <c r="H15" i="2"/>
  <c r="H14" i="2"/>
  <c r="H13" i="2"/>
  <c r="H12" i="2"/>
  <c r="H11" i="2"/>
  <c r="H10" i="2"/>
  <c r="H9" i="2"/>
  <c r="H8" i="2"/>
  <c r="H7" i="2"/>
  <c r="H6" i="2"/>
  <c r="H5" i="2"/>
  <c r="C30" i="2"/>
  <c r="C29" i="2"/>
  <c r="I5" i="2"/>
  <c r="M5" i="2"/>
  <c r="M9" i="2"/>
  <c r="M17" i="2"/>
  <c r="M10" i="2"/>
  <c r="M7" i="2"/>
  <c r="M15" i="2"/>
  <c r="M20" i="2"/>
  <c r="M12" i="2"/>
  <c r="M18" i="2"/>
  <c r="M19" i="2"/>
  <c r="M6" i="2"/>
  <c r="B8" i="1"/>
  <c r="M8" i="2"/>
  <c r="M11" i="2"/>
  <c r="M14" i="2"/>
  <c r="M16" i="2"/>
  <c r="M13" i="2"/>
  <c r="F14" i="1"/>
  <c r="F22" i="1"/>
  <c r="F17" i="1"/>
  <c r="F21" i="1"/>
  <c r="F13" i="1"/>
  <c r="F11" i="1"/>
  <c r="F16" i="1"/>
  <c r="F23" i="1"/>
  <c r="F20" i="1"/>
  <c r="E8" i="1"/>
  <c r="F8" i="1"/>
  <c r="F19" i="1"/>
  <c r="F12" i="1"/>
  <c r="F10" i="1"/>
  <c r="F18" i="1"/>
  <c r="F15" i="1"/>
  <c r="F9" i="1"/>
  <c r="E30" i="1"/>
  <c r="I8" i="1"/>
  <c r="M8" i="1"/>
  <c r="I9" i="1"/>
  <c r="M9" i="1"/>
  <c r="I11" i="1"/>
  <c r="M11" i="1"/>
  <c r="I20" i="1"/>
  <c r="M20" i="1"/>
  <c r="I18" i="1"/>
  <c r="M18" i="1"/>
  <c r="I21" i="1"/>
  <c r="M21" i="1"/>
  <c r="I15" i="1"/>
  <c r="M15" i="1"/>
  <c r="I16" i="1"/>
  <c r="M16" i="1"/>
  <c r="I12" i="1"/>
  <c r="M12" i="1"/>
  <c r="I17" i="1"/>
  <c r="M17" i="1"/>
  <c r="I19" i="1"/>
  <c r="M19" i="1"/>
  <c r="I22" i="1"/>
  <c r="M22" i="1"/>
  <c r="I10" i="1"/>
  <c r="M10" i="1"/>
  <c r="I13" i="1"/>
  <c r="M13" i="1"/>
  <c r="I23" i="1"/>
  <c r="M23" i="1"/>
  <c r="I14" i="1"/>
  <c r="M14" i="1"/>
  <c r="N26" i="1"/>
  <c r="K14" i="1"/>
  <c r="K19" i="1"/>
  <c r="K17" i="1"/>
  <c r="K22" i="1"/>
  <c r="K21" i="1"/>
  <c r="K12" i="1"/>
  <c r="K16" i="1"/>
  <c r="K20" i="1"/>
  <c r="K23" i="1"/>
  <c r="K18" i="1"/>
  <c r="K9" i="1"/>
  <c r="K15" i="1"/>
  <c r="M26" i="1"/>
  <c r="K11" i="1"/>
  <c r="K13" i="1"/>
  <c r="K10" i="1"/>
  <c r="K8" i="1"/>
  <c r="N27" i="1"/>
  <c r="N28" i="1"/>
  <c r="M28" i="1"/>
</calcChain>
</file>

<file path=xl/sharedStrings.xml><?xml version="1.0" encoding="utf-8"?>
<sst xmlns="http://schemas.openxmlformats.org/spreadsheetml/2006/main" count="71" uniqueCount="63">
  <si>
    <t>N</t>
  </si>
  <si>
    <t xml:space="preserve">time </t>
  </si>
  <si>
    <t>eta</t>
  </si>
  <si>
    <t>rate</t>
  </si>
  <si>
    <t>stress</t>
  </si>
  <si>
    <t>[Pa]</t>
  </si>
  <si>
    <t>torque</t>
  </si>
  <si>
    <t>[1/s]</t>
  </si>
  <si>
    <t>[Pas]</t>
  </si>
  <si>
    <t>[s]</t>
  </si>
  <si>
    <t>Standard Couette</t>
  </si>
  <si>
    <t>time</t>
  </si>
  <si>
    <t>[rad/s]</t>
  </si>
  <si>
    <t>Note:</t>
  </si>
  <si>
    <t>Gc=</t>
  </si>
  <si>
    <t>for SI</t>
  </si>
  <si>
    <t>(in mm)</t>
  </si>
  <si>
    <t>L=</t>
  </si>
  <si>
    <t>Kg=</t>
  </si>
  <si>
    <t>Kt=</t>
  </si>
  <si>
    <t>[mNm]</t>
  </si>
  <si>
    <t>[rps]</t>
  </si>
  <si>
    <t>N [rps]</t>
  </si>
  <si>
    <t>Rb=</t>
  </si>
  <si>
    <t>Rc=</t>
  </si>
  <si>
    <t>Ri [m]</t>
  </si>
  <si>
    <t>Ri/Re</t>
  </si>
  <si>
    <t>[Nm]</t>
  </si>
  <si>
    <t xml:space="preserve"> T[Nm]</t>
  </si>
  <si>
    <t>Virtual "inner radius"</t>
  </si>
  <si>
    <t>[mm]</t>
  </si>
  <si>
    <t>r*=</t>
  </si>
  <si>
    <t>r=</t>
  </si>
  <si>
    <t>rate[1/s]</t>
  </si>
  <si>
    <t>stress[Pa]</t>
  </si>
  <si>
    <t>(Ri+Re)/2=</t>
  </si>
  <si>
    <t>EtaCalc[Pas]</t>
  </si>
  <si>
    <t>Helical Ribbon</t>
  </si>
  <si>
    <t>Kg[1/rad]</t>
  </si>
  <si>
    <t>Kt[Pa/Nm]</t>
  </si>
  <si>
    <t>Length bob</t>
  </si>
  <si>
    <t>radius bob</t>
  </si>
  <si>
    <t>radius cup</t>
  </si>
  <si>
    <t xml:space="preserve">torque </t>
  </si>
  <si>
    <t xml:space="preserve">rotation speed </t>
  </si>
  <si>
    <t>2. Tests are run at the same rotation speed</t>
  </si>
  <si>
    <t>Instructions for calibration of a mixer element</t>
  </si>
  <si>
    <t>Record time, viscosity, rate, stress, torque, velocity</t>
  </si>
  <si>
    <t>Note: Divide column E/Kt and colum D/Kg to obtain torque and velocity if not copied from rheometer</t>
  </si>
  <si>
    <t>Ω</t>
  </si>
  <si>
    <t>Mixing Element</t>
  </si>
  <si>
    <t>1. Height of Couette and mixing element is the same</t>
  </si>
  <si>
    <t xml:space="preserve">3. Copy the columns for time, viscosity, rate, stress, torque, velocity from (1.) and the columns for time and torque from (2.) into the worksheet 'Data Input' of the  Excel spreadsheet </t>
  </si>
  <si>
    <t>1. Determine the viscosity of a Newtonian fluid at constant temperature using a standard bob of the same height as the mixing element in the reactor cup over a given velocity range</t>
  </si>
  <si>
    <t>2. Measure the torque of the same Newtonian fluid at constant temperature using the mixing element of the same height as the standard bob in the same reactor cup over the same velocity range</t>
  </si>
  <si>
    <t>Calculation of the stress and strain constants for a generic mixing element</t>
  </si>
  <si>
    <t>4. The values for the strain and stress constants for the mixing element are shown in the highlighted area of the sheet 'Mixing element Constants'</t>
  </si>
  <si>
    <r>
      <t>Kg=2/(1-(Rb/Rc)</t>
    </r>
    <r>
      <rPr>
        <vertAlign val="superscript"/>
        <sz val="10"/>
        <color theme="0"/>
        <rFont val="Arial"/>
        <family val="2"/>
      </rPr>
      <t>2</t>
    </r>
    <r>
      <rPr>
        <sz val="10"/>
        <color theme="0"/>
        <rFont val="Arial"/>
        <family val="2"/>
      </rPr>
      <t>)</t>
    </r>
  </si>
  <si>
    <r>
      <t>Kt=1000Gc/2</t>
    </r>
    <r>
      <rPr>
        <sz val="10"/>
        <color theme="0"/>
        <rFont val="Symbol"/>
        <family val="1"/>
        <charset val="2"/>
      </rPr>
      <t>p</t>
    </r>
    <r>
      <rPr>
        <sz val="10"/>
        <color theme="0"/>
        <rFont val="Arial"/>
        <family val="2"/>
      </rPr>
      <t>L(Rb)</t>
    </r>
    <r>
      <rPr>
        <vertAlign val="superscript"/>
        <sz val="10"/>
        <color theme="0"/>
        <rFont val="Arial"/>
        <family val="2"/>
      </rPr>
      <t>2</t>
    </r>
  </si>
  <si>
    <r>
      <t>Average K</t>
    </r>
    <r>
      <rPr>
        <b/>
        <vertAlign val="subscript"/>
        <sz val="11"/>
        <color rgb="FF3F3F3F"/>
        <rFont val="Calibri"/>
        <family val="2"/>
      </rPr>
      <t>σ</t>
    </r>
    <r>
      <rPr>
        <b/>
        <sz val="11"/>
        <color rgb="FF3F3F3F"/>
        <rFont val="Calibri"/>
        <family val="2"/>
        <scheme val="minor"/>
      </rPr>
      <t xml:space="preserve"> [Pa/gcm]</t>
    </r>
  </si>
  <si>
    <r>
      <t>Average K</t>
    </r>
    <r>
      <rPr>
        <b/>
        <vertAlign val="subscript"/>
        <sz val="11"/>
        <color rgb="FF3F3F3F"/>
        <rFont val="Calibri"/>
        <family val="2"/>
      </rPr>
      <t>σ</t>
    </r>
    <r>
      <rPr>
        <b/>
        <sz val="11"/>
        <color rgb="FF3F3F3F"/>
        <rFont val="Calibri"/>
        <family val="2"/>
        <scheme val="minor"/>
      </rPr>
      <t xml:space="preserve"> [Pa/Nm]</t>
    </r>
  </si>
  <si>
    <r>
      <t>Average K</t>
    </r>
    <r>
      <rPr>
        <b/>
        <vertAlign val="subscript"/>
        <sz val="11"/>
        <color rgb="FF3F3F3F"/>
        <rFont val="Calibri"/>
        <family val="2"/>
      </rPr>
      <t>γ</t>
    </r>
    <r>
      <rPr>
        <b/>
        <sz val="11"/>
        <color rgb="FF3F3F3F"/>
        <rFont val="Calibri"/>
        <family val="2"/>
        <scheme val="minor"/>
      </rPr>
      <t xml:space="preserve"> [1/rad]</t>
    </r>
  </si>
  <si>
    <t xml:space="preserve">Record time , torque   Note: the velocity range has to be the same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</si>
</sst>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000E+00"/>
    <numFmt numFmtId="166" formatCode="0.0000"/>
  </numFmts>
  <fonts count="15" x14ac:knownFonts="1">
    <font>
      <sz val="10"/>
      <name val="Arial"/>
    </font>
    <font>
      <sz val="11"/>
      <color theme="1"/>
      <name val="Calibri"/>
      <family val="2"/>
      <scheme val="minor"/>
    </font>
    <font>
      <sz val="8"/>
      <name val="Arial"/>
      <family val="2"/>
    </font>
    <font>
      <vertAlign val="superscript"/>
      <sz val="10"/>
      <name val="Arial"/>
      <family val="2"/>
    </font>
    <font>
      <sz val="11"/>
      <color rgb="FF3F3F76"/>
      <name val="Calibri"/>
      <family val="2"/>
      <scheme val="minor"/>
    </font>
    <font>
      <sz val="11"/>
      <color theme="0"/>
      <name val="Calibri"/>
      <family val="2"/>
      <scheme val="minor"/>
    </font>
    <font>
      <b/>
      <sz val="18"/>
      <color theme="3"/>
      <name val="Cambria"/>
      <family val="2"/>
      <scheme val="major"/>
    </font>
    <font>
      <b/>
      <sz val="15"/>
      <color theme="3"/>
      <name val="Calibri"/>
      <family val="2"/>
      <scheme val="minor"/>
    </font>
    <font>
      <b/>
      <sz val="11"/>
      <color rgb="FF3F3F3F"/>
      <name val="Calibri"/>
      <family val="2"/>
      <scheme val="minor"/>
    </font>
    <font>
      <sz val="10"/>
      <name val="Arial"/>
      <family val="2"/>
    </font>
    <font>
      <sz val="11"/>
      <color rgb="FF3F3F76"/>
      <name val="Calibri"/>
      <family val="2"/>
    </font>
    <font>
      <sz val="10"/>
      <color theme="0"/>
      <name val="Arial"/>
      <family val="2"/>
    </font>
    <font>
      <vertAlign val="superscript"/>
      <sz val="10"/>
      <color theme="0"/>
      <name val="Arial"/>
      <family val="2"/>
    </font>
    <font>
      <sz val="10"/>
      <color theme="0"/>
      <name val="Symbol"/>
      <family val="1"/>
      <charset val="2"/>
    </font>
    <font>
      <b/>
      <vertAlign val="subscript"/>
      <sz val="11"/>
      <color rgb="FF3F3F3F"/>
      <name val="Calibri"/>
      <family val="2"/>
    </font>
  </fonts>
  <fills count="10">
    <fill>
      <patternFill patternType="none"/>
    </fill>
    <fill>
      <patternFill patternType="gray125"/>
    </fill>
    <fill>
      <patternFill patternType="solid">
        <fgColor rgb="FFFFCC99"/>
      </patternFill>
    </fill>
    <fill>
      <patternFill patternType="solid">
        <fgColor theme="5"/>
      </patternFill>
    </fill>
    <fill>
      <patternFill patternType="solid">
        <fgColor rgb="FFF2F2F2"/>
      </patternFill>
    </fill>
    <fill>
      <patternFill patternType="solid">
        <fgColor theme="4" tint="0.79998168889431442"/>
        <bgColor indexed="65"/>
      </patternFill>
    </fill>
    <fill>
      <patternFill patternType="solid">
        <fgColor theme="6" tint="0.79998168889431442"/>
        <bgColor indexed="65"/>
      </patternFill>
    </fill>
    <fill>
      <patternFill patternType="solid">
        <fgColor theme="0"/>
        <bgColor indexed="64"/>
      </patternFill>
    </fill>
    <fill>
      <patternFill patternType="solid">
        <fgColor theme="6" tint="0.79998168889431442"/>
        <bgColor indexed="64"/>
      </patternFill>
    </fill>
    <fill>
      <patternFill patternType="solid">
        <fgColor theme="2" tint="-9.9978637043366805E-2"/>
        <bgColor indexed="64"/>
      </patternFill>
    </fill>
  </fills>
  <borders count="8">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8">
    <xf numFmtId="0" fontId="0" fillId="0" borderId="0"/>
    <xf numFmtId="0" fontId="5" fillId="3" borderId="0" applyNumberFormat="0" applyBorder="0" applyAlignment="0" applyProtection="0"/>
    <xf numFmtId="0" fontId="4" fillId="2" borderId="1" applyNumberFormat="0" applyAlignment="0" applyProtection="0"/>
    <xf numFmtId="0" fontId="6" fillId="0" borderId="0" applyNumberFormat="0" applyFill="0" applyBorder="0" applyAlignment="0" applyProtection="0"/>
    <xf numFmtId="0" fontId="7" fillId="0" borderId="2" applyNumberFormat="0" applyFill="0" applyAlignment="0" applyProtection="0"/>
    <xf numFmtId="0" fontId="8" fillId="4" borderId="3" applyNumberFormat="0" applyAlignment="0" applyProtection="0"/>
    <xf numFmtId="0" fontId="1" fillId="5" borderId="0" applyNumberFormat="0" applyBorder="0" applyAlignment="0" applyProtection="0"/>
    <xf numFmtId="0" fontId="1" fillId="6" borderId="0" applyNumberFormat="0" applyBorder="0" applyAlignment="0" applyProtection="0"/>
  </cellStyleXfs>
  <cellXfs count="43">
    <xf numFmtId="0" fontId="0" fillId="0" borderId="0" xfId="0"/>
    <xf numFmtId="0" fontId="0" fillId="0" borderId="0" xfId="0" applyProtection="1">
      <protection locked="0"/>
    </xf>
    <xf numFmtId="0" fontId="4" fillId="2" borderId="1" xfId="2" applyProtection="1">
      <protection locked="0"/>
    </xf>
    <xf numFmtId="0" fontId="3" fillId="0" borderId="0" xfId="0" applyFont="1" applyProtection="1">
      <protection locked="0"/>
    </xf>
    <xf numFmtId="0" fontId="0" fillId="0" borderId="0" xfId="0" applyProtection="1"/>
    <xf numFmtId="11" fontId="0" fillId="0" borderId="0" xfId="0" applyNumberFormat="1" applyProtection="1"/>
    <xf numFmtId="0" fontId="5" fillId="3" borderId="0" xfId="1" applyProtection="1">
      <protection locked="0"/>
    </xf>
    <xf numFmtId="0" fontId="5" fillId="7" borderId="0" xfId="1" applyFill="1" applyProtection="1">
      <protection locked="0"/>
    </xf>
    <xf numFmtId="0" fontId="5" fillId="3" borderId="0" xfId="1" applyProtection="1"/>
    <xf numFmtId="0" fontId="4" fillId="2" borderId="1" xfId="2" applyProtection="1"/>
    <xf numFmtId="0" fontId="1" fillId="6" borderId="0" xfId="7"/>
    <xf numFmtId="11" fontId="1" fillId="6" borderId="0" xfId="7" applyNumberFormat="1"/>
    <xf numFmtId="2" fontId="1" fillId="6" borderId="0" xfId="7" applyNumberFormat="1"/>
    <xf numFmtId="0" fontId="1" fillId="6" borderId="0" xfId="7" quotePrefix="1"/>
    <xf numFmtId="11" fontId="1" fillId="6" borderId="4" xfId="7" applyNumberFormat="1" applyBorder="1"/>
    <xf numFmtId="0" fontId="1" fillId="6" borderId="4" xfId="7" applyBorder="1"/>
    <xf numFmtId="2" fontId="1" fillId="6" borderId="4" xfId="7" applyNumberFormat="1" applyBorder="1"/>
    <xf numFmtId="164" fontId="1" fillId="6" borderId="4" xfId="7" applyNumberFormat="1" applyBorder="1"/>
    <xf numFmtId="11" fontId="1" fillId="6" borderId="6" xfId="7" applyNumberFormat="1" applyBorder="1"/>
    <xf numFmtId="0" fontId="1" fillId="6" borderId="6" xfId="7" applyBorder="1"/>
    <xf numFmtId="2" fontId="1" fillId="6" borderId="6" xfId="7" applyNumberFormat="1" applyBorder="1"/>
    <xf numFmtId="164" fontId="1" fillId="6" borderId="6" xfId="7" applyNumberFormat="1" applyBorder="1"/>
    <xf numFmtId="0" fontId="1" fillId="6" borderId="5" xfId="7" applyBorder="1"/>
    <xf numFmtId="0" fontId="1" fillId="6" borderId="0" xfId="7" applyAlignment="1">
      <alignment wrapText="1"/>
    </xf>
    <xf numFmtId="0" fontId="1" fillId="5" borderId="3" xfId="6" applyBorder="1"/>
    <xf numFmtId="11" fontId="1" fillId="5" borderId="3" xfId="6" applyNumberFormat="1" applyBorder="1"/>
    <xf numFmtId="0" fontId="6" fillId="6" borderId="0" xfId="3" applyFill="1"/>
    <xf numFmtId="0" fontId="9" fillId="0" borderId="0" xfId="0" applyFont="1" applyProtection="1"/>
    <xf numFmtId="0" fontId="9" fillId="0" borderId="0" xfId="0" applyFont="1" applyProtection="1">
      <protection locked="0"/>
    </xf>
    <xf numFmtId="0" fontId="9" fillId="0" borderId="0" xfId="0" applyFont="1"/>
    <xf numFmtId="0" fontId="7" fillId="0" borderId="2" xfId="4"/>
    <xf numFmtId="0" fontId="10" fillId="2" borderId="1" xfId="2" applyFont="1" applyProtection="1"/>
    <xf numFmtId="0" fontId="0" fillId="0" borderId="0" xfId="0" applyProtection="1">
      <protection hidden="1"/>
    </xf>
    <xf numFmtId="0" fontId="0" fillId="0" borderId="0" xfId="0" applyProtection="1">
      <protection locked="0" hidden="1"/>
    </xf>
    <xf numFmtId="0" fontId="11" fillId="0" borderId="0" xfId="0" applyFont="1" applyProtection="1">
      <protection hidden="1"/>
    </xf>
    <xf numFmtId="0" fontId="11" fillId="0" borderId="0" xfId="0" quotePrefix="1" applyFont="1" applyProtection="1">
      <protection hidden="1"/>
    </xf>
    <xf numFmtId="0" fontId="5" fillId="7" borderId="7" xfId="2" applyFont="1" applyFill="1" applyBorder="1" applyProtection="1">
      <protection hidden="1"/>
    </xf>
    <xf numFmtId="0" fontId="0" fillId="8" borderId="0" xfId="0" applyFill="1"/>
    <xf numFmtId="0" fontId="8" fillId="9" borderId="3" xfId="5" applyFill="1"/>
    <xf numFmtId="166" fontId="8" fillId="9" borderId="3" xfId="5" applyNumberFormat="1" applyFill="1"/>
    <xf numFmtId="165" fontId="8" fillId="9" borderId="3" xfId="5" applyNumberFormat="1" applyFill="1"/>
    <xf numFmtId="0" fontId="0" fillId="0" borderId="0" xfId="0" applyAlignment="1" applyProtection="1">
      <alignment wrapText="1"/>
      <protection locked="0"/>
    </xf>
    <xf numFmtId="0" fontId="1" fillId="6" borderId="0" xfId="7" applyAlignment="1">
      <alignment horizontal="center"/>
    </xf>
  </cellXfs>
  <cellStyles count="8">
    <cellStyle name="20% - Accent1" xfId="6" builtinId="30"/>
    <cellStyle name="20% - Accent3" xfId="7" builtinId="38"/>
    <cellStyle name="Accent2" xfId="1" builtinId="33"/>
    <cellStyle name="Heading 1" xfId="4" builtinId="16"/>
    <cellStyle name="Input" xfId="2" builtinId="20"/>
    <cellStyle name="Normal" xfId="0" builtinId="0"/>
    <cellStyle name="Output" xfId="5" builtinId="21"/>
    <cellStyle name="Title" xfId="3" builtinId="1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workbookViewId="0">
      <selection activeCell="C28" sqref="C28"/>
    </sheetView>
  </sheetViews>
  <sheetFormatPr defaultRowHeight="12.75" x14ac:dyDescent="0.2"/>
  <cols>
    <col min="5" max="5" width="9.28515625" bestFit="1" customWidth="1"/>
    <col min="9" max="9" width="9.5703125" bestFit="1" customWidth="1"/>
    <col min="10" max="10" width="12.28515625" bestFit="1" customWidth="1"/>
    <col min="13" max="13" width="10.85546875" customWidth="1"/>
    <col min="14" max="14" width="10.5703125" bestFit="1" customWidth="1"/>
    <col min="15" max="15" width="12" bestFit="1" customWidth="1"/>
  </cols>
  <sheetData>
    <row r="1" spans="1:15" ht="15" x14ac:dyDescent="0.25">
      <c r="A1" s="10"/>
      <c r="B1" s="10"/>
      <c r="C1" s="10"/>
      <c r="D1" s="10"/>
      <c r="E1" s="10"/>
      <c r="F1" s="10"/>
      <c r="G1" s="10"/>
      <c r="H1" s="10"/>
      <c r="I1" s="10"/>
      <c r="J1" s="10"/>
      <c r="K1" s="10"/>
      <c r="L1" s="10"/>
      <c r="M1" s="10"/>
      <c r="N1" s="10"/>
      <c r="O1" s="10"/>
    </row>
    <row r="2" spans="1:15" ht="15" x14ac:dyDescent="0.25">
      <c r="A2" s="10"/>
      <c r="B2" s="10"/>
      <c r="C2" s="10"/>
      <c r="D2" s="10"/>
      <c r="E2" s="10"/>
      <c r="F2" s="10"/>
      <c r="G2" s="10"/>
      <c r="H2" s="10"/>
      <c r="I2" s="10"/>
      <c r="J2" s="10"/>
      <c r="K2" s="10"/>
      <c r="L2" s="10"/>
      <c r="M2" s="10"/>
      <c r="N2" s="10"/>
      <c r="O2" s="10"/>
    </row>
    <row r="3" spans="1:15" ht="22.5" x14ac:dyDescent="0.3">
      <c r="A3" s="10"/>
      <c r="B3" s="10"/>
      <c r="C3" s="26" t="s">
        <v>55</v>
      </c>
      <c r="D3" s="10"/>
      <c r="E3" s="10"/>
      <c r="F3" s="10"/>
      <c r="G3" s="10"/>
      <c r="H3" s="10"/>
      <c r="I3" s="10"/>
      <c r="J3" s="10"/>
      <c r="K3" s="10"/>
      <c r="L3" s="10"/>
      <c r="M3" s="10"/>
      <c r="N3" s="10"/>
      <c r="O3" s="10"/>
    </row>
    <row r="4" spans="1:15" ht="15" x14ac:dyDescent="0.25">
      <c r="A4" s="10"/>
      <c r="B4" s="10"/>
      <c r="C4" s="10"/>
      <c r="D4" s="10"/>
      <c r="E4" s="10"/>
      <c r="F4" s="10"/>
      <c r="G4" s="10"/>
      <c r="H4" s="10"/>
      <c r="I4" s="10"/>
      <c r="J4" s="10"/>
      <c r="K4" s="10"/>
      <c r="L4" s="10"/>
      <c r="M4" s="10"/>
      <c r="N4" s="10"/>
      <c r="O4" s="10"/>
    </row>
    <row r="5" spans="1:15" ht="15" x14ac:dyDescent="0.25">
      <c r="A5" s="10"/>
      <c r="B5" s="10"/>
      <c r="C5" s="10"/>
      <c r="D5" s="10"/>
      <c r="E5" s="10"/>
      <c r="F5" s="10"/>
      <c r="G5" s="10"/>
      <c r="H5" s="10"/>
      <c r="I5" s="10"/>
      <c r="J5" s="10"/>
      <c r="K5" s="10"/>
      <c r="L5" s="10"/>
      <c r="M5" s="10"/>
      <c r="N5" s="10"/>
      <c r="O5" s="10"/>
    </row>
    <row r="6" spans="1:15" ht="30" x14ac:dyDescent="0.25">
      <c r="A6" s="10"/>
      <c r="B6" s="23" t="s">
        <v>44</v>
      </c>
      <c r="C6" s="23" t="s">
        <v>43</v>
      </c>
      <c r="D6" s="10"/>
      <c r="E6" s="10"/>
      <c r="F6" s="10"/>
      <c r="G6" s="10"/>
      <c r="H6" s="10"/>
      <c r="I6" s="42" t="s">
        <v>37</v>
      </c>
      <c r="J6" s="42"/>
      <c r="K6" s="42"/>
      <c r="L6" s="10"/>
      <c r="M6" s="10"/>
      <c r="N6" s="10"/>
      <c r="O6" s="10"/>
    </row>
    <row r="7" spans="1:15" ht="15.75" thickBot="1" x14ac:dyDescent="0.3">
      <c r="A7" s="10"/>
      <c r="B7" s="22" t="s">
        <v>22</v>
      </c>
      <c r="C7" s="22" t="s">
        <v>28</v>
      </c>
      <c r="D7" s="22"/>
      <c r="E7" s="22" t="s">
        <v>25</v>
      </c>
      <c r="F7" s="22" t="s">
        <v>26</v>
      </c>
      <c r="G7" s="22"/>
      <c r="H7" s="22"/>
      <c r="I7" s="22" t="s">
        <v>33</v>
      </c>
      <c r="J7" s="22" t="s">
        <v>34</v>
      </c>
      <c r="K7" s="22" t="s">
        <v>36</v>
      </c>
      <c r="L7" s="22"/>
      <c r="M7" s="22" t="s">
        <v>38</v>
      </c>
      <c r="N7" s="22" t="s">
        <v>39</v>
      </c>
      <c r="O7" s="10"/>
    </row>
    <row r="8" spans="1:15" ht="15" x14ac:dyDescent="0.25">
      <c r="A8" s="10"/>
      <c r="B8" s="18">
        <f>'Data Input'!I5</f>
        <v>0.19388535031847134</v>
      </c>
      <c r="C8" s="18">
        <f>'Data Input'!K5</f>
        <v>7.5358000000000006E-5</v>
      </c>
      <c r="D8" s="19"/>
      <c r="E8" s="18">
        <f>('Data Input'!$J$30*0.001)/(1+(8*(3.14^2)*B8*'Data Input'!C5*'Data Input'!$J$28*0.001/(C8))*('Data Input'!$J$30*0.001)^2)^0.5</f>
        <v>5.0376370933235609E-3</v>
      </c>
      <c r="F8" s="20">
        <f>E8/('Data Input'!$J$30*0.001)</f>
        <v>0.1852753620199912</v>
      </c>
      <c r="G8" s="18"/>
      <c r="H8" s="19"/>
      <c r="I8" s="21">
        <f>4*3.14*B8*(('Data Input'!$J$30/$E$29)^2)/((('Data Input'!$J$30/(E8*1000))^2)-1)</f>
        <v>1.0333937855499189</v>
      </c>
      <c r="J8" s="19">
        <f>C8/(6.28*'Data Input'!$J$28*0.001*($E$29*0.001)^2)</f>
        <v>6.2304138045833044</v>
      </c>
      <c r="K8" s="19">
        <f>J8/I8</f>
        <v>6.0290799999999996</v>
      </c>
      <c r="L8" s="19"/>
      <c r="M8" s="20">
        <f>I8/(B8*6.28)</f>
        <v>0.84871368721248264</v>
      </c>
      <c r="N8" s="18">
        <f>J8/C8</f>
        <v>82677.536619646271</v>
      </c>
      <c r="O8" s="11"/>
    </row>
    <row r="9" spans="1:15" ht="15" x14ac:dyDescent="0.25">
      <c r="A9" s="10"/>
      <c r="B9" s="14">
        <f>'Data Input'!I6</f>
        <v>0.15519968152866243</v>
      </c>
      <c r="C9" s="14">
        <f>'Data Input'!K6</f>
        <v>6.1349899999999993E-5</v>
      </c>
      <c r="D9" s="15"/>
      <c r="E9" s="14">
        <f>('Data Input'!$J$30*0.001)/(1+(8*(3.14^2)*B9*'Data Input'!C6*'Data Input'!$J$28*0.001/(C9))*('Data Input'!$J$30*0.001)^2)^0.5</f>
        <v>5.0840530864854341E-3</v>
      </c>
      <c r="F9" s="16">
        <f>E9/('Data Input'!$J$30*0.001)</f>
        <v>0.18698245996636387</v>
      </c>
      <c r="G9" s="15"/>
      <c r="H9" s="15"/>
      <c r="I9" s="17">
        <f>4*3.14*B9*(('Data Input'!$J$30/$E$29)^2)/((('Data Input'!$J$30/(E9*1000))^2)-1)</f>
        <v>0.84307063578805885</v>
      </c>
      <c r="J9" s="15">
        <f>C9/(6.28*'Data Input'!$J$28*0.001*($E$29*0.001)^2)</f>
        <v>5.0722586038616368</v>
      </c>
      <c r="K9" s="15">
        <f t="shared" ref="K9:K23" si="0">J9/I9</f>
        <v>6.0164100000000023</v>
      </c>
      <c r="L9" s="15"/>
      <c r="M9" s="16">
        <f t="shared" ref="M9:M23" si="1">I9/(B9*6.28)</f>
        <v>0.8649947938325383</v>
      </c>
      <c r="N9" s="14">
        <f t="shared" ref="N9:N23" si="2">J9/C9</f>
        <v>82677.536619646286</v>
      </c>
      <c r="O9" s="10"/>
    </row>
    <row r="10" spans="1:15" ht="15" x14ac:dyDescent="0.25">
      <c r="A10" s="10"/>
      <c r="B10" s="14">
        <f>'Data Input'!I7</f>
        <v>0.12496910828025477</v>
      </c>
      <c r="C10" s="14">
        <f>'Data Input'!K7</f>
        <v>4.8718099999999997E-5</v>
      </c>
      <c r="D10" s="15"/>
      <c r="E10" s="14">
        <f>('Data Input'!$J$30*0.001)/(1+(8*(3.14^2)*B10*'Data Input'!C7*'Data Input'!$J$28*0.001/(C10))*('Data Input'!$J$30*0.001)^2)^0.5</f>
        <v>5.0494640016341269E-3</v>
      </c>
      <c r="F10" s="16">
        <f>E10/('Data Input'!$J$30*0.001)</f>
        <v>0.1857103347419686</v>
      </c>
      <c r="G10" s="15"/>
      <c r="H10" s="15"/>
      <c r="I10" s="17">
        <f>(4*3.14*B10*(E10/($E$29*0.001))^2)/(1-(E10/('Data Input'!$J$30*0.001))^2)</f>
        <v>0.66931861559507333</v>
      </c>
      <c r="J10" s="15">
        <f>C10/(6.28*'Data Input'!$J$28*0.001*($E$29*0.001)^2)</f>
        <v>4.0278924967895895</v>
      </c>
      <c r="K10" s="15">
        <f t="shared" si="0"/>
        <v>6.0178999999999965</v>
      </c>
      <c r="L10" s="15"/>
      <c r="M10" s="16">
        <f t="shared" si="1"/>
        <v>0.85284594612563269</v>
      </c>
      <c r="N10" s="14">
        <f t="shared" si="2"/>
        <v>82677.536619646286</v>
      </c>
      <c r="O10" s="10"/>
    </row>
    <row r="11" spans="1:15" ht="15" x14ac:dyDescent="0.25">
      <c r="A11" s="10"/>
      <c r="B11" s="14">
        <f>'Data Input'!I8</f>
        <v>9.9928184713375792E-2</v>
      </c>
      <c r="C11" s="14">
        <f>'Data Input'!K8</f>
        <v>3.8968000000000004E-5</v>
      </c>
      <c r="D11" s="15"/>
      <c r="E11" s="14">
        <f>('Data Input'!$J$30*0.001)/(1+(8*(3.14^2)*B11*'Data Input'!C8*'Data Input'!$J$28*0.001/(C11))*('Data Input'!$J$30*0.001)^2)^0.5</f>
        <v>5.045930750755055E-3</v>
      </c>
      <c r="F11" s="16">
        <f>E11/('Data Input'!$J$30*0.001)</f>
        <v>0.18558038803806748</v>
      </c>
      <c r="G11" s="15"/>
      <c r="H11" s="15"/>
      <c r="I11" s="17">
        <f>(4*3.14*B11*(E11/($E$29*0.001))^2)/(1-(E11/('Data Input'!$J$30*0.001))^2)</f>
        <v>0.53442718417681057</v>
      </c>
      <c r="J11" s="15">
        <f>C11/(6.28*'Data Input'!$J$28*0.001*($E$29*0.001)^2)</f>
        <v>3.2217782469943765</v>
      </c>
      <c r="K11" s="15">
        <f t="shared" si="0"/>
        <v>6.0284699999999987</v>
      </c>
      <c r="L11" s="15"/>
      <c r="M11" s="16">
        <f t="shared" si="1"/>
        <v>0.85161028728722465</v>
      </c>
      <c r="N11" s="14">
        <f t="shared" si="2"/>
        <v>82677.536619646286</v>
      </c>
      <c r="O11" s="10"/>
    </row>
    <row r="12" spans="1:15" ht="15" x14ac:dyDescent="0.25">
      <c r="A12" s="10"/>
      <c r="B12" s="14">
        <f>'Data Input'!I9</f>
        <v>8.0352388535031835E-2</v>
      </c>
      <c r="C12" s="14">
        <f>'Data Input'!K9</f>
        <v>3.1198499999999996E-5</v>
      </c>
      <c r="D12" s="15"/>
      <c r="E12" s="14">
        <f>('Data Input'!$J$30*0.001)/(1+(8*(3.14^2)*B12*'Data Input'!C9*'Data Input'!$J$28*0.001/(C12))*('Data Input'!$J$30*0.001)^2)^0.5</f>
        <v>5.0392993017519911E-3</v>
      </c>
      <c r="F12" s="16">
        <f>E12/('Data Input'!$J$30*0.001)</f>
        <v>0.18533649509937442</v>
      </c>
      <c r="G12" s="15"/>
      <c r="H12" s="15"/>
      <c r="I12" s="17">
        <f>(4*3.14*B12*(E12/($E$29*0.001))^2)/(1-(E12/('Data Input'!$J$30*0.001))^2)</f>
        <v>0.42856468494649791</v>
      </c>
      <c r="J12" s="15">
        <f>C12/(6.28*'Data Input'!$J$28*0.001*($E$29*0.001)^2)</f>
        <v>2.5794151262280343</v>
      </c>
      <c r="K12" s="15">
        <f t="shared" si="0"/>
        <v>6.018729999999997</v>
      </c>
      <c r="L12" s="15"/>
      <c r="M12" s="16">
        <f t="shared" si="1"/>
        <v>0.84929378542863132</v>
      </c>
      <c r="N12" s="14">
        <f t="shared" si="2"/>
        <v>82677.536619646286</v>
      </c>
      <c r="O12" s="10"/>
    </row>
    <row r="13" spans="1:15" ht="15" x14ac:dyDescent="0.25">
      <c r="A13" s="10"/>
      <c r="B13" s="14">
        <f>'Data Input'!I10</f>
        <v>6.4582484076433119E-2</v>
      </c>
      <c r="C13" s="14">
        <f>'Data Input'!K10</f>
        <v>2.5162199999999998E-5</v>
      </c>
      <c r="D13" s="15"/>
      <c r="E13" s="14">
        <f>('Data Input'!$J$30*0.001)/(1+(8*(3.14^2)*B13*'Data Input'!C10*'Data Input'!$J$28*0.001/(C13))*('Data Input'!$J$30*0.001)^2)^0.5</f>
        <v>5.0475982396016219E-3</v>
      </c>
      <c r="F13" s="16">
        <f>E13/('Data Input'!$J$30*0.001)</f>
        <v>0.18564171532186913</v>
      </c>
      <c r="G13" s="15"/>
      <c r="H13" s="15"/>
      <c r="I13" s="17">
        <f>(4*3.14*B13*(E13/($E$29*0.001))^2)/(1-(E13/('Data Input'!$J$30*0.001))^2)</f>
        <v>0.34563086363839507</v>
      </c>
      <c r="J13" s="15">
        <f>C13/(6.28*'Data Input'!$J$28*0.001*($E$29*0.001)^2)</f>
        <v>2.0803487119308635</v>
      </c>
      <c r="K13" s="15">
        <f t="shared" si="0"/>
        <v>6.0189899999999996</v>
      </c>
      <c r="L13" s="15"/>
      <c r="M13" s="16">
        <f t="shared" si="1"/>
        <v>0.85219332320390917</v>
      </c>
      <c r="N13" s="14">
        <f t="shared" si="2"/>
        <v>82677.536619646286</v>
      </c>
      <c r="O13" s="10"/>
    </row>
    <row r="14" spans="1:15" ht="15" x14ac:dyDescent="0.25">
      <c r="A14" s="10"/>
      <c r="B14" s="14">
        <f>'Data Input'!I11</f>
        <v>5.1856050955414013E-2</v>
      </c>
      <c r="C14" s="14">
        <f>'Data Input'!K11</f>
        <v>2.0182600000000002E-5</v>
      </c>
      <c r="D14" s="15"/>
      <c r="E14" s="14">
        <f>('Data Input'!$J$30*0.001)/(1+(8*(3.14^2)*B14*'Data Input'!C11*'Data Input'!$J$28*0.001/(C14))*('Data Input'!$J$30*0.001)^2)^0.5</f>
        <v>5.042120008589503E-3</v>
      </c>
      <c r="F14" s="16">
        <f>E14/('Data Input'!$J$30*0.001)</f>
        <v>0.18544023569656132</v>
      </c>
      <c r="G14" s="15"/>
      <c r="H14" s="15"/>
      <c r="I14" s="17">
        <f>(4*3.14*B14*(E14/($E$29*0.001))^2)/(1-(E14/('Data Input'!$J$30*0.001))^2)</f>
        <v>0.27689835743853491</v>
      </c>
      <c r="J14" s="15">
        <f>C14/(6.28*'Data Input'!$J$28*0.001*($E$29*0.001)^2)</f>
        <v>1.6686476505796732</v>
      </c>
      <c r="K14" s="15">
        <f t="shared" si="0"/>
        <v>6.026209999999999</v>
      </c>
      <c r="L14" s="15"/>
      <c r="M14" s="16">
        <f t="shared" si="1"/>
        <v>0.85027869112970411</v>
      </c>
      <c r="N14" s="14">
        <f t="shared" si="2"/>
        <v>82677.536619646286</v>
      </c>
      <c r="O14" s="10"/>
    </row>
    <row r="15" spans="1:15" ht="15" x14ac:dyDescent="0.25">
      <c r="A15" s="10"/>
      <c r="B15" s="14">
        <f>'Data Input'!I12</f>
        <v>4.1577229299363049E-2</v>
      </c>
      <c r="C15" s="14">
        <f>'Data Input'!K12</f>
        <v>1.6297799999999998E-5</v>
      </c>
      <c r="D15" s="15"/>
      <c r="E15" s="14">
        <f>('Data Input'!$J$30*0.001)/(1+(8*(3.14^2)*B15*'Data Input'!C12*'Data Input'!$J$28*0.001/(C15))*('Data Input'!$J$30*0.001)^2)^0.5</f>
        <v>5.0612075614243834E-3</v>
      </c>
      <c r="F15" s="16">
        <f>E15/('Data Input'!$J$30*0.001)</f>
        <v>0.18614224205312185</v>
      </c>
      <c r="G15" s="15"/>
      <c r="H15" s="15"/>
      <c r="I15" s="17">
        <f>(4*3.14*B15*(E15/($E$29*0.001))^2)/(1-(E15/('Data Input'!$J$30*0.001))^2)</f>
        <v>0.22375655202917163</v>
      </c>
      <c r="J15" s="15">
        <f>C15/(6.28*'Data Input'!$J$28*0.001*($E$29*0.001)^2)</f>
        <v>1.347461956319671</v>
      </c>
      <c r="K15" s="15">
        <f t="shared" si="0"/>
        <v>6.0219999999999976</v>
      </c>
      <c r="L15" s="15"/>
      <c r="M15" s="16">
        <f t="shared" si="1"/>
        <v>0.85696004300634476</v>
      </c>
      <c r="N15" s="14">
        <f t="shared" si="2"/>
        <v>82677.536619646286</v>
      </c>
      <c r="O15" s="10"/>
    </row>
    <row r="16" spans="1:15" ht="15" x14ac:dyDescent="0.25">
      <c r="A16" s="10"/>
      <c r="B16" s="14">
        <f>'Data Input'!I13</f>
        <v>3.3521496815286621E-2</v>
      </c>
      <c r="C16" s="14">
        <f>'Data Input'!K13</f>
        <v>1.3198399999999999E-5</v>
      </c>
      <c r="D16" s="15"/>
      <c r="E16" s="14">
        <f>('Data Input'!$J$30*0.001)/(1+(8*(3.14^2)*B16*'Data Input'!C13*'Data Input'!$J$28*0.001/(C16))*('Data Input'!$J$30*0.001)^2)^0.5</f>
        <v>5.0771604623739749E-3</v>
      </c>
      <c r="F16" s="16">
        <f>E16/('Data Input'!$J$30*0.001)</f>
        <v>0.18672896147017193</v>
      </c>
      <c r="G16" s="15"/>
      <c r="H16" s="15"/>
      <c r="I16" s="17">
        <f>(4*3.14*B16*(E16/($E$29*0.001))^2)/(1-(E16/('Data Input'!$J$30*0.001))^2)</f>
        <v>0.1815831450438293</v>
      </c>
      <c r="J16" s="15">
        <f>C16/(6.28*'Data Input'!$J$28*0.001*($E$29*0.001)^2)</f>
        <v>1.0912111993207394</v>
      </c>
      <c r="K16" s="15">
        <f t="shared" si="0"/>
        <v>6.0094300000000018</v>
      </c>
      <c r="L16" s="15"/>
      <c r="M16" s="16">
        <f t="shared" si="1"/>
        <v>0.86256630189691619</v>
      </c>
      <c r="N16" s="14">
        <f t="shared" si="2"/>
        <v>82677.536619646286</v>
      </c>
      <c r="O16" s="10"/>
    </row>
    <row r="17" spans="1:15" ht="15" x14ac:dyDescent="0.25">
      <c r="A17" s="10"/>
      <c r="B17" s="14">
        <f>'Data Input'!I14</f>
        <v>2.6979777070063694E-2</v>
      </c>
      <c r="C17" s="14">
        <f>'Data Input'!K14</f>
        <v>1.0625099999999999E-5</v>
      </c>
      <c r="D17" s="15"/>
      <c r="E17" s="14">
        <f>('Data Input'!$J$30*0.001)/(1+(8*(3.14^2)*B17*'Data Input'!C14*'Data Input'!$J$28*0.001/(C17))*('Data Input'!$J$30*0.001)^2)^0.5</f>
        <v>5.0777065050388835E-3</v>
      </c>
      <c r="F17" s="16">
        <f>E17/('Data Input'!$J$30*0.001)</f>
        <v>0.18674904395141168</v>
      </c>
      <c r="G17" s="15"/>
      <c r="H17" s="15"/>
      <c r="I17" s="17">
        <f>(4*3.14*B17*(E17/($E$29*0.001))^2)/(1-(E17/('Data Input'!$J$30*0.001))^2)</f>
        <v>0.14617976985128442</v>
      </c>
      <c r="J17" s="15">
        <f>C17/(6.28*'Data Input'!$J$28*0.001*($E$29*0.001)^2)</f>
        <v>0.8784570943374036</v>
      </c>
      <c r="K17" s="15">
        <f t="shared" si="0"/>
        <v>6.0094299999999965</v>
      </c>
      <c r="L17" s="15"/>
      <c r="M17" s="16">
        <f t="shared" si="1"/>
        <v>0.86275855265080836</v>
      </c>
      <c r="N17" s="14">
        <f t="shared" si="2"/>
        <v>82677.536619646271</v>
      </c>
      <c r="O17" s="10"/>
    </row>
    <row r="18" spans="1:15" ht="15" x14ac:dyDescent="0.25">
      <c r="A18" s="10"/>
      <c r="B18" s="14">
        <f>'Data Input'!I15</f>
        <v>2.1654936305732484E-2</v>
      </c>
      <c r="C18" s="14">
        <f>'Data Input'!K15</f>
        <v>8.4454100000000012E-6</v>
      </c>
      <c r="D18" s="15"/>
      <c r="E18" s="14">
        <f>('Data Input'!$J$30*0.001)/(1+(8*(3.14^2)*B18*'Data Input'!C15*'Data Input'!$J$28*0.001/(C18))*('Data Input'!$J$30*0.001)^2)^0.5</f>
        <v>5.0492702416768112E-3</v>
      </c>
      <c r="F18" s="16">
        <f>E18/('Data Input'!$J$30*0.001)</f>
        <v>0.18570320859421885</v>
      </c>
      <c r="G18" s="15"/>
      <c r="H18" s="15"/>
      <c r="I18" s="17">
        <f>(4*3.14*B18*(E18/($E$29*0.001))^2)/(1-(E18/('Data Input'!$J$30*0.001))^2)</f>
        <v>0.11597186006938043</v>
      </c>
      <c r="J18" s="15">
        <f>C18/(6.28*'Data Input'!$J$28*0.001*($E$29*0.001)^2)</f>
        <v>0.69824569454292695</v>
      </c>
      <c r="K18" s="15">
        <f t="shared" si="0"/>
        <v>6.0208199999999987</v>
      </c>
      <c r="L18" s="15"/>
      <c r="M18" s="16">
        <f t="shared" si="1"/>
        <v>0.85277815820946978</v>
      </c>
      <c r="N18" s="14">
        <f t="shared" si="2"/>
        <v>82677.536619646271</v>
      </c>
      <c r="O18" s="10"/>
    </row>
    <row r="19" spans="1:15" ht="15" x14ac:dyDescent="0.25">
      <c r="A19" s="10"/>
      <c r="B19" s="14">
        <f>'Data Input'!I16</f>
        <v>1.7344108280254778E-2</v>
      </c>
      <c r="C19" s="14">
        <f>'Data Input'!K16</f>
        <v>6.9179100000000001E-6</v>
      </c>
      <c r="D19" s="15"/>
      <c r="E19" s="14">
        <f>('Data Input'!$J$30*0.001)/(1+(8*(3.14^2)*B19*'Data Input'!C16*'Data Input'!$J$28*0.001/(C19))*('Data Input'!$J$30*0.001)^2)^0.5</f>
        <v>5.1089739222520891E-3</v>
      </c>
      <c r="F19" s="16">
        <f>E19/('Data Input'!$J$30*0.001)</f>
        <v>0.18789900412843283</v>
      </c>
      <c r="G19" s="15"/>
      <c r="H19" s="15"/>
      <c r="I19" s="17">
        <f>(4*3.14*B19*(E19/($E$29*0.001))^2)/(1-(E19/('Data Input'!$J$30*0.001))^2)</f>
        <v>9.5175898892149627E-2</v>
      </c>
      <c r="J19" s="15">
        <f>C19/(6.28*'Data Input'!$J$28*0.001*($E$29*0.001)^2)</f>
        <v>0.57195575735641724</v>
      </c>
      <c r="K19" s="15">
        <f t="shared" si="0"/>
        <v>6.0094599999999971</v>
      </c>
      <c r="L19" s="15"/>
      <c r="M19" s="16">
        <f t="shared" si="1"/>
        <v>0.87380669377025189</v>
      </c>
      <c r="N19" s="14">
        <f t="shared" si="2"/>
        <v>82677.536619646286</v>
      </c>
      <c r="O19" s="10"/>
    </row>
    <row r="20" spans="1:15" ht="15" x14ac:dyDescent="0.25">
      <c r="A20" s="10"/>
      <c r="B20" s="14">
        <f>'Data Input'!I17</f>
        <v>1.3958853503184715E-2</v>
      </c>
      <c r="C20" s="14">
        <f>'Data Input'!K17</f>
        <v>5.5013600000000001E-6</v>
      </c>
      <c r="D20" s="15"/>
      <c r="E20" s="14">
        <f>('Data Input'!$J$30*0.001)/(1+(8*(3.14^2)*B20*'Data Input'!C17*'Data Input'!$J$28*0.001/(C20))*('Data Input'!$J$30*0.001)^2)^0.5</f>
        <v>5.0783779892456648E-3</v>
      </c>
      <c r="F20" s="16">
        <f>E20/('Data Input'!$J$30*0.001)</f>
        <v>0.18677373995018995</v>
      </c>
      <c r="G20" s="15"/>
      <c r="H20" s="14"/>
      <c r="I20" s="17">
        <f>(4*3.14*B20*(E20/($E$29*0.001))^2)/(1-(E20/('Data Input'!$J$30*0.001))^2)</f>
        <v>7.5651522607501867E-2</v>
      </c>
      <c r="J20" s="15">
        <f>C20/(6.28*'Data Input'!$J$28*0.001*($E$29*0.001)^2)</f>
        <v>0.45483889285785728</v>
      </c>
      <c r="K20" s="15">
        <f t="shared" si="0"/>
        <v>6.0122899999999984</v>
      </c>
      <c r="L20" s="15"/>
      <c r="M20" s="16">
        <f t="shared" si="1"/>
        <v>0.86299500131758788</v>
      </c>
      <c r="N20" s="14">
        <f t="shared" si="2"/>
        <v>82677.536619646286</v>
      </c>
      <c r="O20" s="10"/>
    </row>
    <row r="21" spans="1:15" ht="15" x14ac:dyDescent="0.25">
      <c r="A21" s="10"/>
      <c r="B21" s="14">
        <f>'Data Input'!I18</f>
        <v>1.1205509554140129E-2</v>
      </c>
      <c r="C21" s="14">
        <f>'Data Input'!K18</f>
        <v>4.5600500000000005E-6</v>
      </c>
      <c r="D21" s="15"/>
      <c r="E21" s="14">
        <f>('Data Input'!$J$30*0.001)/(1+(8*(3.14^2)*B21*'Data Input'!C18*'Data Input'!$J$28*0.001/(C21))*('Data Input'!$J$30*0.001)^2)^0.5</f>
        <v>5.1610036379059598E-3</v>
      </c>
      <c r="F21" s="16">
        <f>E21/('Data Input'!$J$30*0.001)</f>
        <v>0.18981256483655606</v>
      </c>
      <c r="G21" s="15"/>
      <c r="H21" s="15"/>
      <c r="I21" s="17">
        <f>(4*3.14*B21*(E21/($E$29*0.001))^2)/(1-(E21/('Data Input'!$J$30*0.001))^2)</f>
        <v>6.2796159889938863E-2</v>
      </c>
      <c r="J21" s="15">
        <f>C21/(6.28*'Data Input'!$J$28*0.001*($E$29*0.001)^2)</f>
        <v>0.37701370086241803</v>
      </c>
      <c r="K21" s="15">
        <f t="shared" si="0"/>
        <v>6.0037699999999967</v>
      </c>
      <c r="L21" s="15"/>
      <c r="M21" s="16">
        <f t="shared" si="1"/>
        <v>0.89236357072326877</v>
      </c>
      <c r="N21" s="14">
        <f t="shared" si="2"/>
        <v>82677.536619646271</v>
      </c>
      <c r="O21" s="10"/>
    </row>
    <row r="22" spans="1:15" ht="15" x14ac:dyDescent="0.25">
      <c r="A22" s="10"/>
      <c r="B22" s="14">
        <f>'Data Input'!I19</f>
        <v>8.999554140127387E-3</v>
      </c>
      <c r="C22" s="14">
        <f>'Data Input'!K19</f>
        <v>3.5718899999999998E-6</v>
      </c>
      <c r="D22" s="15"/>
      <c r="E22" s="14">
        <f>('Data Input'!$J$30*0.001)/(1+(8*(3.14^2)*B22*'Data Input'!C19*'Data Input'!$J$28*0.001/(C22))*('Data Input'!$J$30*0.001)^2)^0.5</f>
        <v>5.0953266429331267E-3</v>
      </c>
      <c r="F22" s="16">
        <f>E22/('Data Input'!$J$30*0.001)</f>
        <v>0.18739708138775749</v>
      </c>
      <c r="G22" s="15"/>
      <c r="H22" s="15"/>
      <c r="I22" s="17">
        <f>(4*3.14*B22*(E22/($E$29*0.001))^2)/(1-(E22/('Data Input'!$J$30*0.001))^2)</f>
        <v>4.911203163038444E-2</v>
      </c>
      <c r="J22" s="15">
        <f>C22/(6.28*'Data Input'!$J$28*0.001*($E$29*0.001)^2)</f>
        <v>0.29531506627634835</v>
      </c>
      <c r="K22" s="15">
        <f t="shared" si="0"/>
        <v>6.0130899999999992</v>
      </c>
      <c r="L22" s="15"/>
      <c r="M22" s="16">
        <f t="shared" si="1"/>
        <v>0.86897496037285016</v>
      </c>
      <c r="N22" s="14">
        <f t="shared" si="2"/>
        <v>82677.536619646286</v>
      </c>
      <c r="O22" s="10"/>
    </row>
    <row r="23" spans="1:15" ht="15" x14ac:dyDescent="0.25">
      <c r="A23" s="10"/>
      <c r="B23" s="14">
        <f>'Data Input'!I20</f>
        <v>7.2245382165605091E-3</v>
      </c>
      <c r="C23" s="14">
        <f>'Data Input'!K20</f>
        <v>2.80875E-6</v>
      </c>
      <c r="D23" s="15"/>
      <c r="E23" s="14">
        <f>('Data Input'!$J$30*0.001)/(1+(8*(3.14^2)*B23*'Data Input'!C20*'Data Input'!$J$28*0.001/(C23))*('Data Input'!$J$30*0.001)^2)^0.5</f>
        <v>5.045089750155364E-3</v>
      </c>
      <c r="F23" s="16">
        <f>E23/('Data Input'!$J$30*0.001)</f>
        <v>0.18554945752686147</v>
      </c>
      <c r="G23" s="15"/>
      <c r="H23" s="15"/>
      <c r="I23" s="17">
        <f>(4*3.14*B23*(E23/($E$29*0.001))^2)/(1-(E23/('Data Input'!$J$30*0.001))^2)</f>
        <v>3.8624306375845387E-2</v>
      </c>
      <c r="J23" s="15">
        <f>C23/(6.28*'Data Input'!$J$28*0.001*($E$29*0.001)^2)</f>
        <v>0.23222053098043149</v>
      </c>
      <c r="K23" s="15">
        <f t="shared" si="0"/>
        <v>6.012290000000001</v>
      </c>
      <c r="L23" s="15"/>
      <c r="M23" s="16">
        <f t="shared" si="1"/>
        <v>0.85131631571994304</v>
      </c>
      <c r="N23" s="14">
        <f t="shared" si="2"/>
        <v>82677.536619646286</v>
      </c>
      <c r="O23" s="10"/>
    </row>
    <row r="24" spans="1:15" ht="15" x14ac:dyDescent="0.25">
      <c r="A24" s="10"/>
      <c r="B24" s="10"/>
      <c r="C24" s="10"/>
      <c r="D24" s="10"/>
      <c r="E24" s="10"/>
      <c r="F24" s="10"/>
      <c r="G24" s="10"/>
      <c r="H24" s="10"/>
      <c r="I24" s="10"/>
      <c r="J24" s="10"/>
      <c r="K24" s="10"/>
      <c r="L24" s="10"/>
      <c r="M24" s="12"/>
      <c r="N24" s="10"/>
      <c r="O24" s="10"/>
    </row>
    <row r="25" spans="1:15" ht="15" x14ac:dyDescent="0.25">
      <c r="A25" s="10"/>
      <c r="B25" s="10"/>
      <c r="C25" s="10"/>
      <c r="D25" s="10"/>
      <c r="E25" s="10"/>
      <c r="F25" s="10"/>
      <c r="G25" s="10"/>
      <c r="H25" s="10"/>
      <c r="I25" s="10"/>
      <c r="J25" s="10"/>
      <c r="K25" s="10"/>
      <c r="L25" s="10"/>
      <c r="M25" s="12"/>
      <c r="N25" s="10"/>
      <c r="O25" s="10"/>
    </row>
    <row r="26" spans="1:15" ht="18" x14ac:dyDescent="0.35">
      <c r="A26" s="10"/>
      <c r="B26" s="10"/>
      <c r="C26" s="10" t="s">
        <v>29</v>
      </c>
      <c r="D26" s="10"/>
      <c r="E26" s="12">
        <f>AVERAGE(E9:E23)*1000</f>
        <v>5.0708388067882657</v>
      </c>
      <c r="F26" s="10" t="s">
        <v>30</v>
      </c>
      <c r="G26" s="10"/>
      <c r="H26" s="10"/>
      <c r="I26" s="10"/>
      <c r="J26" s="10"/>
      <c r="K26" s="38" t="s">
        <v>61</v>
      </c>
      <c r="L26" s="38"/>
      <c r="M26" s="39">
        <f>AVERAGE(M8:M23)</f>
        <v>0.85965313199297266</v>
      </c>
      <c r="N26" s="24">
        <f>_xlfn.STDEV.S(M8:M23)</f>
        <v>1.1606280673810931E-2</v>
      </c>
      <c r="O26" s="37"/>
    </row>
    <row r="27" spans="1:15" ht="18" x14ac:dyDescent="0.35">
      <c r="A27" s="10"/>
      <c r="B27" s="10"/>
      <c r="C27" s="10"/>
      <c r="D27" s="10"/>
      <c r="E27" s="10"/>
      <c r="F27" s="11"/>
      <c r="G27" s="11"/>
      <c r="H27" s="10"/>
      <c r="I27" s="10"/>
      <c r="J27" s="10"/>
      <c r="K27" s="38" t="s">
        <v>60</v>
      </c>
      <c r="L27" s="38"/>
      <c r="M27" s="40">
        <f>AVERAGE($N8:$N23)</f>
        <v>82677.536619646271</v>
      </c>
      <c r="N27" s="24">
        <f>_xlfn.STDEV.S(N8:N23)</f>
        <v>1.3015628661377062E-11</v>
      </c>
      <c r="O27" s="37"/>
    </row>
    <row r="28" spans="1:15" ht="18" x14ac:dyDescent="0.35">
      <c r="A28" s="10"/>
      <c r="B28" s="10"/>
      <c r="C28" s="10"/>
      <c r="D28" s="10"/>
      <c r="E28" s="11"/>
      <c r="F28" s="10"/>
      <c r="G28" s="10"/>
      <c r="H28" s="10"/>
      <c r="I28" s="10"/>
      <c r="J28" s="10"/>
      <c r="K28" s="38" t="s">
        <v>59</v>
      </c>
      <c r="L28" s="38"/>
      <c r="M28" s="40">
        <f>M27/9807</f>
        <v>8.4304615702708539</v>
      </c>
      <c r="N28" s="25">
        <f>N27/9807</f>
        <v>1.3271773897600757E-15</v>
      </c>
      <c r="O28" s="37"/>
    </row>
    <row r="29" spans="1:15" ht="15" x14ac:dyDescent="0.25">
      <c r="A29" s="10"/>
      <c r="B29" s="10"/>
      <c r="C29" s="10" t="s">
        <v>31</v>
      </c>
      <c r="D29" s="10"/>
      <c r="E29" s="10">
        <f>'Data Input'!$J$30/EXP(-(0.5+(('Data Input'!$J$30/E26)^2*LN('Data Input'!$J$30/E26)/(1-('Data Input'!$J$30/E26)^2))))</f>
        <v>7.8694833247856586</v>
      </c>
      <c r="F29" s="10" t="s">
        <v>30</v>
      </c>
      <c r="G29" s="10"/>
      <c r="H29" s="10"/>
      <c r="I29" s="10"/>
      <c r="J29" s="10"/>
      <c r="K29" s="10"/>
      <c r="L29" s="10"/>
      <c r="M29" s="10"/>
      <c r="N29" s="10"/>
      <c r="O29" s="10"/>
    </row>
    <row r="30" spans="1:15" ht="15" x14ac:dyDescent="0.25">
      <c r="A30" s="10"/>
      <c r="B30" s="10"/>
      <c r="C30" s="10" t="s">
        <v>32</v>
      </c>
      <c r="D30" s="13" t="s">
        <v>35</v>
      </c>
      <c r="E30" s="12">
        <f>(E26+'Data Input'!J30)/2</f>
        <v>16.130419403394132</v>
      </c>
      <c r="F30" s="10" t="s">
        <v>30</v>
      </c>
      <c r="G30" s="10"/>
      <c r="H30" s="10"/>
      <c r="I30" s="10"/>
      <c r="J30" s="10"/>
      <c r="K30" s="10"/>
      <c r="L30" s="10"/>
      <c r="M30" s="10"/>
      <c r="N30" s="10"/>
      <c r="O30" s="10"/>
    </row>
    <row r="31" spans="1:15" ht="15" x14ac:dyDescent="0.25">
      <c r="A31" s="10"/>
      <c r="B31" s="10"/>
      <c r="C31" s="10"/>
      <c r="D31" s="10"/>
      <c r="E31" s="10"/>
      <c r="F31" s="10"/>
      <c r="G31" s="10"/>
      <c r="H31" s="10"/>
      <c r="I31" s="10"/>
      <c r="J31" s="10"/>
      <c r="K31" s="10"/>
      <c r="L31" s="10"/>
      <c r="M31" s="11"/>
      <c r="N31" s="10"/>
      <c r="O31" s="10"/>
    </row>
    <row r="32" spans="1:15" ht="15" x14ac:dyDescent="0.25">
      <c r="A32" s="10"/>
      <c r="B32" s="10"/>
      <c r="C32" s="10"/>
      <c r="D32" s="10"/>
      <c r="E32" s="10"/>
      <c r="F32" s="10"/>
      <c r="G32" s="10"/>
      <c r="H32" s="10"/>
      <c r="I32" s="10"/>
      <c r="J32" s="10"/>
      <c r="K32" s="10"/>
      <c r="L32" s="10"/>
      <c r="M32" s="10"/>
      <c r="N32" s="10"/>
      <c r="O32" s="10"/>
    </row>
  </sheetData>
  <sheetProtection password="C567" sheet="1" objects="1" scenarios="1"/>
  <mergeCells count="1">
    <mergeCell ref="I6:K6"/>
  </mergeCells>
  <phoneticPr fontId="2" type="noConversion"/>
  <pageMargins left="0.75" right="0.75" top="1" bottom="1" header="0.5" footer="0.5"/>
  <pageSetup paperSize="9"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6"/>
  <sheetViews>
    <sheetView workbookViewId="0">
      <selection activeCell="I29" sqref="I29"/>
    </sheetView>
  </sheetViews>
  <sheetFormatPr defaultRowHeight="12.75" x14ac:dyDescent="0.2"/>
  <cols>
    <col min="1" max="5" width="9.140625" style="1"/>
    <col min="6" max="6" width="11.5703125" style="1" bestFit="1" customWidth="1"/>
    <col min="7" max="9" width="9.140625" style="1"/>
    <col min="10" max="10" width="9.28515625" style="1" bestFit="1" customWidth="1"/>
    <col min="11" max="11" width="9.5703125" style="1" bestFit="1" customWidth="1"/>
    <col min="12" max="16384" width="9.140625" style="1"/>
  </cols>
  <sheetData>
    <row r="2" spans="2:16" ht="15" x14ac:dyDescent="0.25">
      <c r="B2" s="6" t="s">
        <v>10</v>
      </c>
      <c r="C2" s="6"/>
      <c r="D2" s="6"/>
      <c r="E2" s="6"/>
      <c r="F2" s="6"/>
      <c r="G2" s="8"/>
      <c r="H2" s="7"/>
      <c r="J2" s="6" t="s">
        <v>50</v>
      </c>
      <c r="K2" s="6"/>
    </row>
    <row r="3" spans="2:16" ht="15" x14ac:dyDescent="0.25">
      <c r="B3" s="2" t="s">
        <v>1</v>
      </c>
      <c r="C3" s="2" t="s">
        <v>2</v>
      </c>
      <c r="D3" s="2" t="s">
        <v>3</v>
      </c>
      <c r="E3" s="2" t="s">
        <v>4</v>
      </c>
      <c r="F3" s="2" t="s">
        <v>6</v>
      </c>
      <c r="G3" s="31" t="s">
        <v>49</v>
      </c>
      <c r="H3" s="4"/>
      <c r="I3" t="s">
        <v>0</v>
      </c>
      <c r="J3" s="2" t="s">
        <v>11</v>
      </c>
      <c r="K3" s="2" t="s">
        <v>6</v>
      </c>
      <c r="L3" s="4"/>
      <c r="M3" s="4" t="s">
        <v>0</v>
      </c>
    </row>
    <row r="4" spans="2:16" ht="15" x14ac:dyDescent="0.25">
      <c r="B4" s="2" t="s">
        <v>9</v>
      </c>
      <c r="C4" s="2" t="s">
        <v>8</v>
      </c>
      <c r="D4" s="2" t="s">
        <v>7</v>
      </c>
      <c r="E4" s="2" t="s">
        <v>5</v>
      </c>
      <c r="F4" s="2" t="s">
        <v>27</v>
      </c>
      <c r="G4" s="9" t="s">
        <v>12</v>
      </c>
      <c r="H4" s="4" t="s">
        <v>20</v>
      </c>
      <c r="I4" s="4" t="s">
        <v>21</v>
      </c>
      <c r="J4" s="2"/>
      <c r="K4" s="2" t="s">
        <v>27</v>
      </c>
      <c r="L4" s="4" t="s">
        <v>20</v>
      </c>
      <c r="M4" s="4" t="s">
        <v>21</v>
      </c>
    </row>
    <row r="5" spans="2:16" x14ac:dyDescent="0.2">
      <c r="B5" s="41">
        <v>14.292</v>
      </c>
      <c r="C5" s="41">
        <v>6.0290800000000004</v>
      </c>
      <c r="D5" s="41">
        <v>8.0967599999999997</v>
      </c>
      <c r="E5" s="41">
        <v>48.816000000000003</v>
      </c>
      <c r="F5" s="41">
        <v>3.9758699999999997E-4</v>
      </c>
      <c r="G5" s="41">
        <v>1.2176</v>
      </c>
      <c r="H5" s="5">
        <f t="shared" ref="H5:H20" si="0">F5*1000</f>
        <v>0.39758699999999997</v>
      </c>
      <c r="I5" s="5">
        <f t="shared" ref="I5:I20" si="1">G5/(2*3.14)</f>
        <v>0.19388535031847134</v>
      </c>
      <c r="J5" s="41">
        <v>14.295999999999999</v>
      </c>
      <c r="K5" s="41">
        <v>7.5358000000000006E-5</v>
      </c>
      <c r="L5" s="5">
        <f>K5*1000</f>
        <v>7.5358000000000008E-2</v>
      </c>
      <c r="M5" s="5">
        <f>I5</f>
        <v>0.19388535031847134</v>
      </c>
    </row>
    <row r="6" spans="2:16" x14ac:dyDescent="0.2">
      <c r="B6" s="41">
        <v>28.571999999999999</v>
      </c>
      <c r="C6" s="41">
        <v>6.0164099999999996</v>
      </c>
      <c r="D6" s="41">
        <v>6.4812200000000004</v>
      </c>
      <c r="E6" s="41">
        <v>38.993699999999997</v>
      </c>
      <c r="F6" s="41">
        <v>3.17588E-4</v>
      </c>
      <c r="G6" s="41">
        <v>0.97465400000000002</v>
      </c>
      <c r="H6" s="5">
        <f t="shared" si="0"/>
        <v>0.31758799999999998</v>
      </c>
      <c r="I6" s="5">
        <f t="shared" si="1"/>
        <v>0.15519968152866243</v>
      </c>
      <c r="J6" s="41">
        <v>28.576000000000001</v>
      </c>
      <c r="K6" s="41">
        <v>6.1349899999999993E-5</v>
      </c>
      <c r="L6" s="5">
        <f t="shared" ref="L6:L20" si="2">K6*1000</f>
        <v>6.1349899999999992E-2</v>
      </c>
      <c r="M6" s="5">
        <f t="shared" ref="M6:M20" si="3">I6</f>
        <v>0.15519968152866243</v>
      </c>
    </row>
    <row r="7" spans="2:16" x14ac:dyDescent="0.2">
      <c r="B7" s="41">
        <v>42.86</v>
      </c>
      <c r="C7" s="41">
        <v>6.0179</v>
      </c>
      <c r="D7" s="41">
        <v>5.2187799999999998</v>
      </c>
      <c r="E7" s="41">
        <v>31.406099999999999</v>
      </c>
      <c r="F7" s="41">
        <v>2.5578999999999999E-4</v>
      </c>
      <c r="G7" s="41">
        <v>0.784806</v>
      </c>
      <c r="H7" s="5">
        <f t="shared" si="0"/>
        <v>0.25578999999999996</v>
      </c>
      <c r="I7" s="5">
        <f t="shared" si="1"/>
        <v>0.12496910828025477</v>
      </c>
      <c r="J7" s="41">
        <v>42.868000000000002</v>
      </c>
      <c r="K7" s="41">
        <v>4.8718099999999997E-5</v>
      </c>
      <c r="L7" s="5">
        <f t="shared" si="2"/>
        <v>4.87181E-2</v>
      </c>
      <c r="M7" s="5">
        <f t="shared" si="3"/>
        <v>0.12496910828025477</v>
      </c>
    </row>
    <row r="8" spans="2:16" x14ac:dyDescent="0.2">
      <c r="B8" s="41">
        <v>57.14</v>
      </c>
      <c r="C8" s="41">
        <v>6.0284700000000004</v>
      </c>
      <c r="D8" s="41">
        <v>4.1730600000000004</v>
      </c>
      <c r="E8" s="41">
        <v>25.1572</v>
      </c>
      <c r="F8" s="41">
        <v>2.0489500000000002E-4</v>
      </c>
      <c r="G8" s="41">
        <v>0.62754900000000002</v>
      </c>
      <c r="H8" s="5">
        <f t="shared" si="0"/>
        <v>0.20489500000000002</v>
      </c>
      <c r="I8" s="5">
        <f t="shared" si="1"/>
        <v>9.9928184713375792E-2</v>
      </c>
      <c r="J8" s="41">
        <v>57.152000000000001</v>
      </c>
      <c r="K8" s="41">
        <v>3.8968000000000004E-5</v>
      </c>
      <c r="L8" s="5">
        <f t="shared" si="2"/>
        <v>3.8968000000000003E-2</v>
      </c>
      <c r="M8" s="5">
        <f t="shared" si="3"/>
        <v>9.9928184713375792E-2</v>
      </c>
    </row>
    <row r="9" spans="2:16" ht="14.25" x14ac:dyDescent="0.2">
      <c r="B9" s="41">
        <v>71.42</v>
      </c>
      <c r="C9" s="41">
        <v>6.0187299999999997</v>
      </c>
      <c r="D9" s="41">
        <v>3.3555600000000001</v>
      </c>
      <c r="E9" s="41">
        <v>20.196200000000001</v>
      </c>
      <c r="F9" s="41">
        <v>1.6449000000000002E-4</v>
      </c>
      <c r="G9" s="41">
        <v>0.50461299999999998</v>
      </c>
      <c r="H9" s="5">
        <f t="shared" si="0"/>
        <v>0.16449000000000003</v>
      </c>
      <c r="I9" s="5">
        <f t="shared" si="1"/>
        <v>8.0352388535031835E-2</v>
      </c>
      <c r="J9" s="41">
        <v>71.427999999999997</v>
      </c>
      <c r="K9" s="41">
        <v>3.1198499999999996E-5</v>
      </c>
      <c r="L9" s="5">
        <f t="shared" si="2"/>
        <v>3.1198499999999997E-2</v>
      </c>
      <c r="M9" s="5">
        <f t="shared" si="3"/>
        <v>8.0352388535031835E-2</v>
      </c>
      <c r="P9" s="3"/>
    </row>
    <row r="10" spans="2:16" ht="14.25" x14ac:dyDescent="0.2">
      <c r="B10" s="41">
        <v>85.712000000000003</v>
      </c>
      <c r="C10" s="41">
        <v>6.0189899999999996</v>
      </c>
      <c r="D10" s="41">
        <v>2.6970000000000001</v>
      </c>
      <c r="E10" s="41">
        <v>16.2332</v>
      </c>
      <c r="F10" s="41">
        <v>1.32213E-4</v>
      </c>
      <c r="G10" s="41">
        <v>0.40557799999999999</v>
      </c>
      <c r="H10" s="5">
        <f t="shared" si="0"/>
        <v>0.132213</v>
      </c>
      <c r="I10" s="5">
        <f t="shared" si="1"/>
        <v>6.4582484076433119E-2</v>
      </c>
      <c r="J10" s="41">
        <v>85.724000000000004</v>
      </c>
      <c r="K10" s="41">
        <v>2.5162199999999998E-5</v>
      </c>
      <c r="L10" s="5">
        <f t="shared" si="2"/>
        <v>2.5162199999999999E-2</v>
      </c>
      <c r="M10" s="5">
        <f t="shared" si="3"/>
        <v>6.4582484076433119E-2</v>
      </c>
      <c r="P10" s="3"/>
    </row>
    <row r="11" spans="2:16" x14ac:dyDescent="0.2">
      <c r="B11" s="41">
        <v>100.012</v>
      </c>
      <c r="C11" s="41">
        <v>6.0262099999999998</v>
      </c>
      <c r="D11" s="41">
        <v>2.16554</v>
      </c>
      <c r="E11" s="41">
        <v>13.05</v>
      </c>
      <c r="F11" s="41">
        <v>1.0628700000000001E-4</v>
      </c>
      <c r="G11" s="41">
        <v>0.325656</v>
      </c>
      <c r="H11" s="5">
        <f t="shared" si="0"/>
        <v>0.10628700000000001</v>
      </c>
      <c r="I11" s="5">
        <f t="shared" si="1"/>
        <v>5.1856050955414013E-2</v>
      </c>
      <c r="J11" s="41">
        <v>100.01600000000001</v>
      </c>
      <c r="K11" s="41">
        <v>2.0182600000000002E-5</v>
      </c>
      <c r="L11" s="5">
        <f t="shared" si="2"/>
        <v>2.0182600000000002E-2</v>
      </c>
      <c r="M11" s="5">
        <f t="shared" si="3"/>
        <v>5.1856050955414013E-2</v>
      </c>
    </row>
    <row r="12" spans="2:16" x14ac:dyDescent="0.2">
      <c r="B12" s="41">
        <v>114.28400000000001</v>
      </c>
      <c r="C12" s="41">
        <v>6.0220000000000002</v>
      </c>
      <c r="D12" s="41">
        <v>1.7362899999999999</v>
      </c>
      <c r="E12" s="41">
        <v>10.4559</v>
      </c>
      <c r="F12" s="41">
        <v>8.5159299999999996E-5</v>
      </c>
      <c r="G12" s="41">
        <v>0.26110499999999998</v>
      </c>
      <c r="H12" s="5">
        <f t="shared" si="0"/>
        <v>8.5159299999999993E-2</v>
      </c>
      <c r="I12" s="5">
        <f t="shared" si="1"/>
        <v>4.1577229299363049E-2</v>
      </c>
      <c r="J12" s="41">
        <v>114.29600000000001</v>
      </c>
      <c r="K12" s="41">
        <v>1.6297799999999998E-5</v>
      </c>
      <c r="L12" s="5">
        <f t="shared" si="2"/>
        <v>1.6297799999999998E-2</v>
      </c>
      <c r="M12" s="5">
        <f t="shared" si="3"/>
        <v>4.1577229299363049E-2</v>
      </c>
    </row>
    <row r="13" spans="2:16" x14ac:dyDescent="0.2">
      <c r="B13" s="41">
        <v>128.58000000000001</v>
      </c>
      <c r="C13" s="41">
        <v>6.00943</v>
      </c>
      <c r="D13" s="41">
        <v>1.39988</v>
      </c>
      <c r="E13" s="41">
        <v>8.4124499999999998</v>
      </c>
      <c r="F13" s="41">
        <v>6.8516099999999999E-5</v>
      </c>
      <c r="G13" s="41">
        <v>0.21051500000000001</v>
      </c>
      <c r="H13" s="5">
        <f t="shared" si="0"/>
        <v>6.8516099999999996E-2</v>
      </c>
      <c r="I13" s="5">
        <f t="shared" si="1"/>
        <v>3.3521496815286621E-2</v>
      </c>
      <c r="J13" s="41">
        <v>128.58000000000001</v>
      </c>
      <c r="K13" s="41">
        <v>1.3198399999999999E-5</v>
      </c>
      <c r="L13" s="5">
        <f t="shared" si="2"/>
        <v>1.3198399999999999E-2</v>
      </c>
      <c r="M13" s="5">
        <f t="shared" si="3"/>
        <v>3.3521496815286621E-2</v>
      </c>
    </row>
    <row r="14" spans="2:16" x14ac:dyDescent="0.2">
      <c r="B14" s="41">
        <v>142.86000000000001</v>
      </c>
      <c r="C14" s="41">
        <v>6.00943</v>
      </c>
      <c r="D14" s="41">
        <v>1.12669</v>
      </c>
      <c r="E14" s="41">
        <v>6.7707699999999997</v>
      </c>
      <c r="F14" s="41">
        <v>5.5145200000000002E-5</v>
      </c>
      <c r="G14" s="41">
        <v>0.169433</v>
      </c>
      <c r="H14" s="5">
        <f t="shared" si="0"/>
        <v>5.5145200000000005E-2</v>
      </c>
      <c r="I14" s="5">
        <f t="shared" si="1"/>
        <v>2.6979777070063694E-2</v>
      </c>
      <c r="J14" s="41">
        <v>142.864</v>
      </c>
      <c r="K14" s="41">
        <v>1.0625099999999999E-5</v>
      </c>
      <c r="L14" s="5">
        <f t="shared" si="2"/>
        <v>1.0625099999999998E-2</v>
      </c>
      <c r="M14" s="5">
        <f t="shared" si="3"/>
        <v>2.6979777070063694E-2</v>
      </c>
    </row>
    <row r="15" spans="2:16" x14ac:dyDescent="0.2">
      <c r="B15" s="41">
        <v>157.13999999999999</v>
      </c>
      <c r="C15" s="41">
        <v>6.0208199999999996</v>
      </c>
      <c r="D15" s="41">
        <v>0.90432199999999996</v>
      </c>
      <c r="E15" s="41">
        <v>5.4447599999999996</v>
      </c>
      <c r="F15" s="41">
        <v>4.4345399999999997E-5</v>
      </c>
      <c r="G15" s="41">
        <v>0.135993</v>
      </c>
      <c r="H15" s="5">
        <f t="shared" si="0"/>
        <v>4.43454E-2</v>
      </c>
      <c r="I15" s="5">
        <f t="shared" si="1"/>
        <v>2.1654936305732484E-2</v>
      </c>
      <c r="J15" s="41">
        <v>157.15199999999999</v>
      </c>
      <c r="K15" s="41">
        <v>8.4454100000000012E-6</v>
      </c>
      <c r="L15" s="5">
        <f t="shared" si="2"/>
        <v>8.4454100000000004E-3</v>
      </c>
      <c r="M15" s="5">
        <f t="shared" si="3"/>
        <v>2.1654936305732484E-2</v>
      </c>
    </row>
    <row r="16" spans="2:16" x14ac:dyDescent="0.2">
      <c r="B16" s="41">
        <v>171.43199999999999</v>
      </c>
      <c r="C16" s="41">
        <v>6.0094599999999998</v>
      </c>
      <c r="D16" s="41">
        <v>0.72430000000000005</v>
      </c>
      <c r="E16" s="41">
        <v>4.3526499999999997</v>
      </c>
      <c r="F16" s="41">
        <v>3.5450600000000002E-5</v>
      </c>
      <c r="G16" s="41">
        <v>0.108921</v>
      </c>
      <c r="H16" s="5">
        <f t="shared" si="0"/>
        <v>3.5450600000000006E-2</v>
      </c>
      <c r="I16" s="5">
        <f t="shared" si="1"/>
        <v>1.7344108280254778E-2</v>
      </c>
      <c r="J16" s="41">
        <v>171.44</v>
      </c>
      <c r="K16" s="41">
        <v>6.9179100000000001E-6</v>
      </c>
      <c r="L16" s="5">
        <f t="shared" si="2"/>
        <v>6.9179100000000002E-3</v>
      </c>
      <c r="M16" s="5">
        <f t="shared" si="3"/>
        <v>1.7344108280254778E-2</v>
      </c>
    </row>
    <row r="17" spans="1:14" x14ac:dyDescent="0.2">
      <c r="B17" s="41">
        <v>185.71600000000001</v>
      </c>
      <c r="C17" s="41">
        <v>6.0122900000000001</v>
      </c>
      <c r="D17" s="41">
        <v>0.58292900000000003</v>
      </c>
      <c r="E17" s="41">
        <v>3.50474</v>
      </c>
      <c r="F17" s="41">
        <v>2.8544699999999998E-5</v>
      </c>
      <c r="G17" s="41">
        <v>8.7661600000000006E-2</v>
      </c>
      <c r="H17" s="5">
        <f t="shared" si="0"/>
        <v>2.8544699999999999E-2</v>
      </c>
      <c r="I17" s="5">
        <f t="shared" si="1"/>
        <v>1.3958853503184715E-2</v>
      </c>
      <c r="J17" s="41">
        <v>185.72</v>
      </c>
      <c r="K17" s="41">
        <v>5.5013600000000001E-6</v>
      </c>
      <c r="L17" s="5">
        <f t="shared" si="2"/>
        <v>5.5013600000000003E-3</v>
      </c>
      <c r="M17" s="5">
        <f t="shared" si="3"/>
        <v>1.3958853503184715E-2</v>
      </c>
    </row>
    <row r="18" spans="1:14" x14ac:dyDescent="0.2">
      <c r="B18" s="41">
        <v>200.00800000000001</v>
      </c>
      <c r="C18" s="41">
        <v>6.0037700000000003</v>
      </c>
      <c r="D18" s="41">
        <v>0.46794799999999998</v>
      </c>
      <c r="E18" s="41">
        <v>2.8094600000000001</v>
      </c>
      <c r="F18" s="41">
        <v>2.2881900000000002E-5</v>
      </c>
      <c r="G18" s="41">
        <v>7.0370600000000005E-2</v>
      </c>
      <c r="H18" s="5">
        <f t="shared" si="0"/>
        <v>2.2881900000000004E-2</v>
      </c>
      <c r="I18" s="5">
        <f t="shared" si="1"/>
        <v>1.1205509554140129E-2</v>
      </c>
      <c r="J18" s="41">
        <v>200.024</v>
      </c>
      <c r="K18" s="41">
        <v>4.5600500000000005E-6</v>
      </c>
      <c r="L18" s="5">
        <f t="shared" si="2"/>
        <v>4.5600500000000004E-3</v>
      </c>
      <c r="M18" s="5">
        <f t="shared" si="3"/>
        <v>1.1205509554140129E-2</v>
      </c>
    </row>
    <row r="19" spans="1:14" x14ac:dyDescent="0.2">
      <c r="B19" s="41">
        <v>214.29599999999999</v>
      </c>
      <c r="C19" s="41">
        <v>6.01309</v>
      </c>
      <c r="D19" s="41">
        <v>0.37582599999999999</v>
      </c>
      <c r="E19" s="41">
        <v>2.2598799999999999</v>
      </c>
      <c r="F19" s="41">
        <v>1.8405799999999999E-5</v>
      </c>
      <c r="G19" s="41">
        <v>5.6517199999999997E-2</v>
      </c>
      <c r="H19" s="5">
        <f t="shared" si="0"/>
        <v>1.84058E-2</v>
      </c>
      <c r="I19" s="5">
        <f t="shared" si="1"/>
        <v>8.999554140127387E-3</v>
      </c>
      <c r="J19" s="41">
        <v>214.292</v>
      </c>
      <c r="K19" s="41">
        <v>3.5718899999999998E-6</v>
      </c>
      <c r="L19" s="5">
        <f t="shared" si="2"/>
        <v>3.5718899999999999E-3</v>
      </c>
      <c r="M19" s="5">
        <f t="shared" si="3"/>
        <v>8.999554140127387E-3</v>
      </c>
    </row>
    <row r="20" spans="1:14" x14ac:dyDescent="0.2">
      <c r="B20" s="41">
        <v>228.56800000000001</v>
      </c>
      <c r="C20" s="41">
        <v>6.0122900000000001</v>
      </c>
      <c r="D20" s="41">
        <v>0.301701</v>
      </c>
      <c r="E20" s="41">
        <v>1.8139099999999999</v>
      </c>
      <c r="F20" s="41">
        <v>1.47736E-5</v>
      </c>
      <c r="G20" s="41">
        <v>4.5370099999999997E-2</v>
      </c>
      <c r="H20" s="5">
        <f t="shared" si="0"/>
        <v>1.47736E-2</v>
      </c>
      <c r="I20" s="5">
        <f t="shared" si="1"/>
        <v>7.2245382165605091E-3</v>
      </c>
      <c r="J20" s="41">
        <v>228.57599999999999</v>
      </c>
      <c r="K20" s="41">
        <v>2.80875E-6</v>
      </c>
      <c r="L20" s="5">
        <f t="shared" si="2"/>
        <v>2.80875E-3</v>
      </c>
      <c r="M20" s="5">
        <f t="shared" si="3"/>
        <v>7.2245382165605091E-3</v>
      </c>
    </row>
    <row r="24" spans="1:14" x14ac:dyDescent="0.2">
      <c r="B24" s="4" t="s">
        <v>13</v>
      </c>
      <c r="C24" s="27" t="s">
        <v>51</v>
      </c>
      <c r="D24" s="4"/>
      <c r="E24" s="4"/>
      <c r="I24" s="28" t="s">
        <v>45</v>
      </c>
    </row>
    <row r="25" spans="1:14" x14ac:dyDescent="0.2">
      <c r="B25" s="4"/>
      <c r="C25" s="4"/>
      <c r="D25" s="4"/>
      <c r="E25" s="4"/>
    </row>
    <row r="26" spans="1:14" x14ac:dyDescent="0.2">
      <c r="A26" s="32"/>
      <c r="B26" s="34" t="s">
        <v>10</v>
      </c>
      <c r="C26" s="34"/>
      <c r="D26" s="34"/>
      <c r="E26" s="34" t="s">
        <v>48</v>
      </c>
      <c r="F26" s="34"/>
      <c r="G26" s="34"/>
      <c r="H26" s="34"/>
      <c r="I26" s="34"/>
      <c r="J26" s="34"/>
      <c r="K26" s="34"/>
      <c r="L26" s="34"/>
      <c r="M26" s="34"/>
      <c r="N26" s="32"/>
    </row>
    <row r="27" spans="1:14" x14ac:dyDescent="0.2">
      <c r="A27" s="32"/>
      <c r="B27" s="34" t="s">
        <v>16</v>
      </c>
      <c r="C27" s="34"/>
      <c r="D27" s="34"/>
      <c r="E27" s="34"/>
      <c r="F27" s="34"/>
      <c r="G27" s="34"/>
      <c r="H27" s="34"/>
      <c r="I27" s="34"/>
      <c r="J27" s="34"/>
      <c r="K27" s="34"/>
      <c r="L27" s="34"/>
      <c r="M27" s="34"/>
      <c r="N27" s="32"/>
    </row>
    <row r="28" spans="1:14" ht="15" x14ac:dyDescent="0.25">
      <c r="A28" s="32"/>
      <c r="B28" s="34"/>
      <c r="C28" s="34"/>
      <c r="D28" s="34"/>
      <c r="E28" s="34"/>
      <c r="F28" s="34"/>
      <c r="G28" s="34"/>
      <c r="H28" s="34"/>
      <c r="I28" s="36" t="s">
        <v>17</v>
      </c>
      <c r="J28" s="36">
        <v>31.1</v>
      </c>
      <c r="K28" s="36"/>
      <c r="L28" s="36" t="s">
        <v>40</v>
      </c>
      <c r="M28" s="34"/>
      <c r="N28" s="32"/>
    </row>
    <row r="29" spans="1:14" ht="15" x14ac:dyDescent="0.25">
      <c r="A29" s="32"/>
      <c r="B29" s="34" t="s">
        <v>18</v>
      </c>
      <c r="C29" s="34">
        <f>2/(1-(J29/J30)^2)</f>
        <v>2.7215218368031726</v>
      </c>
      <c r="D29" s="35" t="s">
        <v>57</v>
      </c>
      <c r="E29" s="34"/>
      <c r="F29" s="34"/>
      <c r="G29" s="34"/>
      <c r="H29" s="34"/>
      <c r="I29" s="36" t="s">
        <v>23</v>
      </c>
      <c r="J29" s="36">
        <v>14</v>
      </c>
      <c r="K29" s="36"/>
      <c r="L29" s="36" t="s">
        <v>41</v>
      </c>
      <c r="M29" s="34"/>
      <c r="N29" s="32"/>
    </row>
    <row r="30" spans="1:14" ht="15" x14ac:dyDescent="0.25">
      <c r="A30" s="32"/>
      <c r="B30" s="34" t="s">
        <v>19</v>
      </c>
      <c r="C30" s="34">
        <f>1000*C32/(2*3.14*J28*(J29/2)^2)</f>
        <v>10.247550389275254</v>
      </c>
      <c r="D30" s="34" t="s">
        <v>58</v>
      </c>
      <c r="E30" s="34"/>
      <c r="F30" s="34"/>
      <c r="G30" s="34"/>
      <c r="H30" s="34"/>
      <c r="I30" s="36" t="s">
        <v>24</v>
      </c>
      <c r="J30" s="36">
        <v>27.19</v>
      </c>
      <c r="K30" s="36"/>
      <c r="L30" s="36" t="s">
        <v>42</v>
      </c>
      <c r="M30" s="34"/>
      <c r="N30" s="32"/>
    </row>
    <row r="31" spans="1:14" x14ac:dyDescent="0.2">
      <c r="A31" s="32"/>
      <c r="B31" s="34"/>
      <c r="C31" s="34"/>
      <c r="D31" s="34"/>
      <c r="E31" s="34"/>
      <c r="F31" s="34"/>
      <c r="G31" s="34"/>
      <c r="H31" s="34"/>
      <c r="I31" s="34"/>
      <c r="J31" s="34"/>
      <c r="K31" s="34"/>
      <c r="L31" s="34"/>
      <c r="M31" s="34"/>
      <c r="N31" s="32"/>
    </row>
    <row r="32" spans="1:14" x14ac:dyDescent="0.2">
      <c r="A32" s="32"/>
      <c r="B32" s="34" t="s">
        <v>14</v>
      </c>
      <c r="C32" s="34">
        <v>98.07</v>
      </c>
      <c r="D32" s="34" t="s">
        <v>15</v>
      </c>
      <c r="E32" s="34"/>
      <c r="F32" s="34"/>
      <c r="G32" s="34"/>
      <c r="H32" s="34"/>
      <c r="I32" s="34"/>
      <c r="J32" s="34"/>
      <c r="K32" s="34"/>
      <c r="L32" s="34"/>
      <c r="M32" s="34"/>
      <c r="N32" s="32"/>
    </row>
    <row r="33" spans="1:14" x14ac:dyDescent="0.2">
      <c r="A33" s="32"/>
      <c r="B33" s="32"/>
      <c r="C33" s="32"/>
      <c r="D33" s="32"/>
      <c r="E33" s="32"/>
      <c r="F33" s="32"/>
      <c r="G33" s="32"/>
      <c r="H33" s="32"/>
      <c r="I33" s="32"/>
      <c r="J33" s="32"/>
      <c r="K33" s="32"/>
      <c r="L33" s="32"/>
      <c r="M33" s="32"/>
      <c r="N33" s="32"/>
    </row>
    <row r="34" spans="1:14" x14ac:dyDescent="0.2">
      <c r="B34" s="33"/>
      <c r="C34" s="33"/>
      <c r="D34" s="33"/>
      <c r="E34" s="33"/>
      <c r="F34" s="33"/>
      <c r="G34" s="33"/>
      <c r="H34" s="33"/>
      <c r="I34" s="33"/>
      <c r="J34" s="33"/>
      <c r="K34" s="33"/>
      <c r="L34" s="33"/>
      <c r="M34" s="33"/>
    </row>
    <row r="35" spans="1:14" x14ac:dyDescent="0.2">
      <c r="B35" s="33"/>
      <c r="C35" s="33"/>
      <c r="D35" s="33"/>
      <c r="E35" s="33"/>
      <c r="F35" s="33"/>
      <c r="G35" s="33"/>
      <c r="H35" s="33"/>
      <c r="I35" s="33"/>
      <c r="J35" s="33"/>
      <c r="K35" s="33"/>
      <c r="L35" s="33"/>
    </row>
    <row r="36" spans="1:14" x14ac:dyDescent="0.2">
      <c r="B36" s="33"/>
      <c r="C36" s="33"/>
      <c r="D36" s="33"/>
      <c r="E36" s="33"/>
      <c r="F36" s="33"/>
      <c r="G36" s="33"/>
      <c r="H36" s="33"/>
      <c r="I36" s="33"/>
      <c r="J36" s="33"/>
      <c r="K36" s="33"/>
      <c r="L36" s="33"/>
    </row>
  </sheetData>
  <sheetProtection password="C567" sheet="1" objects="1" scenarios="1"/>
  <phoneticPr fontId="2" type="noConversion"/>
  <pageMargins left="0.75" right="0.75" top="1" bottom="1" header="0.5" footer="0.5"/>
  <pageSetup paperSize="9" scale="6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11"/>
  <sheetViews>
    <sheetView tabSelected="1" workbookViewId="0">
      <selection activeCell="E40" sqref="E40"/>
    </sheetView>
  </sheetViews>
  <sheetFormatPr defaultRowHeight="12.75" x14ac:dyDescent="0.2"/>
  <sheetData>
    <row r="3" spans="3:4" ht="20.25" thickBot="1" x14ac:dyDescent="0.35">
      <c r="C3" s="30" t="s">
        <v>46</v>
      </c>
    </row>
    <row r="4" spans="3:4" ht="13.5" thickTop="1" x14ac:dyDescent="0.2"/>
    <row r="5" spans="3:4" x14ac:dyDescent="0.2">
      <c r="C5" s="29" t="s">
        <v>53</v>
      </c>
    </row>
    <row r="6" spans="3:4" x14ac:dyDescent="0.2">
      <c r="D6" s="29" t="s">
        <v>47</v>
      </c>
    </row>
    <row r="7" spans="3:4" x14ac:dyDescent="0.2">
      <c r="C7" s="29" t="s">
        <v>54</v>
      </c>
    </row>
    <row r="8" spans="3:4" x14ac:dyDescent="0.2">
      <c r="D8" s="29" t="s">
        <v>62</v>
      </c>
    </row>
    <row r="9" spans="3:4" x14ac:dyDescent="0.2">
      <c r="C9" s="29" t="s">
        <v>52</v>
      </c>
    </row>
    <row r="10" spans="3:4" x14ac:dyDescent="0.2">
      <c r="D10" s="29"/>
    </row>
    <row r="11" spans="3:4" x14ac:dyDescent="0.2">
      <c r="C11" s="29" t="s">
        <v>56</v>
      </c>
    </row>
  </sheetData>
  <sheetProtection password="C567"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Mixing element Constants</vt:lpstr>
      <vt:lpstr>Data Input</vt:lpstr>
      <vt:lpstr>Instructions</vt:lpstr>
    </vt:vector>
  </TitlesOfParts>
  <Company>TA Instruments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Aly Franck</dc:creator>
  <cp:lastModifiedBy>Windows User</cp:lastModifiedBy>
  <cp:lastPrinted>2014-10-08T17:26:50Z</cp:lastPrinted>
  <dcterms:created xsi:type="dcterms:W3CDTF">2003-08-21T09:07:03Z</dcterms:created>
  <dcterms:modified xsi:type="dcterms:W3CDTF">2014-10-14T17:05:01Z</dcterms:modified>
</cp:coreProperties>
</file>