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09_characterizationRheology\"/>
    </mc:Choice>
  </mc:AlternateContent>
  <xr:revisionPtr revIDLastSave="0" documentId="13_ncr:1_{1BAB9019-C8EA-45A3-8298-453573DD3713}" xr6:coauthVersionLast="45" xr6:coauthVersionMax="45" xr10:uidLastSave="{00000000-0000-0000-0000-000000000000}"/>
  <bookViews>
    <workbookView xWindow="13200" yWindow="0" windowWidth="15630" windowHeight="13665" firstSheet="2" activeTab="3" xr2:uid="{B7136CE4-8007-46B5-82B9-4587FFE551E7}"/>
  </bookViews>
  <sheets>
    <sheet name="rheology" sheetId="2" r:id="rId1"/>
    <sheet name="solventNpolymerData" sheetId="1" r:id="rId2"/>
    <sheet name="solutionPrepNCarac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" l="1"/>
  <c r="D5" i="3" s="1"/>
  <c r="F5" i="3" s="1"/>
  <c r="N19" i="3" l="1"/>
  <c r="N18" i="3"/>
  <c r="N17" i="3"/>
  <c r="N15" i="3"/>
  <c r="N12" i="3"/>
  <c r="N11" i="3"/>
  <c r="N10" i="3"/>
  <c r="N9" i="3"/>
  <c r="N8" i="3"/>
  <c r="N4" i="3"/>
  <c r="D174" i="3"/>
  <c r="C174" i="3" s="1"/>
  <c r="D175" i="3"/>
  <c r="C175" i="3" s="1"/>
  <c r="D101" i="3"/>
  <c r="C101" i="3" s="1"/>
  <c r="D70" i="3"/>
  <c r="F70" i="3"/>
  <c r="D71" i="3"/>
  <c r="F71" i="3"/>
  <c r="D38" i="3"/>
  <c r="C38" i="3" s="1"/>
  <c r="D39" i="3"/>
  <c r="C39" i="3" s="1"/>
  <c r="E168" i="3"/>
  <c r="D168" i="3" s="1"/>
  <c r="F168" i="3" s="1"/>
  <c r="E169" i="3"/>
  <c r="D169" i="3" s="1"/>
  <c r="F169" i="3" s="1"/>
  <c r="E164" i="3"/>
  <c r="D164" i="3" s="1"/>
  <c r="F164" i="3" s="1"/>
  <c r="E165" i="3"/>
  <c r="D165" i="3" s="1"/>
  <c r="F165" i="3" s="1"/>
  <c r="E166" i="3"/>
  <c r="D166" i="3" s="1"/>
  <c r="F166" i="3" s="1"/>
  <c r="E167" i="3"/>
  <c r="D167" i="3" s="1"/>
  <c r="F167" i="3" s="1"/>
  <c r="E163" i="3"/>
  <c r="D163" i="3" s="1"/>
  <c r="F163" i="3" s="1"/>
  <c r="E145" i="3"/>
  <c r="D145" i="3" s="1"/>
  <c r="F145" i="3" s="1"/>
  <c r="E146" i="3"/>
  <c r="D146" i="3" s="1"/>
  <c r="F146" i="3" s="1"/>
  <c r="E147" i="3"/>
  <c r="D147" i="3" s="1"/>
  <c r="F147" i="3" s="1"/>
  <c r="E148" i="3"/>
  <c r="D148" i="3" s="1"/>
  <c r="F148" i="3" s="1"/>
  <c r="E144" i="3"/>
  <c r="D144" i="3" s="1"/>
  <c r="F144" i="3" s="1"/>
  <c r="E96" i="3"/>
  <c r="D96" i="3" s="1"/>
  <c r="F96" i="3" s="1"/>
  <c r="E126" i="3"/>
  <c r="D126" i="3" s="1"/>
  <c r="F126" i="3" s="1"/>
  <c r="E127" i="3"/>
  <c r="D127" i="3" s="1"/>
  <c r="F127" i="3" s="1"/>
  <c r="E128" i="3"/>
  <c r="D128" i="3" s="1"/>
  <c r="F128" i="3" s="1"/>
  <c r="E129" i="3"/>
  <c r="D129" i="3" s="1"/>
  <c r="F129" i="3" s="1"/>
  <c r="E125" i="3"/>
  <c r="D125" i="3" s="1"/>
  <c r="F125" i="3" s="1"/>
  <c r="E92" i="3"/>
  <c r="D92" i="3" s="1"/>
  <c r="F92" i="3" s="1"/>
  <c r="E93" i="3"/>
  <c r="D93" i="3" s="1"/>
  <c r="F93" i="3" s="1"/>
  <c r="E94" i="3"/>
  <c r="D94" i="3" s="1"/>
  <c r="F94" i="3" s="1"/>
  <c r="E95" i="3"/>
  <c r="D95" i="3" s="1"/>
  <c r="F95" i="3" s="1"/>
  <c r="E91" i="3"/>
  <c r="D91" i="3" s="1"/>
  <c r="F91" i="3" s="1"/>
  <c r="E64" i="3"/>
  <c r="D64" i="3" s="1"/>
  <c r="G64" i="3"/>
  <c r="F64" i="3" s="1"/>
  <c r="E65" i="3"/>
  <c r="D65" i="3" s="1"/>
  <c r="G65" i="3"/>
  <c r="F65" i="3" s="1"/>
  <c r="G60" i="3"/>
  <c r="F60" i="3" s="1"/>
  <c r="G61" i="3"/>
  <c r="F61" i="3" s="1"/>
  <c r="G62" i="3"/>
  <c r="F62" i="3" s="1"/>
  <c r="G63" i="3"/>
  <c r="F63" i="3" s="1"/>
  <c r="G59" i="3"/>
  <c r="F59" i="3" s="1"/>
  <c r="E60" i="3"/>
  <c r="D60" i="3" s="1"/>
  <c r="E61" i="3"/>
  <c r="D61" i="3" s="1"/>
  <c r="E62" i="3"/>
  <c r="D62" i="3" s="1"/>
  <c r="E63" i="3"/>
  <c r="D63" i="3" s="1"/>
  <c r="E59" i="3"/>
  <c r="D59" i="3" s="1"/>
  <c r="E31" i="3"/>
  <c r="D31" i="3" s="1"/>
  <c r="F31" i="3" s="1"/>
  <c r="E32" i="3"/>
  <c r="D32" i="3" s="1"/>
  <c r="F32" i="3" s="1"/>
  <c r="E27" i="3"/>
  <c r="E28" i="3"/>
  <c r="E29" i="3"/>
  <c r="E30" i="3"/>
  <c r="E26" i="3"/>
  <c r="D26" i="3" s="1"/>
  <c r="F26" i="3" s="1"/>
  <c r="D21" i="3"/>
  <c r="C21" i="3" s="1"/>
  <c r="D22" i="3"/>
  <c r="C22" i="3" s="1"/>
  <c r="E6" i="3"/>
  <c r="D6" i="3" s="1"/>
  <c r="F6" i="3" s="1"/>
  <c r="E7" i="3"/>
  <c r="D7" i="3" s="1"/>
  <c r="F7" i="3" s="1"/>
  <c r="E8" i="3"/>
  <c r="D8" i="3" s="1"/>
  <c r="F8" i="3" s="1"/>
  <c r="E9" i="3"/>
  <c r="D9" i="3" s="1"/>
  <c r="F9" i="3" s="1"/>
  <c r="E10" i="3"/>
  <c r="D10" i="3" s="1"/>
  <c r="F10" i="3" s="1"/>
  <c r="E11" i="3"/>
  <c r="D11" i="3" s="1"/>
  <c r="F11" i="3" s="1"/>
  <c r="E4" i="3"/>
  <c r="D4" i="3" s="1"/>
  <c r="F4" i="3" s="1"/>
  <c r="D172" i="3"/>
  <c r="D151" i="3"/>
  <c r="D132" i="3"/>
  <c r="D14" i="3"/>
  <c r="D180" i="3"/>
  <c r="C180" i="3" s="1"/>
  <c r="D179" i="3"/>
  <c r="C179" i="3" s="1"/>
  <c r="D178" i="3"/>
  <c r="C178" i="3" s="1"/>
  <c r="D177" i="3"/>
  <c r="C177" i="3" s="1"/>
  <c r="D176" i="3"/>
  <c r="C176" i="3" s="1"/>
  <c r="D155" i="3"/>
  <c r="C155" i="3" s="1"/>
  <c r="D156" i="3"/>
  <c r="C156" i="3" s="1"/>
  <c r="D157" i="3"/>
  <c r="C157" i="3" s="1"/>
  <c r="D154" i="3"/>
  <c r="C154" i="3" s="1"/>
  <c r="D153" i="3"/>
  <c r="C153" i="3" s="1"/>
  <c r="D138" i="3"/>
  <c r="C138" i="3" s="1"/>
  <c r="D136" i="3"/>
  <c r="C136" i="3" s="1"/>
  <c r="D137" i="3"/>
  <c r="C137" i="3" s="1"/>
  <c r="D135" i="3"/>
  <c r="C135" i="3" s="1"/>
  <c r="D134" i="3"/>
  <c r="C134" i="3" s="1"/>
  <c r="D106" i="3"/>
  <c r="C106" i="3" s="1"/>
  <c r="D105" i="3"/>
  <c r="C105" i="3" s="1"/>
  <c r="D104" i="3"/>
  <c r="C104" i="3" s="1"/>
  <c r="D103" i="3"/>
  <c r="C103" i="3" s="1"/>
  <c r="D102" i="3"/>
  <c r="C102" i="3" s="1"/>
  <c r="F76" i="3"/>
  <c r="D76" i="3"/>
  <c r="F75" i="3"/>
  <c r="D75" i="3"/>
  <c r="F74" i="3"/>
  <c r="D74" i="3"/>
  <c r="F73" i="3"/>
  <c r="D73" i="3"/>
  <c r="F72" i="3"/>
  <c r="D72" i="3"/>
  <c r="D44" i="3"/>
  <c r="C44" i="3" s="1"/>
  <c r="D43" i="3"/>
  <c r="C43" i="3" s="1"/>
  <c r="D42" i="3"/>
  <c r="C42" i="3" s="1"/>
  <c r="D41" i="3"/>
  <c r="C41" i="3" s="1"/>
  <c r="D40" i="3"/>
  <c r="C40" i="3" s="1"/>
  <c r="D46" i="3"/>
  <c r="C46" i="3" s="1"/>
  <c r="D47" i="3"/>
  <c r="C47" i="3" s="1"/>
  <c r="D48" i="3"/>
  <c r="C48" i="3" s="1"/>
  <c r="D49" i="3"/>
  <c r="C49" i="3" s="1"/>
  <c r="D17" i="3"/>
  <c r="C17" i="3" s="1"/>
  <c r="D18" i="3"/>
  <c r="C18" i="3" s="1"/>
  <c r="D19" i="3"/>
  <c r="C19" i="3" s="1"/>
  <c r="D20" i="3"/>
  <c r="C20" i="3" s="1"/>
  <c r="D16" i="3"/>
  <c r="C16" i="3" s="1"/>
  <c r="M12" i="3"/>
  <c r="M11" i="3"/>
  <c r="L15" i="3" a="1"/>
  <c r="L15" i="3" s="1"/>
  <c r="O15" i="3" s="1"/>
  <c r="L4" i="3" a="1"/>
  <c r="L4" i="3" s="1"/>
  <c r="O4" i="3" s="1"/>
  <c r="K15" i="3" a="1"/>
  <c r="K15" i="3" s="1"/>
  <c r="K4" i="3" a="1"/>
  <c r="K4" i="3" s="1"/>
  <c r="H60" i="3" l="1"/>
  <c r="C71" i="3"/>
  <c r="C70" i="3"/>
  <c r="H59" i="3"/>
  <c r="H63" i="3"/>
  <c r="H62" i="3"/>
  <c r="H61" i="3"/>
  <c r="H64" i="3"/>
  <c r="C72" i="3"/>
  <c r="H65" i="3"/>
  <c r="O12" i="3"/>
  <c r="O9" i="3"/>
  <c r="O10" i="3"/>
  <c r="O8" i="3"/>
  <c r="C75" i="3"/>
  <c r="C73" i="3"/>
  <c r="C74" i="3"/>
  <c r="C76" i="3"/>
  <c r="O19" i="3"/>
  <c r="O18" i="3"/>
  <c r="O17" i="3"/>
  <c r="F79" i="3"/>
  <c r="F80" i="3"/>
  <c r="F81" i="3"/>
  <c r="F82" i="3"/>
  <c r="D79" i="3"/>
  <c r="D80" i="3"/>
  <c r="D81" i="3"/>
  <c r="D82" i="3"/>
  <c r="D99" i="3"/>
  <c r="D68" i="3"/>
  <c r="D36" i="3"/>
  <c r="D108" i="3"/>
  <c r="C108" i="3" s="1"/>
  <c r="D109" i="3"/>
  <c r="C109" i="3" s="1"/>
  <c r="D110" i="3"/>
  <c r="C110" i="3" s="1"/>
  <c r="D50" i="3"/>
  <c r="C50" i="3" s="1"/>
  <c r="F78" i="3"/>
  <c r="D78" i="3"/>
  <c r="D183" i="3"/>
  <c r="C183" i="3" s="1"/>
  <c r="D184" i="3"/>
  <c r="C184" i="3" s="1"/>
  <c r="D185" i="3"/>
  <c r="C185" i="3" s="1"/>
  <c r="D186" i="3"/>
  <c r="C186" i="3" s="1"/>
  <c r="C81" i="3" l="1"/>
  <c r="C80" i="3"/>
  <c r="C82" i="3"/>
  <c r="C79" i="3"/>
  <c r="C78" i="3"/>
  <c r="D182" i="3"/>
  <c r="C182" i="3" s="1"/>
  <c r="D160" i="3"/>
  <c r="C160" i="3" s="1"/>
  <c r="D159" i="3"/>
  <c r="C159" i="3" s="1"/>
  <c r="D141" i="3"/>
  <c r="C141" i="3" s="1"/>
  <c r="D140" i="3"/>
  <c r="C140" i="3" s="1"/>
  <c r="D111" i="3" l="1"/>
  <c r="C111" i="3" s="1"/>
  <c r="D112" i="3"/>
  <c r="C112" i="3" s="1"/>
  <c r="D85" i="3"/>
  <c r="D86" i="3"/>
  <c r="D87" i="3"/>
  <c r="D88" i="3"/>
  <c r="D84" i="3"/>
  <c r="F85" i="3"/>
  <c r="F86" i="3"/>
  <c r="F87" i="3"/>
  <c r="F88" i="3"/>
  <c r="F84" i="3"/>
  <c r="D53" i="3"/>
  <c r="C53" i="3" s="1"/>
  <c r="D54" i="3"/>
  <c r="C54" i="3" s="1"/>
  <c r="D55" i="3"/>
  <c r="C55" i="3" s="1"/>
  <c r="D56" i="3"/>
  <c r="C56" i="3" s="1"/>
  <c r="D52" i="3"/>
  <c r="C52" i="3" s="1"/>
  <c r="C88" i="3" l="1"/>
  <c r="C87" i="3"/>
  <c r="C85" i="3"/>
  <c r="C86" i="3"/>
  <c r="C84" i="3"/>
  <c r="D122" i="3"/>
  <c r="F117" i="3" s="1"/>
  <c r="F20" i="1"/>
  <c r="I9" i="1"/>
  <c r="I8" i="1"/>
  <c r="I7" i="1"/>
  <c r="I6" i="1"/>
  <c r="I5" i="1"/>
  <c r="I4" i="1"/>
  <c r="I3" i="1"/>
  <c r="I2" i="1"/>
  <c r="F12" i="1"/>
  <c r="F13" i="1"/>
  <c r="F9" i="1"/>
  <c r="F8" i="1"/>
  <c r="F7" i="1"/>
  <c r="F5" i="1"/>
  <c r="F4" i="1"/>
  <c r="F3" i="1"/>
  <c r="F2" i="1"/>
  <c r="F17" i="1"/>
  <c r="F16" i="1"/>
  <c r="F15" i="1"/>
  <c r="F14" i="1"/>
  <c r="F6" i="1"/>
  <c r="G116" i="3" l="1"/>
  <c r="D119" i="3"/>
  <c r="E119" i="3" s="1"/>
  <c r="D117" i="3"/>
  <c r="E117" i="3" s="1"/>
  <c r="D116" i="3"/>
  <c r="E116" i="3" s="1"/>
  <c r="F118" i="3"/>
  <c r="G115" i="3"/>
  <c r="G119" i="3"/>
  <c r="G118" i="3"/>
  <c r="D118" i="3"/>
  <c r="E118" i="3" s="1"/>
  <c r="F116" i="3"/>
  <c r="G117" i="3"/>
  <c r="D115" i="3"/>
  <c r="E115" i="3" s="1"/>
  <c r="F115" i="3"/>
  <c r="F119" i="3"/>
  <c r="D30" i="3"/>
  <c r="F30" i="3" s="1"/>
  <c r="D29" i="3"/>
  <c r="F29" i="3" s="1"/>
  <c r="D28" i="3"/>
  <c r="F28" i="3" s="1"/>
  <c r="D27" i="3"/>
  <c r="F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<sst xmlns="http://schemas.openxmlformats.org/spreadsheetml/2006/main" count="195" uniqueCount="114">
  <si>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</si>
  <si>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</si>
  <si>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</si>
  <si>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</si>
  <si>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</si>
  <si>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</si>
  <si>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</si>
  <si>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</si>
  <si>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</si>
  <si>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</si>
  <si>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</si>
  <si>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</si>
  <si>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</si>
  <si>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</si>
  <si>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</si>
  <si>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</si>
  <si>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</si>
  <si>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</si>
  <si>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</si>
  <si>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</si>
  <si>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</si>
  <si>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</si>
  <si>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</si>
  <si>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</si>
  <si>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</si>
  <si>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</si>
  <si>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</si>
  <si>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</si>
  <si>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</si>
  <si>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</si>
  <si>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</si>
  <si>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</si>
  <si>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</si>
  <si>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</si>
  <si>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</si>
  <si>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</si>
  <si>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</si>
  <si>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</si>
  <si>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</si>
  <si>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</si>
  <si>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</si>
  <si>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</si>
  <si>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</si>
  <si>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</si>
  <si>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</si>
  <si>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</si>
  <si>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</si>
  <si>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</si>
  <si>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</si>
  <si>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</si>
  <si>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</si>
  <si>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</si>
  <si>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</si>
  <si>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</si>
  <si>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</si>
  <si>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</si>
  <si>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</si>
  <si>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</si>
  <si>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</si>
  <si>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</si>
  <si>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</si>
  <si>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</si>
  <si>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</si>
  <si>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</si>
  <si>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</si>
  <si>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</si>
  <si>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</si>
  <si>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</si>
  <si>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</si>
  <si>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</si>
  <si>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</si>
  <si>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</si>
  <si>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</si>
  <si>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</si>
  <si>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</si>
  <si>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</si>
  <si>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</si>
  <si>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</si>
  <si>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</si>
  <si>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</si>
  <si>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</si>
  <si>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</si>
  <si>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</si>
  <si>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</si>
  <si>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</si>
  <si>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</si>
  <si>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</si>
  <si>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</si>
  <si>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</si>
  <si>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</si>
  <si>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</si>
  <si>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</si>
  <si>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</si>
  <si>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</si>
  <si>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</si>
  <si>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</si>
  <si>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</si>
  <si>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</si>
  <si>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Sample Set 00</t>
  </si>
  <si>
    <t>too thin</t>
  </si>
  <si>
    <t>Sample
Set
01</t>
  </si>
  <si>
    <t>amount uL or mg</t>
  </si>
  <si>
    <t>?</t>
  </si>
  <si>
    <t>[uL]</t>
  </si>
  <si>
    <t>[mg]</t>
  </si>
  <si>
    <t>balance</t>
  </si>
  <si>
    <t>available</t>
  </si>
  <si>
    <t>used</t>
  </si>
  <si>
    <t>Sample Set 02</t>
  </si>
  <si>
    <t>Sample
Set
02</t>
  </si>
  <si>
    <t>to be used</t>
  </si>
  <si>
    <t>PSB wt% in 75THF/25DMF</t>
  </si>
  <si>
    <t>e.g. 2000</t>
  </si>
  <si>
    <t>https://youtu.be/Tty4MsoV7sc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</si>
</sst>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b/>
      <sz val="11"/>
      <color theme="5"/>
      <name val="Consolas"/>
      <family val="3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11"/>
      <color theme="0" tint="-0.499984740745262"/>
      <name val="Consolas"/>
      <family val="3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onsolas"/>
      <family val="3"/>
    </font>
    <font>
      <b/>
      <sz val="11"/>
      <color theme="0" tint="-0.34998626667073579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8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166" fontId="1" fillId="0" borderId="0" xfId="0" applyNumberFormat="1" applyFont="1"/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0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0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/>
    <xf numFmtId="165" fontId="8" fillId="0" borderId="0" xfId="0" applyNumberFormat="1" applyFont="1"/>
    <xf numFmtId="3" fontId="8" fillId="0" borderId="0" xfId="0" applyNumberFormat="1" applyFont="1"/>
    <xf numFmtId="0" fontId="8" fillId="0" borderId="0" xfId="0" applyFont="1" applyAlignment="1">
      <alignment shrinkToFit="1"/>
    </xf>
    <xf numFmtId="0" fontId="8" fillId="0" borderId="0" xfId="0" applyFont="1" applyFill="1"/>
    <xf numFmtId="0" fontId="6" fillId="0" borderId="0" xfId="0" applyFont="1" applyBorder="1"/>
    <xf numFmtId="0" fontId="1" fillId="0" borderId="0" xfId="0" applyFont="1" applyBorder="1"/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/>
    <xf numFmtId="0" fontId="4" fillId="0" borderId="0" xfId="0" applyFont="1" applyBorder="1"/>
    <xf numFmtId="2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9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3" fillId="5" borderId="0" xfId="0" applyFont="1" applyFill="1" applyAlignment="1">
      <alignment horizontal="right"/>
    </xf>
    <xf numFmtId="0" fontId="6" fillId="0" borderId="0" xfId="0" applyFont="1" applyBorder="1" applyAlignment="1">
      <alignment horizontal="right"/>
    </xf>
    <xf numFmtId="0" fontId="15" fillId="0" borderId="0" xfId="1"/>
    <xf numFmtId="0" fontId="4" fillId="0" borderId="1" xfId="0" applyFont="1" applyBorder="1"/>
    <xf numFmtId="166" fontId="16" fillId="0" borderId="0" xfId="0" applyNumberFormat="1" applyFont="1" applyBorder="1" applyAlignment="1">
      <alignment horizontal="right"/>
    </xf>
    <xf numFmtId="166" fontId="16" fillId="0" borderId="0" xfId="0" applyNumberFormat="1" applyFont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166" fontId="4" fillId="6" borderId="0" xfId="0" applyNumberFormat="1" applyFont="1" applyFill="1" applyBorder="1" applyAlignment="1">
      <alignment horizontal="right" vertical="center" wrapText="1"/>
    </xf>
    <xf numFmtId="166" fontId="4" fillId="6" borderId="0" xfId="0" applyNumberFormat="1" applyFont="1" applyFill="1" applyBorder="1" applyAlignment="1">
      <alignment horizontal="right"/>
    </xf>
    <xf numFmtId="166" fontId="17" fillId="6" borderId="0" xfId="0" applyNumberFormat="1" applyFont="1" applyFill="1" applyBorder="1" applyAlignment="1">
      <alignment horizontal="right"/>
    </xf>
    <xf numFmtId="2" fontId="2" fillId="6" borderId="0" xfId="0" applyNumberFormat="1" applyFont="1" applyFill="1"/>
    <xf numFmtId="166" fontId="2" fillId="6" borderId="0" xfId="0" applyNumberFormat="1" applyFont="1" applyFill="1"/>
    <xf numFmtId="166" fontId="17" fillId="6" borderId="0" xfId="0" applyNumberFormat="1" applyFont="1" applyFill="1"/>
    <xf numFmtId="2" fontId="2" fillId="7" borderId="0" xfId="0" applyNumberFormat="1" applyFont="1" applyFill="1"/>
    <xf numFmtId="166" fontId="2" fillId="7" borderId="0" xfId="0" applyNumberFormat="1" applyFont="1" applyFill="1"/>
    <xf numFmtId="166" fontId="17" fillId="7" borderId="0" xfId="0" applyNumberFormat="1" applyFont="1" applyFill="1"/>
    <xf numFmtId="2" fontId="1" fillId="7" borderId="0" xfId="0" applyNumberFormat="1" applyFont="1" applyFill="1"/>
    <xf numFmtId="166" fontId="1" fillId="7" borderId="0" xfId="0" applyNumberFormat="1" applyFont="1" applyFill="1"/>
    <xf numFmtId="166" fontId="16" fillId="7" borderId="0" xfId="0" applyNumberFormat="1" applyFont="1" applyFill="1"/>
    <xf numFmtId="2" fontId="1" fillId="6" borderId="0" xfId="0" applyNumberFormat="1" applyFont="1" applyFill="1"/>
    <xf numFmtId="166" fontId="1" fillId="6" borderId="0" xfId="0" applyNumberFormat="1" applyFont="1" applyFill="1"/>
    <xf numFmtId="166" fontId="16" fillId="6" borderId="0" xfId="0" applyNumberFormat="1" applyFont="1" applyFill="1"/>
    <xf numFmtId="2" fontId="1" fillId="8" borderId="0" xfId="0" applyNumberFormat="1" applyFont="1" applyFill="1"/>
    <xf numFmtId="166" fontId="1" fillId="8" borderId="0" xfId="0" applyNumberFormat="1" applyFont="1" applyFill="1"/>
    <xf numFmtId="166" fontId="16" fillId="8" borderId="0" xfId="0" applyNumberFormat="1" applyFont="1" applyFill="1"/>
    <xf numFmtId="2" fontId="1" fillId="9" borderId="0" xfId="0" applyNumberFormat="1" applyFont="1" applyFill="1"/>
    <xf numFmtId="166" fontId="1" fillId="9" borderId="0" xfId="0" applyNumberFormat="1" applyFont="1" applyFill="1"/>
    <xf numFmtId="166" fontId="16" fillId="9" borderId="0" xfId="0" applyNumberFormat="1" applyFont="1" applyFill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18415</xdr:rowOff>
    </xdr:from>
    <xdr:to>
      <xdr:col>26</xdr:col>
      <xdr:colOff>429365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463ED-994B-4280-9481-2C2DA6F6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256540"/>
          <a:ext cx="530616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26</xdr:col>
      <xdr:colOff>419839</xdr:colOff>
      <xdr:row>42</xdr:row>
      <xdr:rowOff>105188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E8696F-57D5-48F6-89A1-6960C626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0" y="5000625"/>
          <a:ext cx="5296639" cy="296268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26</xdr:col>
      <xdr:colOff>457944</xdr:colOff>
      <xdr:row>102</xdr:row>
      <xdr:rowOff>39009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FC90D8-8601-485F-B87E-EF4FBE908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8239125"/>
          <a:ext cx="5334744" cy="651600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59</xdr:row>
      <xdr:rowOff>0</xdr:rowOff>
    </xdr:from>
    <xdr:to>
      <xdr:col>35</xdr:col>
      <xdr:colOff>606136</xdr:colOff>
      <xdr:row>73</xdr:row>
      <xdr:rowOff>155656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022273-6365-4562-A12C-02DBB9FB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5045" y="8814955"/>
          <a:ext cx="5455227" cy="282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outu.be/Tty4MsoV7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C24" sqref="C24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J20"/>
  <sheetViews>
    <sheetView workbookViewId="0">
      <selection activeCell="D6" sqref="D6"/>
    </sheetView>
  </sheetViews>
  <sheetFormatPr defaultRowHeight="15" x14ac:dyDescent="0.25"/>
  <cols>
    <col min="1" max="1" width="14.85546875" style="6" bestFit="1" customWidth="1"/>
    <col min="2" max="2" width="18.42578125" style="6" bestFit="1" customWidth="1"/>
    <col min="3" max="3" width="5.5703125" style="6" bestFit="1" customWidth="1"/>
    <col min="4" max="4" width="43.28515625" style="6" bestFit="1" customWidth="1"/>
    <col min="5" max="5" width="11.140625" style="6" customWidth="1"/>
    <col min="6" max="6" width="6.7109375" style="6" bestFit="1" customWidth="1"/>
    <col min="7" max="7" width="26.7109375" style="6" bestFit="1" customWidth="1"/>
    <col min="8" max="8" width="17.140625" style="6" customWidth="1"/>
    <col min="9" max="16384" width="9.140625" style="6"/>
  </cols>
  <sheetData>
    <row r="1" spans="1:10" s="9" customFormat="1" x14ac:dyDescent="0.25">
      <c r="A1" s="9" t="s">
        <v>32</v>
      </c>
      <c r="B1" s="9" t="s">
        <v>101</v>
      </c>
      <c r="C1" s="9" t="s">
        <v>46</v>
      </c>
      <c r="D1" s="9" t="s">
        <v>30</v>
      </c>
      <c r="E1" s="9" t="s">
        <v>44</v>
      </c>
      <c r="G1" s="9" t="s">
        <v>36</v>
      </c>
      <c r="H1" s="9" t="s">
        <v>42</v>
      </c>
    </row>
    <row r="2" spans="1:10" s="9" customFormat="1" x14ac:dyDescent="0.25">
      <c r="A2" s="7" t="s">
        <v>15</v>
      </c>
      <c r="B2" s="7">
        <v>100000</v>
      </c>
      <c r="C2" s="32" t="s">
        <v>47</v>
      </c>
      <c r="D2" s="6" t="s">
        <v>6</v>
      </c>
      <c r="E2" s="8">
        <v>1.3254999999999999</v>
      </c>
      <c r="F2" s="6" t="str">
        <f>"@20°C"</f>
        <v>@20°C</v>
      </c>
      <c r="G2" s="6">
        <v>2.9</v>
      </c>
      <c r="H2" s="6">
        <v>353.99</v>
      </c>
      <c r="I2" s="6" t="str">
        <f>"@20°C"</f>
        <v>@20°C</v>
      </c>
    </row>
    <row r="3" spans="1:10" x14ac:dyDescent="0.25">
      <c r="A3" s="7" t="s">
        <v>16</v>
      </c>
      <c r="B3" s="7">
        <v>1000000</v>
      </c>
      <c r="C3" s="32" t="s">
        <v>48</v>
      </c>
      <c r="D3" s="6" t="s">
        <v>7</v>
      </c>
      <c r="E3" s="8">
        <v>0.94299999999999995</v>
      </c>
      <c r="F3" s="6" t="str">
        <f>"@20°C"</f>
        <v>@20°C</v>
      </c>
      <c r="G3" s="6">
        <v>3</v>
      </c>
      <c r="H3" s="6">
        <v>2</v>
      </c>
      <c r="I3" s="6" t="str">
        <f>"@25°C"</f>
        <v>@25°C</v>
      </c>
    </row>
    <row r="4" spans="1:10" x14ac:dyDescent="0.25">
      <c r="A4" s="7" t="s">
        <v>17</v>
      </c>
      <c r="B4" s="7">
        <v>500000</v>
      </c>
      <c r="C4" s="32" t="s">
        <v>49</v>
      </c>
      <c r="D4" s="6" t="s">
        <v>8</v>
      </c>
      <c r="E4" s="8">
        <v>0.80600000000000005</v>
      </c>
      <c r="F4" s="6" t="str">
        <f>"@20°C"</f>
        <v>@20°C</v>
      </c>
      <c r="G4" s="6">
        <v>2.4900000000000002</v>
      </c>
      <c r="H4" s="6">
        <v>71</v>
      </c>
      <c r="I4" s="6" t="str">
        <f t="shared" ref="I4:I9" si="0">"@20°C"</f>
        <v>@20°C</v>
      </c>
    </row>
    <row r="5" spans="1:10" x14ac:dyDescent="0.25">
      <c r="A5" s="7" t="s">
        <v>18</v>
      </c>
      <c r="B5" s="7">
        <v>1000000</v>
      </c>
      <c r="C5" s="32" t="s">
        <v>50</v>
      </c>
      <c r="D5" s="6" t="s">
        <v>9</v>
      </c>
      <c r="E5" s="8">
        <v>1.4832000000000001</v>
      </c>
      <c r="F5" s="6" t="str">
        <f>"@20°C"</f>
        <v>@20°C</v>
      </c>
      <c r="G5" s="6">
        <v>4.0999999999999996</v>
      </c>
      <c r="H5" s="6">
        <v>160</v>
      </c>
      <c r="I5" s="6" t="str">
        <f t="shared" si="0"/>
        <v>@20°C</v>
      </c>
    </row>
    <row r="6" spans="1:10" x14ac:dyDescent="0.25">
      <c r="A6" s="7" t="s">
        <v>19</v>
      </c>
      <c r="B6" s="7">
        <v>100000</v>
      </c>
      <c r="C6" s="32" t="s">
        <v>52</v>
      </c>
      <c r="D6" s="6" t="s">
        <v>10</v>
      </c>
      <c r="E6" s="8">
        <v>1.0269999999999999</v>
      </c>
      <c r="F6" s="6" t="str">
        <f>"@25°C"</f>
        <v>@25°C</v>
      </c>
      <c r="G6" s="6">
        <v>3.4</v>
      </c>
      <c r="H6" s="6">
        <v>0.28999999999999998</v>
      </c>
      <c r="I6" s="6" t="str">
        <f t="shared" si="0"/>
        <v>@20°C</v>
      </c>
    </row>
    <row r="7" spans="1:10" x14ac:dyDescent="0.25">
      <c r="A7" s="7" t="s">
        <v>20</v>
      </c>
      <c r="B7" s="7">
        <v>100000</v>
      </c>
      <c r="C7" s="32" t="s">
        <v>51</v>
      </c>
      <c r="D7" s="6" t="s">
        <v>11</v>
      </c>
      <c r="E7" s="8">
        <v>0.95</v>
      </c>
      <c r="F7" s="6" t="str">
        <f>"@20°C"</f>
        <v>@20°C</v>
      </c>
      <c r="G7" s="6">
        <v>2.5</v>
      </c>
      <c r="H7" s="6">
        <v>2.7</v>
      </c>
      <c r="I7" s="6" t="str">
        <f t="shared" si="0"/>
        <v>@20°C</v>
      </c>
    </row>
    <row r="8" spans="1:10" x14ac:dyDescent="0.25">
      <c r="A8" s="6" t="s">
        <v>29</v>
      </c>
      <c r="B8" s="6" t="s">
        <v>102</v>
      </c>
      <c r="C8" s="100" t="s">
        <v>53</v>
      </c>
      <c r="D8" s="16" t="s">
        <v>28</v>
      </c>
      <c r="E8" s="8">
        <v>1.123</v>
      </c>
      <c r="F8" s="6" t="str">
        <f>"@20°C"</f>
        <v>@20°C</v>
      </c>
      <c r="G8" s="6" t="s">
        <v>29</v>
      </c>
      <c r="H8" s="6">
        <v>8.6999999999999993</v>
      </c>
      <c r="I8" s="6" t="str">
        <f t="shared" si="0"/>
        <v>@20°C</v>
      </c>
    </row>
    <row r="9" spans="1:10" x14ac:dyDescent="0.25">
      <c r="A9" s="7" t="s">
        <v>21</v>
      </c>
      <c r="B9" s="7">
        <v>100000</v>
      </c>
      <c r="C9" s="32" t="s">
        <v>54</v>
      </c>
      <c r="D9" s="6" t="s">
        <v>12</v>
      </c>
      <c r="E9" s="8">
        <v>0.88800000000000001</v>
      </c>
      <c r="F9" s="6" t="str">
        <f>"@20°C"</f>
        <v>@20°C</v>
      </c>
      <c r="G9" s="6">
        <v>2.5</v>
      </c>
      <c r="H9" s="6">
        <v>143</v>
      </c>
      <c r="I9" s="6" t="str">
        <f t="shared" si="0"/>
        <v>@20°C</v>
      </c>
    </row>
    <row r="10" spans="1:10" x14ac:dyDescent="0.25">
      <c r="C10" s="33"/>
    </row>
    <row r="11" spans="1:10" s="9" customFormat="1" x14ac:dyDescent="0.25">
      <c r="A11" s="9" t="s">
        <v>32</v>
      </c>
      <c r="C11" s="9" t="s">
        <v>46</v>
      </c>
      <c r="D11" s="9" t="s">
        <v>30</v>
      </c>
      <c r="E11" s="9" t="s">
        <v>44</v>
      </c>
      <c r="G11" s="9" t="s">
        <v>37</v>
      </c>
      <c r="H11" s="9" t="s">
        <v>43</v>
      </c>
      <c r="I11" s="22" t="s">
        <v>38</v>
      </c>
      <c r="J11" s="22" t="s">
        <v>39</v>
      </c>
    </row>
    <row r="12" spans="1:10" x14ac:dyDescent="0.25">
      <c r="A12" s="7" t="s">
        <v>22</v>
      </c>
      <c r="B12" s="7">
        <v>5000</v>
      </c>
      <c r="C12" s="99" t="s">
        <v>55</v>
      </c>
      <c r="D12" s="9" t="s">
        <v>13</v>
      </c>
      <c r="E12" s="8">
        <v>1.2</v>
      </c>
      <c r="F12" s="6" t="str">
        <f>"@25°C"</f>
        <v>@25°C</v>
      </c>
      <c r="G12" s="10">
        <v>1100000</v>
      </c>
      <c r="H12" s="6" t="s">
        <v>29</v>
      </c>
      <c r="I12" s="11" t="s">
        <v>29</v>
      </c>
      <c r="J12" s="11" t="s">
        <v>29</v>
      </c>
    </row>
    <row r="13" spans="1:10" s="65" customFormat="1" x14ac:dyDescent="0.25">
      <c r="A13" s="63" t="s">
        <v>23</v>
      </c>
      <c r="B13" s="63">
        <v>5000</v>
      </c>
      <c r="C13" s="64" t="s">
        <v>56</v>
      </c>
      <c r="D13" s="65" t="s">
        <v>24</v>
      </c>
      <c r="E13" s="66">
        <v>1.2450000000000001</v>
      </c>
      <c r="F13" s="65" t="str">
        <f>"@20°C"</f>
        <v>@20°C</v>
      </c>
      <c r="G13" s="67">
        <v>15000</v>
      </c>
      <c r="H13" s="65">
        <v>3</v>
      </c>
      <c r="I13" s="68" t="s">
        <v>40</v>
      </c>
      <c r="J13" s="68" t="s">
        <v>41</v>
      </c>
    </row>
    <row r="14" spans="1:10" x14ac:dyDescent="0.25">
      <c r="A14" s="7" t="s">
        <v>25</v>
      </c>
      <c r="B14" s="7">
        <v>250000</v>
      </c>
      <c r="C14" s="99" t="s">
        <v>59</v>
      </c>
      <c r="D14" s="9" t="s">
        <v>14</v>
      </c>
      <c r="E14" s="8">
        <v>1.07</v>
      </c>
      <c r="F14" s="6" t="str">
        <f>"@25°C"</f>
        <v>@25°C</v>
      </c>
      <c r="G14" s="6" t="s">
        <v>29</v>
      </c>
      <c r="H14" s="6" t="s">
        <v>29</v>
      </c>
      <c r="I14" s="11" t="s">
        <v>40</v>
      </c>
      <c r="J14" s="11" t="s">
        <v>41</v>
      </c>
    </row>
    <row r="15" spans="1:10" x14ac:dyDescent="0.25">
      <c r="A15" s="7" t="s">
        <v>26</v>
      </c>
      <c r="B15" s="7">
        <v>1000000</v>
      </c>
      <c r="C15" s="99" t="s">
        <v>58</v>
      </c>
      <c r="D15" s="9" t="s">
        <v>33</v>
      </c>
      <c r="E15" s="8">
        <v>1.04</v>
      </c>
      <c r="F15" s="6" t="str">
        <f>"@25°C"</f>
        <v>@25°C</v>
      </c>
      <c r="G15" s="6" t="s">
        <v>29</v>
      </c>
      <c r="H15" s="6" t="s">
        <v>29</v>
      </c>
      <c r="I15" s="11" t="s">
        <v>29</v>
      </c>
      <c r="J15" s="11" t="s">
        <v>29</v>
      </c>
    </row>
    <row r="16" spans="1:10" x14ac:dyDescent="0.25">
      <c r="A16" s="7" t="s">
        <v>27</v>
      </c>
      <c r="B16" s="7">
        <v>1000000</v>
      </c>
      <c r="C16" s="99" t="s">
        <v>57</v>
      </c>
      <c r="D16" s="9" t="s">
        <v>34</v>
      </c>
      <c r="E16" s="8">
        <v>1.06</v>
      </c>
      <c r="F16" s="6" t="str">
        <f>"@25°C"</f>
        <v>@25°C</v>
      </c>
      <c r="G16" s="10">
        <v>192000</v>
      </c>
      <c r="H16" s="6" t="s">
        <v>29</v>
      </c>
      <c r="I16" s="11" t="s">
        <v>29</v>
      </c>
      <c r="J16" s="11" t="s">
        <v>29</v>
      </c>
    </row>
    <row r="17" spans="1:10" x14ac:dyDescent="0.25">
      <c r="A17" s="6" t="s">
        <v>31</v>
      </c>
      <c r="B17" s="6" t="s">
        <v>102</v>
      </c>
      <c r="C17" s="100" t="s">
        <v>4</v>
      </c>
      <c r="D17" s="16" t="s">
        <v>5</v>
      </c>
      <c r="E17" s="8">
        <v>1.21</v>
      </c>
      <c r="F17" s="6" t="str">
        <f>"@25°C"</f>
        <v>@25°C</v>
      </c>
      <c r="G17" s="10">
        <v>900000</v>
      </c>
      <c r="H17" s="6" t="s">
        <v>29</v>
      </c>
      <c r="I17" s="11" t="s">
        <v>29</v>
      </c>
      <c r="J17" s="11" t="s">
        <v>29</v>
      </c>
    </row>
    <row r="18" spans="1:10" s="65" customFormat="1" x14ac:dyDescent="0.25">
      <c r="A18" s="65" t="s">
        <v>60</v>
      </c>
      <c r="B18" s="65" t="s">
        <v>102</v>
      </c>
      <c r="C18" s="69" t="s">
        <v>61</v>
      </c>
      <c r="D18" s="65" t="s">
        <v>62</v>
      </c>
      <c r="E18" s="66">
        <v>0.4</v>
      </c>
      <c r="F18" s="65" t="s">
        <v>29</v>
      </c>
      <c r="G18" s="65" t="s">
        <v>29</v>
      </c>
      <c r="H18" s="65" t="s">
        <v>29</v>
      </c>
      <c r="I18" s="68" t="s">
        <v>63</v>
      </c>
      <c r="J18" s="68" t="s">
        <v>29</v>
      </c>
    </row>
    <row r="19" spans="1:10" x14ac:dyDescent="0.25">
      <c r="C19" s="33"/>
      <c r="I19" s="11"/>
      <c r="J19" s="11"/>
    </row>
    <row r="20" spans="1:10" x14ac:dyDescent="0.25">
      <c r="A20" s="6" t="s">
        <v>72</v>
      </c>
      <c r="C20" s="33" t="s">
        <v>70</v>
      </c>
      <c r="D20" s="6" t="s">
        <v>71</v>
      </c>
      <c r="E20" s="6">
        <v>1.1839999999999999</v>
      </c>
      <c r="F20" s="6" t="str">
        <f>"@25°C"</f>
        <v>@25°C</v>
      </c>
      <c r="G20" s="10">
        <v>150000</v>
      </c>
      <c r="H20" s="6" t="s">
        <v>29</v>
      </c>
      <c r="I20" s="11" t="s">
        <v>29</v>
      </c>
      <c r="J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AB187"/>
  <sheetViews>
    <sheetView topLeftCell="A13" zoomScale="110" zoomScaleNormal="80" workbookViewId="0">
      <selection activeCell="D13" sqref="D13"/>
    </sheetView>
  </sheetViews>
  <sheetFormatPr defaultRowHeight="15" x14ac:dyDescent="0.25"/>
  <cols>
    <col min="1" max="1" width="9.28515625" style="4" customWidth="1"/>
    <col min="2" max="2" width="4.42578125" style="4" bestFit="1" customWidth="1"/>
    <col min="3" max="3" width="26.710937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0" customWidth="1"/>
    <col min="10" max="10" width="9.140625" style="4"/>
    <col min="11" max="11" width="6.28515625" style="4" bestFit="1" customWidth="1"/>
    <col min="12" max="12" width="12.42578125" style="4" bestFit="1" customWidth="1"/>
    <col min="13" max="13" width="7.42578125" style="4" bestFit="1" customWidth="1"/>
    <col min="14" max="14" width="13.7109375" bestFit="1" customWidth="1"/>
    <col min="15" max="15" width="10" style="4" bestFit="1" customWidth="1"/>
    <col min="16" max="16" width="9.140625" style="4"/>
    <col min="17" max="17" width="0.42578125" style="30" customWidth="1"/>
    <col min="18" max="16384" width="9.140625" style="4"/>
  </cols>
  <sheetData>
    <row r="1" spans="1:28" s="13" customFormat="1" ht="18.75" x14ac:dyDescent="0.3">
      <c r="B1" s="70"/>
      <c r="C1" s="94" t="s">
        <v>112</v>
      </c>
      <c r="D1" s="70" t="s">
        <v>81</v>
      </c>
      <c r="E1" s="70"/>
      <c r="F1" s="70"/>
      <c r="G1" s="70"/>
      <c r="H1" s="70"/>
      <c r="I1" s="25"/>
      <c r="Q1" s="25"/>
    </row>
    <row r="2" spans="1:28" x14ac:dyDescent="0.25">
      <c r="B2" s="71"/>
      <c r="C2" s="71">
        <v>2500</v>
      </c>
      <c r="D2" s="71"/>
      <c r="E2" s="71"/>
      <c r="F2" s="71"/>
      <c r="G2" s="71"/>
      <c r="H2" s="71"/>
      <c r="N2">
        <v>2</v>
      </c>
      <c r="AB2" s="95" t="s">
        <v>113</v>
      </c>
    </row>
    <row r="3" spans="1:28" s="9" customFormat="1" x14ac:dyDescent="0.25">
      <c r="A3" s="122" t="s">
        <v>96</v>
      </c>
      <c r="B3" s="72"/>
      <c r="C3" s="73" t="s">
        <v>82</v>
      </c>
      <c r="D3" s="74" t="s">
        <v>89</v>
      </c>
      <c r="E3" s="74" t="s">
        <v>90</v>
      </c>
      <c r="F3" s="74" t="s">
        <v>64</v>
      </c>
      <c r="G3" s="74" t="s">
        <v>65</v>
      </c>
      <c r="H3" s="74"/>
      <c r="I3" s="26"/>
      <c r="K3" s="96" t="s">
        <v>103</v>
      </c>
      <c r="L3" s="96" t="s">
        <v>106</v>
      </c>
      <c r="M3" s="96" t="s">
        <v>107</v>
      </c>
      <c r="N3" s="96" t="s">
        <v>110</v>
      </c>
      <c r="O3" s="96" t="s">
        <v>105</v>
      </c>
      <c r="Q3" s="26"/>
    </row>
    <row r="4" spans="1:28" s="12" customFormat="1" x14ac:dyDescent="0.25">
      <c r="A4" s="122"/>
      <c r="B4" s="72"/>
      <c r="C4" s="84">
        <v>0</v>
      </c>
      <c r="D4" s="83">
        <f>E4*$D$13</f>
        <v>2807.5</v>
      </c>
      <c r="E4" s="97">
        <f>$C$2</f>
        <v>2500</v>
      </c>
      <c r="F4" s="84">
        <f>(D4*C4)/(100-C4)</f>
        <v>0</v>
      </c>
      <c r="G4" s="84">
        <v>11.28</v>
      </c>
      <c r="H4" s="78"/>
      <c r="I4" s="27"/>
      <c r="K4" s="12" t="str" cm="1">
        <f t="array" ref="K4:K11">solventNpolymerData!C2:C9</f>
        <v>DCM</v>
      </c>
      <c r="L4" s="12" cm="1">
        <f t="array" ref="L4:L11">solventNpolymerData!B2:B9</f>
        <v>100000</v>
      </c>
      <c r="M4" s="12">
        <v>3800</v>
      </c>
      <c r="N4" s="91">
        <f>$N$2*7500</f>
        <v>15000</v>
      </c>
      <c r="O4" s="12">
        <f>L4-M4</f>
        <v>96200</v>
      </c>
      <c r="Q4" s="27"/>
    </row>
    <row r="5" spans="1:28" s="12" customFormat="1" x14ac:dyDescent="0.25">
      <c r="A5" s="122"/>
      <c r="B5" s="72"/>
      <c r="C5" s="84">
        <v>1E-3</v>
      </c>
      <c r="D5" s="83">
        <f>E5*$D$13</f>
        <v>2807.5</v>
      </c>
      <c r="E5" s="97">
        <f>$C$2</f>
        <v>2500</v>
      </c>
      <c r="F5" s="84">
        <f>(D5*C5)/(100-C5)</f>
        <v>2.8075280752807529E-2</v>
      </c>
      <c r="G5" s="84">
        <v>12.28</v>
      </c>
      <c r="H5" s="78"/>
      <c r="I5" s="27"/>
      <c r="K5" s="12" t="str">
        <v>DMAc</v>
      </c>
      <c r="L5" s="12">
        <v>1000000</v>
      </c>
      <c r="N5" s="91"/>
      <c r="Q5" s="27"/>
    </row>
    <row r="6" spans="1:28" s="12" customFormat="1" x14ac:dyDescent="0.25">
      <c r="A6" s="122"/>
      <c r="B6" s="72"/>
      <c r="C6" s="84">
        <v>0.01</v>
      </c>
      <c r="D6" s="83">
        <f t="shared" ref="D6:D11" si="0">E6*$D$13</f>
        <v>2807.5</v>
      </c>
      <c r="E6" s="97">
        <f t="shared" ref="E6:E11" si="1">$C$2</f>
        <v>2500</v>
      </c>
      <c r="F6" s="84">
        <f t="shared" ref="F6:F11" si="2">(D6*C6)/(100-C6)</f>
        <v>0.2807780778077808</v>
      </c>
      <c r="G6" s="84">
        <v>11.28</v>
      </c>
      <c r="H6" s="78"/>
      <c r="I6" s="27"/>
      <c r="K6" s="88" t="str">
        <v>MEK</v>
      </c>
      <c r="L6" s="88">
        <v>500000</v>
      </c>
      <c r="M6" s="88"/>
      <c r="N6" s="91"/>
      <c r="O6" s="88"/>
      <c r="Q6" s="27"/>
    </row>
    <row r="7" spans="1:28" s="12" customFormat="1" x14ac:dyDescent="0.25">
      <c r="A7" s="122"/>
      <c r="B7" s="72"/>
      <c r="C7" s="84">
        <v>0.1</v>
      </c>
      <c r="D7" s="83">
        <f t="shared" si="0"/>
        <v>2807.5</v>
      </c>
      <c r="E7" s="97">
        <f t="shared" si="1"/>
        <v>2500</v>
      </c>
      <c r="F7" s="84">
        <f t="shared" si="2"/>
        <v>2.8103103103103102</v>
      </c>
      <c r="G7" s="84">
        <v>11.3</v>
      </c>
      <c r="H7" s="78"/>
      <c r="I7" s="27"/>
      <c r="K7" s="88" t="str">
        <v>CHL</v>
      </c>
      <c r="L7" s="88">
        <v>1000000</v>
      </c>
      <c r="M7" s="88"/>
      <c r="N7" s="91"/>
      <c r="O7" s="88"/>
      <c r="Q7" s="27"/>
    </row>
    <row r="8" spans="1:28" s="12" customFormat="1" x14ac:dyDescent="0.25">
      <c r="A8" s="122"/>
      <c r="B8" s="72"/>
      <c r="C8" s="101">
        <v>0.25</v>
      </c>
      <c r="D8" s="102">
        <f t="shared" si="0"/>
        <v>2807.5</v>
      </c>
      <c r="E8" s="103">
        <f t="shared" si="1"/>
        <v>2500</v>
      </c>
      <c r="F8" s="101">
        <f t="shared" si="2"/>
        <v>7.0363408521303255</v>
      </c>
      <c r="G8" s="101">
        <v>11.32</v>
      </c>
      <c r="H8" s="78"/>
      <c r="I8" s="27"/>
      <c r="K8" s="12" t="str">
        <v>NMP</v>
      </c>
      <c r="L8" s="12">
        <v>100000</v>
      </c>
      <c r="M8" s="12">
        <v>3800</v>
      </c>
      <c r="N8" s="91">
        <f>$N$2*7500</f>
        <v>15000</v>
      </c>
      <c r="O8" s="12">
        <f t="shared" ref="O8:O12" si="3">L8-M8</f>
        <v>96200</v>
      </c>
      <c r="Q8" s="27"/>
    </row>
    <row r="9" spans="1:28" s="12" customFormat="1" x14ac:dyDescent="0.25">
      <c r="A9" s="122"/>
      <c r="B9" s="72"/>
      <c r="C9" s="84">
        <v>0.5</v>
      </c>
      <c r="D9" s="83">
        <f t="shared" si="0"/>
        <v>2807.5</v>
      </c>
      <c r="E9" s="97">
        <f t="shared" si="1"/>
        <v>2500</v>
      </c>
      <c r="F9" s="84">
        <f t="shared" si="2"/>
        <v>14.108040201005025</v>
      </c>
      <c r="G9" s="84">
        <v>11.34</v>
      </c>
      <c r="H9" s="78"/>
      <c r="I9" s="27"/>
      <c r="K9" s="12" t="str">
        <v>DMF</v>
      </c>
      <c r="L9" s="12">
        <v>100000</v>
      </c>
      <c r="M9" s="12">
        <v>3800</v>
      </c>
      <c r="N9" s="91">
        <f>$N$2*9000</f>
        <v>18000</v>
      </c>
      <c r="O9" s="12">
        <f t="shared" si="3"/>
        <v>96200</v>
      </c>
      <c r="Q9" s="27"/>
    </row>
    <row r="10" spans="1:28" s="12" customFormat="1" x14ac:dyDescent="0.25">
      <c r="A10" s="122"/>
      <c r="B10" s="72"/>
      <c r="C10" s="84">
        <v>0.75</v>
      </c>
      <c r="D10" s="83">
        <f t="shared" si="0"/>
        <v>2807.5</v>
      </c>
      <c r="E10" s="97">
        <f t="shared" si="1"/>
        <v>2500</v>
      </c>
      <c r="F10" s="84">
        <f t="shared" si="2"/>
        <v>21.215365239294709</v>
      </c>
      <c r="G10" s="84">
        <v>11.37</v>
      </c>
      <c r="H10" s="78"/>
      <c r="I10" s="27"/>
      <c r="K10" s="12" t="str">
        <v>SU8</v>
      </c>
      <c r="L10" s="12" t="str">
        <v>?</v>
      </c>
      <c r="M10" s="12">
        <v>9200</v>
      </c>
      <c r="N10" s="93">
        <f>$N$2*(2625+10500)</f>
        <v>26250</v>
      </c>
      <c r="O10" s="12" t="e">
        <f t="shared" si="3"/>
        <v>#VALUE!</v>
      </c>
      <c r="Q10" s="27"/>
    </row>
    <row r="11" spans="1:28" s="12" customFormat="1" x14ac:dyDescent="0.25">
      <c r="A11" s="122"/>
      <c r="B11" s="72"/>
      <c r="C11" s="84">
        <v>1</v>
      </c>
      <c r="D11" s="83">
        <f t="shared" si="0"/>
        <v>2807.5</v>
      </c>
      <c r="E11" s="97">
        <f t="shared" si="1"/>
        <v>2500</v>
      </c>
      <c r="F11" s="84">
        <f t="shared" si="2"/>
        <v>28.358585858585858</v>
      </c>
      <c r="G11" s="84">
        <v>11.4</v>
      </c>
      <c r="H11" s="78"/>
      <c r="I11" s="28"/>
      <c r="K11" s="12" t="str">
        <v>THF</v>
      </c>
      <c r="L11" s="12">
        <v>100000</v>
      </c>
      <c r="M11" s="12">
        <f>9200+5100</f>
        <v>14300</v>
      </c>
      <c r="N11" s="91">
        <f>$N$2*10500</f>
        <v>21000</v>
      </c>
      <c r="O11" s="12" t="s">
        <v>102</v>
      </c>
      <c r="Q11" s="28"/>
    </row>
    <row r="12" spans="1:28" s="12" customFormat="1" x14ac:dyDescent="0.25">
      <c r="A12" s="122"/>
      <c r="B12" s="72"/>
      <c r="C12" s="75"/>
      <c r="D12" s="76"/>
      <c r="E12" s="76"/>
      <c r="F12" s="77"/>
      <c r="G12" s="77"/>
      <c r="H12" s="78"/>
      <c r="I12" s="28"/>
      <c r="M12" s="12">
        <f>3*10000</f>
        <v>30000</v>
      </c>
      <c r="N12" s="93">
        <f>$N$2*(10500+7875)</f>
        <v>36750</v>
      </c>
      <c r="O12" s="12">
        <f t="shared" si="3"/>
        <v>-30000</v>
      </c>
      <c r="Q12" s="28"/>
    </row>
    <row r="13" spans="1:28" s="12" customFormat="1" x14ac:dyDescent="0.25">
      <c r="A13" s="122"/>
      <c r="B13" s="72"/>
      <c r="C13" s="79" t="s">
        <v>35</v>
      </c>
      <c r="D13" s="80">
        <v>1.123</v>
      </c>
      <c r="E13" s="80"/>
      <c r="F13" s="80">
        <v>1.21</v>
      </c>
      <c r="G13" s="80">
        <v>0.4</v>
      </c>
      <c r="H13" s="79"/>
      <c r="I13" s="28"/>
      <c r="Q13" s="28"/>
    </row>
    <row r="14" spans="1:28" s="12" customFormat="1" x14ac:dyDescent="0.25">
      <c r="A14" s="122"/>
      <c r="B14" s="72"/>
      <c r="C14" s="81"/>
      <c r="D14" s="81">
        <f>C2*D13</f>
        <v>2807.5</v>
      </c>
      <c r="E14" s="81" t="s">
        <v>76</v>
      </c>
      <c r="F14" s="78"/>
      <c r="G14" s="81"/>
      <c r="H14" s="82"/>
      <c r="I14" s="28"/>
      <c r="K14" s="96" t="s">
        <v>104</v>
      </c>
      <c r="L14" s="96" t="s">
        <v>106</v>
      </c>
      <c r="M14" s="96" t="s">
        <v>107</v>
      </c>
      <c r="N14" s="96" t="s">
        <v>110</v>
      </c>
      <c r="O14" s="96" t="s">
        <v>105</v>
      </c>
      <c r="Q14" s="28"/>
    </row>
    <row r="15" spans="1:28" x14ac:dyDescent="0.25">
      <c r="B15" s="71"/>
      <c r="C15" s="71"/>
      <c r="D15" s="71"/>
      <c r="E15" s="71"/>
      <c r="F15" s="71"/>
      <c r="G15" s="71"/>
      <c r="H15" s="71"/>
      <c r="K15" s="12" t="str" cm="1">
        <f t="array" ref="K15:K21">solventNpolymerData!C12:C18</f>
        <v>PVK</v>
      </c>
      <c r="L15" s="4" cm="1">
        <f t="array" ref="L15:L21">solventNpolymerData!B12:B18</f>
        <v>5000</v>
      </c>
      <c r="M15" s="4">
        <v>435</v>
      </c>
      <c r="N15" s="92">
        <f>$N$2*1691</f>
        <v>3382</v>
      </c>
      <c r="O15" s="4">
        <f>L15-M15</f>
        <v>4565</v>
      </c>
    </row>
    <row r="16" spans="1:28" ht="15" customHeight="1" x14ac:dyDescent="0.25">
      <c r="A16" s="123" t="s">
        <v>108</v>
      </c>
      <c r="B16" s="85">
        <v>0</v>
      </c>
      <c r="C16" s="17">
        <f>(F16/(D16+F16))*100</f>
        <v>0.25001154719367669</v>
      </c>
      <c r="D16" s="17">
        <f>$D$13*E16</f>
        <v>1684.5</v>
      </c>
      <c r="E16" s="17">
        <v>1500</v>
      </c>
      <c r="F16" s="17">
        <v>4.2220000000000004</v>
      </c>
      <c r="G16" s="71">
        <v>11.32</v>
      </c>
      <c r="H16" s="71"/>
      <c r="K16" s="88" t="str">
        <v>PANI</v>
      </c>
      <c r="L16" s="89">
        <v>5000</v>
      </c>
      <c r="M16" s="90"/>
      <c r="N16" s="92"/>
      <c r="O16" s="89"/>
    </row>
    <row r="17" spans="1:17" x14ac:dyDescent="0.25">
      <c r="A17" s="123"/>
      <c r="B17" s="85"/>
      <c r="C17" s="17" t="e">
        <f t="shared" ref="C17:C22" si="4">(F17/(D17+F17))*100</f>
        <v>#DIV/0!</v>
      </c>
      <c r="D17" s="17">
        <f t="shared" ref="D17:D22" si="5">$D$13*E17</f>
        <v>0</v>
      </c>
      <c r="E17" s="17"/>
      <c r="F17" s="17"/>
      <c r="G17" s="71"/>
      <c r="H17" s="71"/>
      <c r="K17" s="12" t="str">
        <v>PSMS</v>
      </c>
      <c r="L17" s="4">
        <v>250000</v>
      </c>
      <c r="M17" s="4">
        <v>770</v>
      </c>
      <c r="N17" s="92">
        <f>$N$2*540</f>
        <v>1080</v>
      </c>
      <c r="O17" s="4">
        <f>L17-M17</f>
        <v>249230</v>
      </c>
    </row>
    <row r="18" spans="1:17" x14ac:dyDescent="0.25">
      <c r="A18" s="123"/>
      <c r="B18" s="85"/>
      <c r="C18" s="17" t="e">
        <f t="shared" si="4"/>
        <v>#DIV/0!</v>
      </c>
      <c r="D18" s="17">
        <f t="shared" si="5"/>
        <v>0</v>
      </c>
      <c r="E18" s="17"/>
      <c r="F18" s="17"/>
      <c r="G18" s="71"/>
      <c r="H18" s="71"/>
      <c r="K18" s="12" t="str">
        <v>PSB</v>
      </c>
      <c r="L18" s="4">
        <v>1000000</v>
      </c>
      <c r="M18" s="4">
        <v>4100</v>
      </c>
      <c r="N18" s="92">
        <f>$N$2*1850</f>
        <v>3700</v>
      </c>
      <c r="O18" s="4">
        <f>L18-M18</f>
        <v>995900</v>
      </c>
    </row>
    <row r="19" spans="1:17" x14ac:dyDescent="0.25">
      <c r="A19" s="123"/>
      <c r="B19" s="85"/>
      <c r="C19" s="17" t="e">
        <f t="shared" si="4"/>
        <v>#DIV/0!</v>
      </c>
      <c r="D19" s="17">
        <f t="shared" si="5"/>
        <v>0</v>
      </c>
      <c r="E19" s="17"/>
      <c r="F19" s="17"/>
      <c r="G19" s="71"/>
      <c r="H19" s="71"/>
      <c r="K19" s="12" t="str">
        <v>PS</v>
      </c>
      <c r="L19" s="4">
        <v>1000000</v>
      </c>
      <c r="M19" s="4">
        <v>4700</v>
      </c>
      <c r="N19" s="92">
        <f>$N$2*1305</f>
        <v>2610</v>
      </c>
      <c r="O19" s="4">
        <f>L19-M19</f>
        <v>995300</v>
      </c>
    </row>
    <row r="20" spans="1:17" x14ac:dyDescent="0.25">
      <c r="A20" s="123"/>
      <c r="B20" s="85"/>
      <c r="C20" s="17" t="e">
        <f t="shared" si="4"/>
        <v>#DIV/0!</v>
      </c>
      <c r="D20" s="17">
        <f t="shared" si="5"/>
        <v>0</v>
      </c>
      <c r="E20" s="17"/>
      <c r="F20" s="17"/>
      <c r="G20" s="71"/>
      <c r="H20" s="71"/>
      <c r="K20" s="12" t="str">
        <v>PEO</v>
      </c>
      <c r="L20" s="4" t="str">
        <v>?</v>
      </c>
      <c r="M20" s="4">
        <v>170</v>
      </c>
      <c r="N20" s="92"/>
      <c r="O20" s="4" t="s">
        <v>102</v>
      </c>
    </row>
    <row r="21" spans="1:17" x14ac:dyDescent="0.25">
      <c r="A21" s="123"/>
      <c r="B21" s="85"/>
      <c r="C21" s="17" t="e">
        <f t="shared" si="4"/>
        <v>#DIV/0!</v>
      </c>
      <c r="D21" s="17">
        <f t="shared" si="5"/>
        <v>0</v>
      </c>
      <c r="E21" s="17"/>
      <c r="F21" s="17"/>
      <c r="G21" s="71"/>
      <c r="H21" s="71"/>
      <c r="K21" s="12" t="str">
        <v>TBT</v>
      </c>
      <c r="L21" s="4" t="str">
        <v>?</v>
      </c>
      <c r="M21" s="4">
        <v>170</v>
      </c>
      <c r="N21" s="92"/>
      <c r="O21" s="4" t="s">
        <v>102</v>
      </c>
    </row>
    <row r="22" spans="1:17" x14ac:dyDescent="0.25">
      <c r="A22" s="123"/>
      <c r="B22" s="85"/>
      <c r="C22" s="17" t="e">
        <f t="shared" si="4"/>
        <v>#DIV/0!</v>
      </c>
      <c r="D22" s="17">
        <f t="shared" si="5"/>
        <v>0</v>
      </c>
      <c r="E22" s="17"/>
      <c r="F22" s="17"/>
      <c r="G22" s="71"/>
      <c r="H22" s="71"/>
      <c r="K22" s="12"/>
    </row>
    <row r="23" spans="1:17" x14ac:dyDescent="0.25">
      <c r="B23" s="71"/>
      <c r="C23" s="17"/>
      <c r="D23" s="17"/>
      <c r="E23" s="17"/>
      <c r="F23" s="17"/>
      <c r="G23" s="71"/>
      <c r="H23" s="71"/>
      <c r="K23"/>
      <c r="N23" s="4"/>
    </row>
    <row r="24" spans="1:17" x14ac:dyDescent="0.25">
      <c r="B24" s="71"/>
      <c r="C24" s="71"/>
      <c r="D24" s="71"/>
      <c r="E24" s="71"/>
      <c r="F24" s="71"/>
      <c r="G24" s="71"/>
      <c r="H24" s="71"/>
      <c r="K24"/>
    </row>
    <row r="25" spans="1:17" s="5" customFormat="1" x14ac:dyDescent="0.25">
      <c r="A25" s="122" t="s">
        <v>96</v>
      </c>
      <c r="B25" s="44"/>
      <c r="C25" s="24" t="s">
        <v>83</v>
      </c>
      <c r="D25" s="5" t="s">
        <v>66</v>
      </c>
      <c r="E25" s="5" t="s">
        <v>91</v>
      </c>
      <c r="F25" s="5" t="s">
        <v>67</v>
      </c>
      <c r="I25" s="29"/>
      <c r="Q25" s="29"/>
    </row>
    <row r="26" spans="1:17" x14ac:dyDescent="0.25">
      <c r="A26" s="122"/>
      <c r="B26" s="44"/>
      <c r="C26" s="14">
        <v>0.1</v>
      </c>
      <c r="D26" s="17">
        <f>E26*$D$35</f>
        <v>2220</v>
      </c>
      <c r="E26" s="98">
        <f>$C$2</f>
        <v>2500</v>
      </c>
      <c r="F26" s="17">
        <f>(D26*C26)/(100-C26)</f>
        <v>2.2222222222222219</v>
      </c>
      <c r="H26" s="17"/>
    </row>
    <row r="27" spans="1:17" x14ac:dyDescent="0.25">
      <c r="A27" s="122"/>
      <c r="B27" s="44"/>
      <c r="C27" s="14">
        <v>0.34</v>
      </c>
      <c r="D27" s="17">
        <f t="shared" ref="D27:D32" si="6">E27*$D$35</f>
        <v>2220</v>
      </c>
      <c r="E27" s="98">
        <f t="shared" ref="E27:E32" si="7">$C$2</f>
        <v>2500</v>
      </c>
      <c r="F27" s="17">
        <f>(D27*C27)/(100-C27)</f>
        <v>7.5737507525587002</v>
      </c>
      <c r="H27" s="17"/>
    </row>
    <row r="28" spans="1:17" x14ac:dyDescent="0.25">
      <c r="A28" s="122"/>
      <c r="B28" s="44"/>
      <c r="C28" s="14">
        <v>1.22</v>
      </c>
      <c r="D28" s="17">
        <f t="shared" si="6"/>
        <v>2220</v>
      </c>
      <c r="E28" s="98">
        <f t="shared" si="7"/>
        <v>2500</v>
      </c>
      <c r="F28" s="17">
        <f>(D28*C28)/(100-C28)</f>
        <v>27.418505770398866</v>
      </c>
      <c r="H28" s="17"/>
    </row>
    <row r="29" spans="1:17" x14ac:dyDescent="0.25">
      <c r="A29" s="122"/>
      <c r="B29" s="44"/>
      <c r="C29" s="14">
        <v>4.28</v>
      </c>
      <c r="D29" s="17">
        <f t="shared" si="6"/>
        <v>2220</v>
      </c>
      <c r="E29" s="98">
        <f t="shared" si="7"/>
        <v>2500</v>
      </c>
      <c r="F29" s="17">
        <f>(D29*C29)/(100-C29)</f>
        <v>99.264521521103219</v>
      </c>
      <c r="H29" s="17"/>
    </row>
    <row r="30" spans="1:17" x14ac:dyDescent="0.25">
      <c r="A30" s="122"/>
      <c r="B30" s="44"/>
      <c r="C30" s="104">
        <v>15</v>
      </c>
      <c r="D30" s="105">
        <f t="shared" si="6"/>
        <v>2220</v>
      </c>
      <c r="E30" s="106">
        <f t="shared" si="7"/>
        <v>2500</v>
      </c>
      <c r="F30" s="105">
        <f>(D30*C30)/(100-C30)</f>
        <v>391.76470588235293</v>
      </c>
      <c r="H30" s="17"/>
    </row>
    <row r="31" spans="1:17" x14ac:dyDescent="0.25">
      <c r="A31" s="122"/>
      <c r="B31" s="62"/>
      <c r="C31" s="113">
        <v>21.21</v>
      </c>
      <c r="D31" s="114">
        <f t="shared" si="6"/>
        <v>2220</v>
      </c>
      <c r="E31" s="115">
        <f t="shared" si="7"/>
        <v>2500</v>
      </c>
      <c r="F31" s="114">
        <f t="shared" ref="F31:F32" si="8">(D31*C31)/(100-C31)</f>
        <v>597.61644878791742</v>
      </c>
      <c r="H31" s="17"/>
    </row>
    <row r="32" spans="1:17" x14ac:dyDescent="0.25">
      <c r="A32" s="122"/>
      <c r="B32" s="62"/>
      <c r="C32" s="14">
        <v>30</v>
      </c>
      <c r="D32" s="17">
        <f t="shared" si="6"/>
        <v>2220</v>
      </c>
      <c r="E32" s="98">
        <f t="shared" si="7"/>
        <v>2500</v>
      </c>
      <c r="F32" s="17">
        <f t="shared" si="8"/>
        <v>951.42857142857144</v>
      </c>
      <c r="H32" s="17"/>
    </row>
    <row r="33" spans="1:8" x14ac:dyDescent="0.25">
      <c r="A33" s="122"/>
      <c r="B33" s="62"/>
      <c r="C33" s="14"/>
      <c r="D33" s="17"/>
      <c r="E33" s="17"/>
      <c r="F33" s="17"/>
      <c r="H33" s="17"/>
    </row>
    <row r="34" spans="1:8" x14ac:dyDescent="0.25">
      <c r="A34" s="122"/>
      <c r="B34" s="44"/>
    </row>
    <row r="35" spans="1:8" x14ac:dyDescent="0.25">
      <c r="A35" s="122"/>
      <c r="B35" s="44"/>
      <c r="C35" s="36" t="s">
        <v>35</v>
      </c>
      <c r="D35" s="37">
        <v>0.88800000000000001</v>
      </c>
      <c r="E35" s="37"/>
      <c r="F35" s="37">
        <v>1.06</v>
      </c>
      <c r="G35" s="37"/>
      <c r="H35" s="15"/>
    </row>
    <row r="36" spans="1:8" x14ac:dyDescent="0.25">
      <c r="A36" s="57"/>
      <c r="B36" s="57"/>
      <c r="D36" s="15">
        <f>C2*D35</f>
        <v>2220</v>
      </c>
      <c r="E36" s="15" t="s">
        <v>76</v>
      </c>
    </row>
    <row r="37" spans="1:8" x14ac:dyDescent="0.25">
      <c r="A37" s="34"/>
      <c r="B37" s="34"/>
    </row>
    <row r="38" spans="1:8" x14ac:dyDescent="0.25">
      <c r="A38" s="123" t="s">
        <v>109</v>
      </c>
      <c r="B38" s="34">
        <v>1</v>
      </c>
      <c r="C38" s="17">
        <f t="shared" ref="C38:C39" si="9">(F38/(D38+F38))*100</f>
        <v>15.000009572070994</v>
      </c>
      <c r="D38" s="17">
        <f t="shared" ref="D38:D39" si="10">$D$35*E38</f>
        <v>1332</v>
      </c>
      <c r="E38" s="4">
        <v>1500</v>
      </c>
      <c r="F38" s="4">
        <v>235.059</v>
      </c>
    </row>
    <row r="39" spans="1:8" x14ac:dyDescent="0.25">
      <c r="A39" s="123"/>
      <c r="B39" s="34">
        <v>2</v>
      </c>
      <c r="C39" s="17">
        <f t="shared" si="9"/>
        <v>21.210006092619651</v>
      </c>
      <c r="D39" s="17">
        <f t="shared" si="10"/>
        <v>1332</v>
      </c>
      <c r="E39" s="4">
        <v>1500</v>
      </c>
      <c r="F39" s="4">
        <v>358.57</v>
      </c>
    </row>
    <row r="40" spans="1:8" ht="15" customHeight="1" x14ac:dyDescent="0.25">
      <c r="A40" s="123"/>
      <c r="B40" s="58"/>
      <c r="C40" s="17" t="e">
        <f>(F40/(D40+F40))*100</f>
        <v>#DIV/0!</v>
      </c>
      <c r="D40" s="17">
        <f>$D$35*E40</f>
        <v>0</v>
      </c>
      <c r="E40" s="17"/>
      <c r="F40" s="17"/>
      <c r="G40" s="17"/>
      <c r="H40" s="17"/>
    </row>
    <row r="41" spans="1:8" x14ac:dyDescent="0.25">
      <c r="A41" s="123"/>
      <c r="B41" s="58"/>
      <c r="C41" s="17" t="e">
        <f t="shared" ref="C41:C44" si="11">(F41/(D41+F41))*100</f>
        <v>#DIV/0!</v>
      </c>
      <c r="D41" s="17">
        <f t="shared" ref="D41:D44" si="12">$D$35*E41</f>
        <v>0</v>
      </c>
      <c r="E41" s="17"/>
      <c r="F41" s="17"/>
      <c r="G41" s="17"/>
      <c r="H41" s="17"/>
    </row>
    <row r="42" spans="1:8" x14ac:dyDescent="0.25">
      <c r="A42" s="123"/>
      <c r="B42" s="58"/>
      <c r="C42" s="17" t="e">
        <f t="shared" si="11"/>
        <v>#DIV/0!</v>
      </c>
      <c r="D42" s="17">
        <f t="shared" si="12"/>
        <v>0</v>
      </c>
      <c r="E42" s="17"/>
      <c r="F42" s="17"/>
      <c r="G42" s="17"/>
      <c r="H42" s="17"/>
    </row>
    <row r="43" spans="1:8" x14ac:dyDescent="0.25">
      <c r="A43" s="123"/>
      <c r="B43" s="58"/>
      <c r="C43" s="17" t="e">
        <f t="shared" si="11"/>
        <v>#DIV/0!</v>
      </c>
      <c r="D43" s="17">
        <f t="shared" si="12"/>
        <v>0</v>
      </c>
      <c r="E43" s="17"/>
      <c r="F43" s="17"/>
      <c r="G43" s="17"/>
      <c r="H43" s="17"/>
    </row>
    <row r="44" spans="1:8" x14ac:dyDescent="0.25">
      <c r="A44" s="123"/>
      <c r="B44" s="58"/>
      <c r="C44" s="17" t="e">
        <f t="shared" si="11"/>
        <v>#DIV/0!</v>
      </c>
      <c r="D44" s="17">
        <f t="shared" si="12"/>
        <v>0</v>
      </c>
      <c r="E44" s="17"/>
      <c r="F44" s="17"/>
      <c r="G44" s="17"/>
      <c r="H44" s="17"/>
    </row>
    <row r="45" spans="1:8" hidden="1" x14ac:dyDescent="0.25">
      <c r="A45" s="34"/>
      <c r="B45" s="34"/>
    </row>
    <row r="46" spans="1:8" ht="15" hidden="1" customHeight="1" x14ac:dyDescent="0.25">
      <c r="A46" s="123" t="s">
        <v>100</v>
      </c>
      <c r="B46" s="47">
        <v>0</v>
      </c>
      <c r="C46" s="17">
        <f>(F46/(D46+F46))*100</f>
        <v>19.752993448301833</v>
      </c>
      <c r="D46" s="17">
        <f>$D$35*E46</f>
        <v>2131.1999999999998</v>
      </c>
      <c r="E46" s="17">
        <v>2400</v>
      </c>
      <c r="F46" s="17">
        <v>524.6</v>
      </c>
      <c r="G46" s="17"/>
      <c r="H46" s="17"/>
    </row>
    <row r="47" spans="1:8" hidden="1" x14ac:dyDescent="0.25">
      <c r="A47" s="123"/>
      <c r="B47" s="47">
        <v>1</v>
      </c>
      <c r="C47" s="17">
        <f t="shared" ref="C47:C50" si="13">(F47/(D47+F47))*100</f>
        <v>25.221052631578942</v>
      </c>
      <c r="D47" s="17">
        <f t="shared" ref="D47:D50" si="14">$D$35*E47</f>
        <v>1953.6000000000001</v>
      </c>
      <c r="E47" s="17">
        <v>2200</v>
      </c>
      <c r="F47" s="17">
        <v>658.9</v>
      </c>
      <c r="G47" s="17"/>
      <c r="H47" s="17"/>
    </row>
    <row r="48" spans="1:8" hidden="1" x14ac:dyDescent="0.25">
      <c r="A48" s="123"/>
      <c r="B48" s="47">
        <v>2</v>
      </c>
      <c r="C48" s="17">
        <f t="shared" si="13"/>
        <v>30.222637979420021</v>
      </c>
      <c r="D48" s="17">
        <f t="shared" si="14"/>
        <v>1864.8</v>
      </c>
      <c r="E48" s="17">
        <v>2100</v>
      </c>
      <c r="F48" s="17">
        <v>807.7</v>
      </c>
      <c r="G48" s="17"/>
      <c r="H48" s="17"/>
    </row>
    <row r="49" spans="1:17" hidden="1" x14ac:dyDescent="0.25">
      <c r="A49" s="123"/>
      <c r="B49" s="47">
        <v>3</v>
      </c>
      <c r="C49" s="17">
        <f t="shared" si="13"/>
        <v>35.583384239462433</v>
      </c>
      <c r="D49" s="17">
        <f t="shared" si="14"/>
        <v>1687.2</v>
      </c>
      <c r="E49" s="17">
        <v>1900</v>
      </c>
      <c r="F49" s="17">
        <v>932</v>
      </c>
      <c r="G49" s="17"/>
      <c r="H49" s="17"/>
    </row>
    <row r="50" spans="1:17" hidden="1" x14ac:dyDescent="0.25">
      <c r="A50" s="123"/>
      <c r="B50" s="47">
        <v>4</v>
      </c>
      <c r="C50" s="17">
        <f t="shared" si="13"/>
        <v>39.941384233861875</v>
      </c>
      <c r="D50" s="17">
        <f t="shared" si="14"/>
        <v>1598.4</v>
      </c>
      <c r="E50" s="17">
        <v>1800</v>
      </c>
      <c r="F50" s="17">
        <v>1063</v>
      </c>
      <c r="G50" s="17"/>
      <c r="H50" s="17"/>
    </row>
    <row r="51" spans="1:17" hidden="1" x14ac:dyDescent="0.25">
      <c r="A51" s="34"/>
      <c r="B51" s="34"/>
    </row>
    <row r="52" spans="1:17" ht="15" hidden="1" customHeight="1" x14ac:dyDescent="0.25">
      <c r="A52" s="123" t="s">
        <v>97</v>
      </c>
      <c r="B52" s="47">
        <v>0</v>
      </c>
      <c r="C52" s="17">
        <f>(F52/(D52+F52))*100</f>
        <v>0.25833988543187686</v>
      </c>
      <c r="D52" s="17">
        <f>$D$35*E52</f>
        <v>1776</v>
      </c>
      <c r="E52" s="17">
        <v>2000</v>
      </c>
      <c r="F52" s="17">
        <v>4.5999999999999996</v>
      </c>
      <c r="G52" s="17"/>
      <c r="H52" s="17"/>
    </row>
    <row r="53" spans="1:17" hidden="1" x14ac:dyDescent="0.25">
      <c r="A53" s="123"/>
      <c r="B53" s="47">
        <v>1</v>
      </c>
      <c r="C53" s="17">
        <f t="shared" ref="C53:C56" si="15">(F53/(D53+F53))*100</f>
        <v>4.1635898892360119</v>
      </c>
      <c r="D53" s="17">
        <f t="shared" ref="D53:D56" si="16">$D$35*E53</f>
        <v>1687.2</v>
      </c>
      <c r="E53" s="17">
        <v>1900</v>
      </c>
      <c r="F53" s="17">
        <v>73.3</v>
      </c>
      <c r="G53" s="17"/>
      <c r="H53" s="17"/>
    </row>
    <row r="54" spans="1:17" hidden="1" x14ac:dyDescent="0.25">
      <c r="A54" s="123"/>
      <c r="B54" s="47">
        <v>2</v>
      </c>
      <c r="C54" s="17">
        <f t="shared" si="15"/>
        <v>8.3275980729525099</v>
      </c>
      <c r="D54" s="17">
        <f t="shared" si="16"/>
        <v>1598.4</v>
      </c>
      <c r="E54" s="17">
        <v>1800</v>
      </c>
      <c r="F54" s="17">
        <v>145.19999999999999</v>
      </c>
      <c r="G54" s="17"/>
      <c r="H54" s="17"/>
    </row>
    <row r="55" spans="1:17" hidden="1" x14ac:dyDescent="0.25">
      <c r="A55" s="123"/>
      <c r="B55" s="47">
        <v>3</v>
      </c>
      <c r="C55" s="17">
        <f t="shared" si="15"/>
        <v>11.031949237448513</v>
      </c>
      <c r="D55" s="17">
        <f t="shared" si="16"/>
        <v>1598.4</v>
      </c>
      <c r="E55" s="17">
        <v>1800</v>
      </c>
      <c r="F55" s="17">
        <v>198.2</v>
      </c>
      <c r="G55" s="17"/>
      <c r="H55" s="17"/>
    </row>
    <row r="56" spans="1:17" hidden="1" x14ac:dyDescent="0.25">
      <c r="A56" s="123"/>
      <c r="B56" s="47">
        <v>4</v>
      </c>
      <c r="C56" s="17">
        <f t="shared" si="15"/>
        <v>15.172902080219371</v>
      </c>
      <c r="D56" s="17">
        <f t="shared" si="16"/>
        <v>1509.6</v>
      </c>
      <c r="E56" s="17">
        <v>1700</v>
      </c>
      <c r="F56" s="17">
        <v>270.02</v>
      </c>
      <c r="G56" s="17"/>
      <c r="H56" s="17"/>
    </row>
    <row r="57" spans="1:17" x14ac:dyDescent="0.25">
      <c r="A57" s="35"/>
      <c r="B57" s="35"/>
    </row>
    <row r="58" spans="1:17" s="5" customFormat="1" x14ac:dyDescent="0.25">
      <c r="A58" s="122" t="s">
        <v>96</v>
      </c>
      <c r="B58" s="44"/>
      <c r="C58" s="24" t="s">
        <v>111</v>
      </c>
      <c r="D58" s="16" t="s">
        <v>66</v>
      </c>
      <c r="E58" s="16" t="s">
        <v>91</v>
      </c>
      <c r="F58" s="5" t="s">
        <v>69</v>
      </c>
      <c r="G58" s="5" t="s">
        <v>92</v>
      </c>
      <c r="H58" s="16" t="s">
        <v>68</v>
      </c>
      <c r="I58" s="29"/>
      <c r="Q58" s="29"/>
    </row>
    <row r="59" spans="1:17" x14ac:dyDescent="0.25">
      <c r="A59" s="122"/>
      <c r="B59" s="44"/>
      <c r="C59" s="14">
        <v>0.1</v>
      </c>
      <c r="D59" s="17">
        <f>E59*$D$67</f>
        <v>1665</v>
      </c>
      <c r="E59" s="98">
        <f>$C$2*0.75</f>
        <v>1875</v>
      </c>
      <c r="F59" s="17">
        <f>G59*$F$67</f>
        <v>593.75</v>
      </c>
      <c r="G59" s="98">
        <f>$C$2*0.25</f>
        <v>625</v>
      </c>
      <c r="H59" s="17">
        <f>((D59+F59)*C59)/(100-C59)</f>
        <v>2.2610110110110111</v>
      </c>
    </row>
    <row r="60" spans="1:17" x14ac:dyDescent="0.25">
      <c r="A60" s="122"/>
      <c r="B60" s="44"/>
      <c r="C60" s="14">
        <v>0.34</v>
      </c>
      <c r="D60" s="17">
        <f t="shared" ref="D60:D65" si="17">E60*$D$67</f>
        <v>1665</v>
      </c>
      <c r="E60" s="98">
        <f t="shared" ref="E60:E65" si="18">$C$2*0.75</f>
        <v>1875</v>
      </c>
      <c r="F60" s="17">
        <f t="shared" ref="F60:F65" si="19">G60*$F$67</f>
        <v>593.75</v>
      </c>
      <c r="G60" s="98">
        <f t="shared" ref="G60:G65" si="20">$C$2*0.25</f>
        <v>625</v>
      </c>
      <c r="H60" s="17">
        <f t="shared" ref="H60:H63" si="21">((D60+F60)*C60)/(100-C60)</f>
        <v>7.7059502307846683</v>
      </c>
    </row>
    <row r="61" spans="1:17" x14ac:dyDescent="0.25">
      <c r="A61" s="122"/>
      <c r="B61" s="44"/>
      <c r="C61" s="14">
        <v>1.224</v>
      </c>
      <c r="D61" s="17">
        <f t="shared" si="17"/>
        <v>1665</v>
      </c>
      <c r="E61" s="98">
        <f t="shared" si="18"/>
        <v>1875</v>
      </c>
      <c r="F61" s="17">
        <f t="shared" si="19"/>
        <v>593.75</v>
      </c>
      <c r="G61" s="98">
        <f t="shared" si="20"/>
        <v>625</v>
      </c>
      <c r="H61" s="17">
        <f t="shared" si="21"/>
        <v>27.989693852757757</v>
      </c>
    </row>
    <row r="62" spans="1:17" x14ac:dyDescent="0.25">
      <c r="A62" s="122"/>
      <c r="B62" s="44"/>
      <c r="C62" s="14">
        <v>4.28</v>
      </c>
      <c r="D62" s="17">
        <f t="shared" si="17"/>
        <v>1665</v>
      </c>
      <c r="E62" s="98">
        <f t="shared" si="18"/>
        <v>1875</v>
      </c>
      <c r="F62" s="17">
        <f t="shared" si="19"/>
        <v>593.75</v>
      </c>
      <c r="G62" s="98">
        <f t="shared" si="20"/>
        <v>625</v>
      </c>
      <c r="H62" s="17">
        <f t="shared" si="21"/>
        <v>100.99717927287924</v>
      </c>
    </row>
    <row r="63" spans="1:17" x14ac:dyDescent="0.25">
      <c r="A63" s="122"/>
      <c r="B63" s="44"/>
      <c r="C63" s="107">
        <v>15</v>
      </c>
      <c r="D63" s="108">
        <f t="shared" si="17"/>
        <v>1665</v>
      </c>
      <c r="E63" s="109">
        <f t="shared" si="18"/>
        <v>1875</v>
      </c>
      <c r="F63" s="108">
        <f t="shared" si="19"/>
        <v>593.75</v>
      </c>
      <c r="G63" s="109">
        <f t="shared" si="20"/>
        <v>625</v>
      </c>
      <c r="H63" s="108">
        <f t="shared" si="21"/>
        <v>398.60294117647061</v>
      </c>
    </row>
    <row r="64" spans="1:17" x14ac:dyDescent="0.25">
      <c r="A64" s="122"/>
      <c r="B64" s="62"/>
      <c r="C64" s="110">
        <v>19.36</v>
      </c>
      <c r="D64" s="111">
        <f t="shared" si="17"/>
        <v>1665</v>
      </c>
      <c r="E64" s="112">
        <f t="shared" si="18"/>
        <v>1875</v>
      </c>
      <c r="F64" s="111">
        <f t="shared" si="19"/>
        <v>593.75</v>
      </c>
      <c r="G64" s="112">
        <f t="shared" si="20"/>
        <v>625</v>
      </c>
      <c r="H64" s="111">
        <f t="shared" ref="H64:H65" si="22">((D64+F64)*C64)/(100-C64)</f>
        <v>542.2792658730159</v>
      </c>
    </row>
    <row r="65" spans="1:8" x14ac:dyDescent="0.25">
      <c r="A65" s="122"/>
      <c r="B65" s="62"/>
      <c r="C65" s="14">
        <v>25</v>
      </c>
      <c r="D65" s="17">
        <f t="shared" si="17"/>
        <v>1665</v>
      </c>
      <c r="E65" s="98">
        <f t="shared" si="18"/>
        <v>1875</v>
      </c>
      <c r="F65" s="17">
        <f t="shared" si="19"/>
        <v>593.75</v>
      </c>
      <c r="G65" s="98">
        <f t="shared" si="20"/>
        <v>625</v>
      </c>
      <c r="H65" s="17">
        <f t="shared" si="22"/>
        <v>752.91666666666663</v>
      </c>
    </row>
    <row r="66" spans="1:8" x14ac:dyDescent="0.25">
      <c r="A66" s="122"/>
      <c r="B66" s="44"/>
    </row>
    <row r="67" spans="1:8" x14ac:dyDescent="0.25">
      <c r="A67" s="122"/>
      <c r="B67" s="44"/>
      <c r="C67" s="36" t="s">
        <v>35</v>
      </c>
      <c r="D67" s="37">
        <v>0.88800000000000001</v>
      </c>
      <c r="E67" s="37"/>
      <c r="F67" s="37">
        <v>0.95</v>
      </c>
      <c r="G67" s="17"/>
      <c r="H67" s="37">
        <v>1.04</v>
      </c>
    </row>
    <row r="68" spans="1:8" x14ac:dyDescent="0.25">
      <c r="A68" s="44"/>
      <c r="B68" s="44"/>
      <c r="C68" s="15"/>
      <c r="D68" s="15">
        <f>C2*((D67*0.75)+(F67*0.25))</f>
        <v>2258.75</v>
      </c>
      <c r="E68" s="15" t="s">
        <v>76</v>
      </c>
      <c r="F68" s="15"/>
      <c r="G68" s="15"/>
      <c r="H68" s="15"/>
    </row>
    <row r="70" spans="1:8" x14ac:dyDescent="0.25">
      <c r="A70" s="123" t="s">
        <v>109</v>
      </c>
      <c r="B70" s="87">
        <v>4</v>
      </c>
      <c r="C70" s="17">
        <f t="shared" ref="C70:C71" si="23">(H70/(D70+F70+H70))*100</f>
        <v>15.000012543809255</v>
      </c>
      <c r="D70" s="17">
        <f t="shared" ref="D70:D71" si="24">$D$67*E70</f>
        <v>999</v>
      </c>
      <c r="E70" s="17">
        <v>1125</v>
      </c>
      <c r="F70" s="17">
        <f t="shared" ref="F70:F71" si="25">$F$67*G70</f>
        <v>356.25</v>
      </c>
      <c r="G70" s="17">
        <v>375</v>
      </c>
      <c r="H70" s="17">
        <v>239.16200000000001</v>
      </c>
    </row>
    <row r="71" spans="1:8" x14ac:dyDescent="0.25">
      <c r="A71" s="123"/>
      <c r="B71" s="87">
        <v>5</v>
      </c>
      <c r="C71" s="17">
        <f t="shared" si="23"/>
        <v>19.360021135082452</v>
      </c>
      <c r="D71" s="17">
        <f t="shared" si="24"/>
        <v>999</v>
      </c>
      <c r="E71" s="17">
        <v>1125</v>
      </c>
      <c r="F71" s="17">
        <f t="shared" si="25"/>
        <v>356.25</v>
      </c>
      <c r="G71" s="17">
        <v>375</v>
      </c>
      <c r="H71" s="17">
        <v>325.36799999999999</v>
      </c>
    </row>
    <row r="72" spans="1:8" ht="15" customHeight="1" x14ac:dyDescent="0.25">
      <c r="A72" s="123"/>
      <c r="B72" s="58"/>
      <c r="C72" s="17" t="e">
        <f>(H72/(D72+F72+H72))*100</f>
        <v>#DIV/0!</v>
      </c>
      <c r="D72" s="17">
        <f>$D$67*E72</f>
        <v>0</v>
      </c>
      <c r="E72" s="17"/>
      <c r="F72" s="17">
        <f>$F$67*G72</f>
        <v>0</v>
      </c>
      <c r="G72" s="17"/>
      <c r="H72" s="17"/>
    </row>
    <row r="73" spans="1:8" x14ac:dyDescent="0.25">
      <c r="A73" s="123"/>
      <c r="B73" s="59"/>
      <c r="C73" s="17" t="e">
        <f t="shared" ref="C73:C76" si="26">(H73/(D73+F73+H73))*100</f>
        <v>#DIV/0!</v>
      </c>
      <c r="D73" s="17">
        <f t="shared" ref="D73:D76" si="27">$D$67*E73</f>
        <v>0</v>
      </c>
      <c r="E73" s="17"/>
      <c r="F73" s="17">
        <f t="shared" ref="F73:F76" si="28">$F$67*G73</f>
        <v>0</v>
      </c>
      <c r="G73" s="17"/>
      <c r="H73" s="17"/>
    </row>
    <row r="74" spans="1:8" x14ac:dyDescent="0.25">
      <c r="A74" s="123"/>
      <c r="B74" s="59"/>
      <c r="C74" s="17" t="e">
        <f t="shared" si="26"/>
        <v>#DIV/0!</v>
      </c>
      <c r="D74" s="17">
        <f t="shared" si="27"/>
        <v>0</v>
      </c>
      <c r="E74" s="17"/>
      <c r="F74" s="17">
        <f t="shared" si="28"/>
        <v>0</v>
      </c>
      <c r="G74" s="17"/>
      <c r="H74" s="17"/>
    </row>
    <row r="75" spans="1:8" x14ac:dyDescent="0.25">
      <c r="A75" s="123"/>
      <c r="B75" s="59"/>
      <c r="C75" s="17" t="e">
        <f t="shared" si="26"/>
        <v>#DIV/0!</v>
      </c>
      <c r="D75" s="17">
        <f t="shared" si="27"/>
        <v>0</v>
      </c>
      <c r="E75" s="17"/>
      <c r="F75" s="17">
        <f t="shared" si="28"/>
        <v>0</v>
      </c>
      <c r="G75" s="17"/>
      <c r="H75" s="17"/>
    </row>
    <row r="76" spans="1:8" x14ac:dyDescent="0.25">
      <c r="A76" s="123"/>
      <c r="B76" s="59"/>
      <c r="C76" s="17" t="e">
        <f t="shared" si="26"/>
        <v>#DIV/0!</v>
      </c>
      <c r="D76" s="17">
        <f t="shared" si="27"/>
        <v>0</v>
      </c>
      <c r="E76" s="17"/>
      <c r="F76" s="17">
        <f t="shared" si="28"/>
        <v>0</v>
      </c>
      <c r="G76" s="17"/>
      <c r="H76" s="17"/>
    </row>
    <row r="78" spans="1:8" hidden="1" x14ac:dyDescent="0.25">
      <c r="A78" s="123" t="s">
        <v>100</v>
      </c>
      <c r="B78" s="47">
        <v>5</v>
      </c>
      <c r="C78" s="17">
        <f>(H78/(D78+F78+H78))*100</f>
        <v>9.2846497764530547</v>
      </c>
      <c r="D78" s="17">
        <f>$D$67*E78</f>
        <v>1864.8</v>
      </c>
      <c r="E78" s="17">
        <v>2100</v>
      </c>
      <c r="F78" s="17">
        <f>$F$67*G78</f>
        <v>570</v>
      </c>
      <c r="G78" s="17">
        <v>600</v>
      </c>
      <c r="H78" s="17">
        <v>249.2</v>
      </c>
    </row>
    <row r="79" spans="1:8" hidden="1" x14ac:dyDescent="0.25">
      <c r="A79" s="124"/>
      <c r="B79" s="48">
        <v>6</v>
      </c>
      <c r="C79" s="17">
        <f t="shared" ref="C79:C82" si="29">(H79/(D79+F79+H79))*100</f>
        <v>13.75317083930738</v>
      </c>
      <c r="D79" s="17">
        <f t="shared" ref="D79:D82" si="30">$D$67*E79</f>
        <v>1776</v>
      </c>
      <c r="E79" s="17">
        <v>2000</v>
      </c>
      <c r="F79" s="17">
        <f t="shared" ref="F79:F82" si="31">$F$67*G79</f>
        <v>570</v>
      </c>
      <c r="G79" s="17">
        <v>600</v>
      </c>
      <c r="H79" s="17">
        <v>374.1</v>
      </c>
    </row>
    <row r="80" spans="1:8" hidden="1" x14ac:dyDescent="0.25">
      <c r="A80" s="124"/>
      <c r="B80" s="48">
        <v>7</v>
      </c>
      <c r="C80" s="17">
        <f t="shared" si="29"/>
        <v>19.465181058495823</v>
      </c>
      <c r="D80" s="17">
        <f t="shared" si="30"/>
        <v>1598.4</v>
      </c>
      <c r="E80" s="17">
        <v>1800</v>
      </c>
      <c r="F80" s="17">
        <f t="shared" si="31"/>
        <v>570</v>
      </c>
      <c r="G80" s="17">
        <v>600</v>
      </c>
      <c r="H80" s="17">
        <v>524.1</v>
      </c>
    </row>
    <row r="81" spans="1:17" hidden="1" x14ac:dyDescent="0.25">
      <c r="A81" s="124"/>
      <c r="B81" s="48">
        <v>8</v>
      </c>
      <c r="C81" s="17">
        <f t="shared" si="29"/>
        <v>24.788721719028313</v>
      </c>
      <c r="D81" s="17">
        <f t="shared" si="30"/>
        <v>1509.6</v>
      </c>
      <c r="E81" s="17">
        <v>1700</v>
      </c>
      <c r="F81" s="17">
        <f t="shared" si="31"/>
        <v>475</v>
      </c>
      <c r="G81" s="17">
        <v>500</v>
      </c>
      <c r="H81" s="17">
        <v>654.1</v>
      </c>
    </row>
    <row r="82" spans="1:17" hidden="1" x14ac:dyDescent="0.25">
      <c r="A82" s="124"/>
      <c r="B82" s="48">
        <v>9</v>
      </c>
      <c r="C82" s="17">
        <f t="shared" si="29"/>
        <v>29.406524885870166</v>
      </c>
      <c r="D82" s="17">
        <f t="shared" si="30"/>
        <v>1332</v>
      </c>
      <c r="E82" s="17">
        <v>1500</v>
      </c>
      <c r="F82" s="17">
        <f t="shared" si="31"/>
        <v>570</v>
      </c>
      <c r="G82" s="17">
        <v>600</v>
      </c>
      <c r="H82" s="17">
        <v>792.3</v>
      </c>
    </row>
    <row r="83" spans="1:17" hidden="1" x14ac:dyDescent="0.25"/>
    <row r="84" spans="1:17" hidden="1" x14ac:dyDescent="0.25">
      <c r="A84" s="123" t="s">
        <v>97</v>
      </c>
      <c r="B84" s="47">
        <v>5</v>
      </c>
      <c r="C84" s="17">
        <f>(H84/(D84+F84+H84))*100</f>
        <v>1.4023026136301631</v>
      </c>
      <c r="D84" s="17">
        <f>$D$67*E84</f>
        <v>1332</v>
      </c>
      <c r="E84" s="17">
        <v>1500</v>
      </c>
      <c r="F84" s="17">
        <f>$F$67*G84</f>
        <v>475</v>
      </c>
      <c r="G84" s="17">
        <v>500</v>
      </c>
      <c r="H84" s="17">
        <v>25.7</v>
      </c>
    </row>
    <row r="85" spans="1:17" hidden="1" x14ac:dyDescent="0.25">
      <c r="A85" s="124"/>
      <c r="B85" s="48">
        <v>6</v>
      </c>
      <c r="C85" s="17">
        <f t="shared" ref="C85:C88" si="32">(H85/(D85+F85+H85))*100</f>
        <v>3.8727524204702628</v>
      </c>
      <c r="D85" s="17">
        <f t="shared" ref="D85:D88" si="33">$D$67*E85</f>
        <v>1332</v>
      </c>
      <c r="E85" s="17">
        <v>1500</v>
      </c>
      <c r="F85" s="17">
        <f t="shared" ref="F85:F88" si="34">$F$67*G85</f>
        <v>475</v>
      </c>
      <c r="G85" s="17">
        <v>500</v>
      </c>
      <c r="H85" s="17">
        <v>72.8</v>
      </c>
    </row>
    <row r="86" spans="1:17" hidden="1" x14ac:dyDescent="0.25">
      <c r="A86" s="124"/>
      <c r="B86" s="48">
        <v>7</v>
      </c>
      <c r="C86" s="17">
        <f t="shared" si="32"/>
        <v>27.189116689020885</v>
      </c>
      <c r="D86" s="17">
        <f>$D$67*G67</f>
        <v>0</v>
      </c>
      <c r="E86" s="17">
        <v>1400</v>
      </c>
      <c r="F86" s="17">
        <f t="shared" si="34"/>
        <v>380</v>
      </c>
      <c r="G86" s="17">
        <v>400</v>
      </c>
      <c r="H86" s="17">
        <v>141.9</v>
      </c>
    </row>
    <row r="87" spans="1:17" hidden="1" x14ac:dyDescent="0.25">
      <c r="A87" s="124"/>
      <c r="B87" s="48">
        <v>8</v>
      </c>
      <c r="C87" s="17">
        <f t="shared" si="32"/>
        <v>11.750158164145628</v>
      </c>
      <c r="D87" s="17">
        <f t="shared" si="33"/>
        <v>1154.4000000000001</v>
      </c>
      <c r="E87" s="17">
        <v>1300</v>
      </c>
      <c r="F87" s="17">
        <f t="shared" si="34"/>
        <v>380</v>
      </c>
      <c r="G87" s="17">
        <v>400</v>
      </c>
      <c r="H87" s="17">
        <v>204.3</v>
      </c>
    </row>
    <row r="88" spans="1:17" hidden="1" x14ac:dyDescent="0.25">
      <c r="A88" s="124"/>
      <c r="B88" s="48">
        <v>9</v>
      </c>
      <c r="C88" s="17">
        <f t="shared" si="32"/>
        <v>14.646492740724259</v>
      </c>
      <c r="D88" s="17">
        <f t="shared" si="33"/>
        <v>1154.4000000000001</v>
      </c>
      <c r="E88" s="17">
        <v>1300</v>
      </c>
      <c r="F88" s="17">
        <f t="shared" si="34"/>
        <v>380</v>
      </c>
      <c r="G88" s="17">
        <v>400</v>
      </c>
      <c r="H88" s="17">
        <v>263.3</v>
      </c>
    </row>
    <row r="89" spans="1:17" hidden="1" x14ac:dyDescent="0.25"/>
    <row r="90" spans="1:17" s="5" customFormat="1" x14ac:dyDescent="0.25">
      <c r="A90" s="122" t="s">
        <v>96</v>
      </c>
      <c r="B90" s="44"/>
      <c r="C90" s="24" t="s">
        <v>84</v>
      </c>
      <c r="D90" s="5" t="s">
        <v>73</v>
      </c>
      <c r="E90" s="5" t="s">
        <v>93</v>
      </c>
      <c r="F90" s="16" t="s">
        <v>68</v>
      </c>
      <c r="G90" s="16"/>
      <c r="I90" s="29"/>
      <c r="Q90" s="29"/>
    </row>
    <row r="91" spans="1:17" x14ac:dyDescent="0.25">
      <c r="A91" s="122"/>
      <c r="B91" s="44"/>
      <c r="C91" s="14">
        <v>0.1</v>
      </c>
      <c r="D91" s="17">
        <f>E91*$D$98</f>
        <v>2567.5</v>
      </c>
      <c r="E91" s="98">
        <f>$C$2</f>
        <v>2500</v>
      </c>
      <c r="F91" s="17">
        <f>(D91*C91)/(100-C91)</f>
        <v>2.57007007007007</v>
      </c>
      <c r="G91" s="17"/>
      <c r="H91" s="17"/>
    </row>
    <row r="92" spans="1:17" x14ac:dyDescent="0.25">
      <c r="A92" s="122"/>
      <c r="B92" s="44"/>
      <c r="C92" s="14">
        <v>0.43</v>
      </c>
      <c r="D92" s="17">
        <f t="shared" ref="D92:D96" si="35">E92*$D$98</f>
        <v>2567.5</v>
      </c>
      <c r="E92" s="98">
        <f t="shared" ref="E92:E96" si="36">$C$2</f>
        <v>2500</v>
      </c>
      <c r="F92" s="17">
        <f t="shared" ref="F92:F95" si="37">(D92*C92)/(100-C92)</f>
        <v>11.087928090790401</v>
      </c>
      <c r="G92" s="17"/>
      <c r="H92" s="17"/>
    </row>
    <row r="93" spans="1:17" x14ac:dyDescent="0.25">
      <c r="A93" s="122"/>
      <c r="B93" s="44"/>
      <c r="C93" s="14">
        <v>1.85</v>
      </c>
      <c r="D93" s="17">
        <f t="shared" si="35"/>
        <v>2567.5</v>
      </c>
      <c r="E93" s="98">
        <f t="shared" si="36"/>
        <v>2500</v>
      </c>
      <c r="F93" s="17">
        <f t="shared" si="37"/>
        <v>48.394039735099334</v>
      </c>
      <c r="G93" s="17"/>
      <c r="H93" s="17"/>
    </row>
    <row r="94" spans="1:17" x14ac:dyDescent="0.25">
      <c r="A94" s="122"/>
      <c r="B94" s="44"/>
      <c r="C94" s="107">
        <v>8</v>
      </c>
      <c r="D94" s="108">
        <f t="shared" si="35"/>
        <v>2567.5</v>
      </c>
      <c r="E94" s="109">
        <f t="shared" si="36"/>
        <v>2500</v>
      </c>
      <c r="F94" s="108">
        <f t="shared" si="37"/>
        <v>223.2608695652174</v>
      </c>
      <c r="G94" s="17"/>
      <c r="H94" s="17"/>
    </row>
    <row r="95" spans="1:17" x14ac:dyDescent="0.25">
      <c r="A95" s="122"/>
      <c r="B95" s="44"/>
      <c r="C95" s="110">
        <v>10.95</v>
      </c>
      <c r="D95" s="111">
        <f t="shared" si="35"/>
        <v>2567.5</v>
      </c>
      <c r="E95" s="112">
        <f t="shared" si="36"/>
        <v>2500</v>
      </c>
      <c r="F95" s="111">
        <f t="shared" si="37"/>
        <v>315.71167883211677</v>
      </c>
      <c r="G95" s="17"/>
      <c r="H95" s="17"/>
    </row>
    <row r="96" spans="1:17" x14ac:dyDescent="0.25">
      <c r="A96" s="122"/>
      <c r="B96" s="62"/>
      <c r="C96" s="14">
        <v>15</v>
      </c>
      <c r="D96" s="17">
        <f t="shared" si="35"/>
        <v>2567.5</v>
      </c>
      <c r="E96" s="98">
        <f t="shared" si="36"/>
        <v>2500</v>
      </c>
      <c r="F96" s="17">
        <f t="shared" ref="F96" si="38">(D96*C96)/(100-C96)</f>
        <v>453.08823529411762</v>
      </c>
      <c r="G96" s="17"/>
      <c r="H96" s="17"/>
    </row>
    <row r="97" spans="1:8" x14ac:dyDescent="0.25">
      <c r="A97" s="122"/>
      <c r="B97" s="44"/>
    </row>
    <row r="98" spans="1:8" x14ac:dyDescent="0.25">
      <c r="A98" s="122"/>
      <c r="B98" s="44"/>
      <c r="C98" s="36" t="s">
        <v>35</v>
      </c>
      <c r="D98" s="15">
        <v>1.0269999999999999</v>
      </c>
      <c r="E98" s="15"/>
      <c r="F98" s="37">
        <v>1.04</v>
      </c>
      <c r="G98" s="37"/>
      <c r="H98" s="15"/>
    </row>
    <row r="99" spans="1:8" x14ac:dyDescent="0.25">
      <c r="A99" s="44"/>
      <c r="B99" s="44"/>
      <c r="C99" s="15"/>
      <c r="D99" s="15">
        <f>C2*D98</f>
        <v>2567.5</v>
      </c>
      <c r="E99" s="15" t="s">
        <v>76</v>
      </c>
      <c r="F99" s="15"/>
      <c r="G99" s="15"/>
      <c r="H99" s="15"/>
    </row>
    <row r="100" spans="1:8" x14ac:dyDescent="0.25">
      <c r="A100" s="41"/>
      <c r="B100" s="41"/>
      <c r="C100" s="33"/>
      <c r="D100" s="6"/>
      <c r="E100" s="6"/>
      <c r="F100" s="6"/>
      <c r="G100" s="6"/>
      <c r="H100" s="6"/>
    </row>
    <row r="101" spans="1:8" x14ac:dyDescent="0.25">
      <c r="A101" s="126" t="s">
        <v>109</v>
      </c>
      <c r="B101" s="61">
        <v>6</v>
      </c>
      <c r="C101" s="42">
        <f t="shared" ref="C101" si="39">(F101/(D101+F101))*100</f>
        <v>8.0000262771752269</v>
      </c>
      <c r="D101" s="43">
        <f t="shared" ref="D101" si="40">$D$98*E101</f>
        <v>1540.4999999999998</v>
      </c>
      <c r="E101" s="43">
        <v>1500</v>
      </c>
      <c r="F101" s="43">
        <v>133.95699999999999</v>
      </c>
      <c r="G101" s="6"/>
      <c r="H101" s="6"/>
    </row>
    <row r="102" spans="1:8" ht="15" customHeight="1" x14ac:dyDescent="0.25">
      <c r="A102" s="126"/>
      <c r="B102" s="60">
        <v>7</v>
      </c>
      <c r="C102" s="42">
        <f>(F102/(D102+F102))*100</f>
        <v>10.949999624261604</v>
      </c>
      <c r="D102" s="43">
        <f>$D$98*E102</f>
        <v>1540.4999999999998</v>
      </c>
      <c r="E102" s="43">
        <v>1500</v>
      </c>
      <c r="F102" s="43">
        <v>189.42699999999999</v>
      </c>
      <c r="G102" s="43"/>
      <c r="H102" s="43"/>
    </row>
    <row r="103" spans="1:8" x14ac:dyDescent="0.25">
      <c r="A103" s="126"/>
      <c r="B103" s="61"/>
      <c r="C103" s="42" t="e">
        <f t="shared" ref="C103:C106" si="41">(F103/(D103+F103))*100</f>
        <v>#DIV/0!</v>
      </c>
      <c r="D103" s="43">
        <f t="shared" ref="D103:D106" si="42">$D$98*E103</f>
        <v>0</v>
      </c>
      <c r="E103" s="43"/>
      <c r="F103" s="43"/>
      <c r="G103" s="43"/>
      <c r="H103" s="43"/>
    </row>
    <row r="104" spans="1:8" x14ac:dyDescent="0.25">
      <c r="A104" s="126"/>
      <c r="B104" s="61"/>
      <c r="C104" s="42" t="e">
        <f t="shared" si="41"/>
        <v>#DIV/0!</v>
      </c>
      <c r="D104" s="43">
        <f t="shared" si="42"/>
        <v>0</v>
      </c>
      <c r="E104" s="43"/>
      <c r="F104" s="43"/>
      <c r="G104" s="43"/>
      <c r="H104" s="43"/>
    </row>
    <row r="105" spans="1:8" x14ac:dyDescent="0.25">
      <c r="A105" s="126"/>
      <c r="B105" s="61"/>
      <c r="C105" s="42" t="e">
        <f t="shared" si="41"/>
        <v>#DIV/0!</v>
      </c>
      <c r="D105" s="43">
        <f t="shared" si="42"/>
        <v>0</v>
      </c>
      <c r="E105" s="43"/>
      <c r="F105" s="43"/>
      <c r="G105" s="43"/>
      <c r="H105" s="43"/>
    </row>
    <row r="106" spans="1:8" x14ac:dyDescent="0.25">
      <c r="A106" s="126"/>
      <c r="B106" s="61"/>
      <c r="C106" s="42" t="e">
        <f t="shared" si="41"/>
        <v>#DIV/0!</v>
      </c>
      <c r="D106" s="43">
        <f t="shared" si="42"/>
        <v>0</v>
      </c>
      <c r="E106" s="43"/>
      <c r="F106" s="43"/>
      <c r="G106" s="43"/>
      <c r="H106" s="43"/>
    </row>
    <row r="107" spans="1:8" x14ac:dyDescent="0.25">
      <c r="A107" s="41"/>
      <c r="B107" s="41"/>
      <c r="C107" s="33"/>
      <c r="D107" s="6"/>
      <c r="E107" s="6"/>
      <c r="F107" s="6"/>
      <c r="G107" s="6"/>
      <c r="H107" s="6"/>
    </row>
    <row r="108" spans="1:8" hidden="1" x14ac:dyDescent="0.25">
      <c r="A108" s="126" t="s">
        <v>97</v>
      </c>
      <c r="B108" s="45">
        <v>10</v>
      </c>
      <c r="C108" s="42">
        <f>(F108/(D108+F108))*100</f>
        <v>1.0263576350407171</v>
      </c>
      <c r="D108" s="43">
        <f>$D$98*E108</f>
        <v>2054</v>
      </c>
      <c r="E108" s="43">
        <v>2000</v>
      </c>
      <c r="F108" s="43">
        <v>21.3</v>
      </c>
      <c r="G108" s="43"/>
      <c r="H108" s="43"/>
    </row>
    <row r="109" spans="1:8" hidden="1" x14ac:dyDescent="0.25">
      <c r="A109" s="127"/>
      <c r="B109" s="46">
        <v>11</v>
      </c>
      <c r="C109" s="42">
        <f t="shared" ref="C109:C112" si="43">(F109/(D109+F109))*100</f>
        <v>3.5633092814075318</v>
      </c>
      <c r="D109" s="43">
        <f t="shared" ref="D109:D112" si="44">$D$98*E109</f>
        <v>1951.2999999999997</v>
      </c>
      <c r="E109" s="43">
        <v>1900</v>
      </c>
      <c r="F109" s="43">
        <v>72.099999999999994</v>
      </c>
      <c r="G109" s="43"/>
      <c r="H109" s="43"/>
    </row>
    <row r="110" spans="1:8" hidden="1" x14ac:dyDescent="0.25">
      <c r="A110" s="127"/>
      <c r="B110" s="46">
        <v>12</v>
      </c>
      <c r="C110" s="42">
        <f t="shared" si="43"/>
        <v>7.74067974247642</v>
      </c>
      <c r="D110" s="43">
        <f t="shared" si="44"/>
        <v>1848.6</v>
      </c>
      <c r="E110" s="43">
        <v>1800</v>
      </c>
      <c r="F110" s="43">
        <v>155.1</v>
      </c>
      <c r="G110" s="43"/>
      <c r="H110" s="43"/>
    </row>
    <row r="111" spans="1:8" hidden="1" x14ac:dyDescent="0.25">
      <c r="A111" s="127"/>
      <c r="B111" s="46">
        <v>13</v>
      </c>
      <c r="C111" s="42">
        <f t="shared" si="43"/>
        <v>11.512134411947729</v>
      </c>
      <c r="D111" s="43">
        <f t="shared" si="44"/>
        <v>1848.6</v>
      </c>
      <c r="E111" s="43">
        <v>1800</v>
      </c>
      <c r="F111" s="43">
        <v>240.5</v>
      </c>
      <c r="G111" s="43"/>
      <c r="H111" s="43"/>
    </row>
    <row r="112" spans="1:8" hidden="1" x14ac:dyDescent="0.25">
      <c r="A112" s="127"/>
      <c r="B112" s="46">
        <v>14</v>
      </c>
      <c r="C112" s="42">
        <f t="shared" si="43"/>
        <v>14.950311769290725</v>
      </c>
      <c r="D112" s="43">
        <f t="shared" si="44"/>
        <v>1745.8999999999999</v>
      </c>
      <c r="E112" s="43">
        <v>1700</v>
      </c>
      <c r="F112" s="43">
        <v>306.89999999999998</v>
      </c>
      <c r="G112" s="43"/>
      <c r="H112" s="43"/>
    </row>
    <row r="113" spans="1:17" hidden="1" x14ac:dyDescent="0.25"/>
    <row r="114" spans="1:17" hidden="1" x14ac:dyDescent="0.25">
      <c r="A114" s="122" t="s">
        <v>96</v>
      </c>
      <c r="B114" s="44"/>
      <c r="C114" s="24" t="s">
        <v>85</v>
      </c>
      <c r="D114" s="19" t="s">
        <v>73</v>
      </c>
      <c r="E114" s="19" t="s">
        <v>93</v>
      </c>
      <c r="F114" s="19" t="s">
        <v>74</v>
      </c>
      <c r="G114" s="19" t="s">
        <v>75</v>
      </c>
      <c r="H114" s="31"/>
    </row>
    <row r="115" spans="1:17" hidden="1" x14ac:dyDescent="0.25">
      <c r="A115" s="122"/>
      <c r="B115" s="44"/>
      <c r="C115" s="23">
        <v>0.25</v>
      </c>
      <c r="D115" s="21" t="e">
        <f t="shared" ref="D115:D116" si="45">$D$122*((100-C115)/100)</f>
        <v>#VALUE!</v>
      </c>
      <c r="E115" s="21" t="e">
        <f>D115/$D$121</f>
        <v>#VALUE!</v>
      </c>
      <c r="F115" s="21" t="e">
        <f>$D$122*((C115*0.3)/100)</f>
        <v>#VALUE!</v>
      </c>
      <c r="G115" s="21" t="e">
        <f>$D$122*((C115*0.7)/100)</f>
        <v>#VALUE!</v>
      </c>
      <c r="H115" s="31"/>
    </row>
    <row r="116" spans="1:17" hidden="1" x14ac:dyDescent="0.25">
      <c r="A116" s="122"/>
      <c r="B116" s="44"/>
      <c r="C116" s="23">
        <v>3.75</v>
      </c>
      <c r="D116" s="21" t="e">
        <f t="shared" si="45"/>
        <v>#VALUE!</v>
      </c>
      <c r="E116" s="21" t="e">
        <f t="shared" ref="E116:E119" si="46">D116/$D$121</f>
        <v>#VALUE!</v>
      </c>
      <c r="F116" s="21" t="e">
        <f t="shared" ref="F116:F119" si="47">$D$122*((C116*0.3)/100)</f>
        <v>#VALUE!</v>
      </c>
      <c r="G116" s="21" t="e">
        <f>$D$122*((C116*0.7)/100)</f>
        <v>#VALUE!</v>
      </c>
      <c r="H116" s="31"/>
    </row>
    <row r="117" spans="1:17" hidden="1" x14ac:dyDescent="0.25">
      <c r="A117" s="122"/>
      <c r="B117" s="44"/>
      <c r="C117" s="23">
        <v>7.5</v>
      </c>
      <c r="D117" s="21" t="e">
        <f>$D$122*((100-C117)/100)</f>
        <v>#VALUE!</v>
      </c>
      <c r="E117" s="21" t="e">
        <f t="shared" si="46"/>
        <v>#VALUE!</v>
      </c>
      <c r="F117" s="21" t="e">
        <f t="shared" si="47"/>
        <v>#VALUE!</v>
      </c>
      <c r="G117" s="21" t="e">
        <f>$D$122*((C117*0.7)/100)</f>
        <v>#VALUE!</v>
      </c>
      <c r="H117" s="31"/>
    </row>
    <row r="118" spans="1:17" hidden="1" x14ac:dyDescent="0.25">
      <c r="A118" s="122"/>
      <c r="B118" s="44"/>
      <c r="C118" s="23">
        <v>11.25</v>
      </c>
      <c r="D118" s="21" t="e">
        <f t="shared" ref="D118:D119" si="48">$D$122*((100-C118)/100)</f>
        <v>#VALUE!</v>
      </c>
      <c r="E118" s="21" t="e">
        <f t="shared" si="46"/>
        <v>#VALUE!</v>
      </c>
      <c r="F118" s="21" t="e">
        <f t="shared" si="47"/>
        <v>#VALUE!</v>
      </c>
      <c r="G118" s="21" t="e">
        <f>$D$122*((C118*0.7)/100)</f>
        <v>#VALUE!</v>
      </c>
      <c r="H118" s="31"/>
    </row>
    <row r="119" spans="1:17" hidden="1" x14ac:dyDescent="0.25">
      <c r="A119" s="122"/>
      <c r="B119" s="44"/>
      <c r="C119" s="23">
        <v>15</v>
      </c>
      <c r="D119" s="21" t="e">
        <f t="shared" si="48"/>
        <v>#VALUE!</v>
      </c>
      <c r="E119" s="21" t="e">
        <f t="shared" si="46"/>
        <v>#VALUE!</v>
      </c>
      <c r="F119" s="21" t="e">
        <f t="shared" si="47"/>
        <v>#VALUE!</v>
      </c>
      <c r="G119" s="21" t="e">
        <f>$D$122*((C119*0.7)/100)</f>
        <v>#VALUE!</v>
      </c>
      <c r="H119" s="31"/>
    </row>
    <row r="120" spans="1:17" hidden="1" x14ac:dyDescent="0.25">
      <c r="A120" s="122"/>
      <c r="B120" s="44"/>
      <c r="C120" s="20"/>
      <c r="D120" s="20"/>
      <c r="E120" s="20"/>
      <c r="F120" s="20"/>
      <c r="G120" s="20"/>
      <c r="H120" s="31"/>
    </row>
    <row r="121" spans="1:17" hidden="1" x14ac:dyDescent="0.25">
      <c r="A121" s="122"/>
      <c r="B121" s="44"/>
      <c r="C121" s="38" t="s">
        <v>35</v>
      </c>
      <c r="D121" s="39">
        <v>1.0269999999999999</v>
      </c>
      <c r="E121" s="39"/>
      <c r="F121" s="39">
        <v>1.2450000000000001</v>
      </c>
      <c r="G121" s="18">
        <v>1.1839999999999999</v>
      </c>
      <c r="H121" s="40"/>
    </row>
    <row r="122" spans="1:17" hidden="1" x14ac:dyDescent="0.25">
      <c r="A122" s="122"/>
      <c r="B122" s="44"/>
      <c r="C122" s="18"/>
      <c r="D122" s="18" t="e">
        <f>C1*D121</f>
        <v>#VALUE!</v>
      </c>
      <c r="E122" s="18" t="s">
        <v>76</v>
      </c>
      <c r="F122" s="18"/>
      <c r="G122" s="18"/>
      <c r="H122" s="18"/>
    </row>
    <row r="123" spans="1:17" hidden="1" x14ac:dyDescent="0.25"/>
    <row r="124" spans="1:17" s="5" customFormat="1" x14ac:dyDescent="0.25">
      <c r="A124" s="122" t="s">
        <v>96</v>
      </c>
      <c r="B124" s="44"/>
      <c r="C124" s="24" t="s">
        <v>86</v>
      </c>
      <c r="D124" s="5" t="s">
        <v>77</v>
      </c>
      <c r="E124" s="5" t="s">
        <v>94</v>
      </c>
      <c r="F124" s="5" t="s">
        <v>78</v>
      </c>
      <c r="G124" s="52"/>
      <c r="H124" s="52"/>
      <c r="I124" s="29"/>
      <c r="Q124" s="29"/>
    </row>
    <row r="125" spans="1:17" x14ac:dyDescent="0.25">
      <c r="A125" s="122"/>
      <c r="B125" s="44"/>
      <c r="C125" s="119">
        <v>0.1</v>
      </c>
      <c r="D125" s="120">
        <f>E125*$D$131</f>
        <v>3708</v>
      </c>
      <c r="E125" s="121">
        <f>$C$2</f>
        <v>2500</v>
      </c>
      <c r="F125" s="120">
        <f>(D125*C125)/(100-C125)</f>
        <v>3.7117117117117115</v>
      </c>
      <c r="G125" s="56"/>
      <c r="H125" s="50">
        <v>0.1</v>
      </c>
    </row>
    <row r="126" spans="1:17" x14ac:dyDescent="0.25">
      <c r="A126" s="122"/>
      <c r="B126" s="44"/>
      <c r="C126" s="119">
        <v>0.35</v>
      </c>
      <c r="D126" s="120">
        <f t="shared" ref="D126:D129" si="49">E126*$D$131</f>
        <v>3708</v>
      </c>
      <c r="E126" s="121">
        <f t="shared" ref="E126:E129" si="50">$C$2</f>
        <v>2500</v>
      </c>
      <c r="F126" s="120">
        <f t="shared" ref="F126:F129" si="51">(D126*C126)/(100-C126)</f>
        <v>13.0235825388861</v>
      </c>
      <c r="G126" s="50"/>
      <c r="H126" s="50">
        <v>0.34</v>
      </c>
    </row>
    <row r="127" spans="1:17" x14ac:dyDescent="0.25">
      <c r="A127" s="122"/>
      <c r="B127" s="44"/>
      <c r="C127" s="86">
        <v>1.22</v>
      </c>
      <c r="D127" s="17">
        <f t="shared" si="49"/>
        <v>3708</v>
      </c>
      <c r="E127" s="98">
        <f t="shared" si="50"/>
        <v>2500</v>
      </c>
      <c r="F127" s="17">
        <f t="shared" si="51"/>
        <v>45.796315043531081</v>
      </c>
      <c r="G127" s="50"/>
      <c r="H127" s="50">
        <v>1.22</v>
      </c>
    </row>
    <row r="128" spans="1:17" x14ac:dyDescent="0.25">
      <c r="A128" s="122"/>
      <c r="B128" s="44"/>
      <c r="C128" s="86">
        <v>4.28</v>
      </c>
      <c r="D128" s="17">
        <f t="shared" si="49"/>
        <v>3708</v>
      </c>
      <c r="E128" s="98">
        <f t="shared" si="50"/>
        <v>2500</v>
      </c>
      <c r="F128" s="17">
        <f t="shared" si="51"/>
        <v>165.79857918930216</v>
      </c>
      <c r="G128" s="53"/>
      <c r="H128" s="50">
        <v>4.28</v>
      </c>
    </row>
    <row r="129" spans="1:8" x14ac:dyDescent="0.25">
      <c r="A129" s="122"/>
      <c r="B129" s="44"/>
      <c r="C129" s="116">
        <v>15</v>
      </c>
      <c r="D129" s="117">
        <f t="shared" si="49"/>
        <v>3708</v>
      </c>
      <c r="E129" s="118">
        <f t="shared" si="50"/>
        <v>2500</v>
      </c>
      <c r="F129" s="117">
        <f t="shared" si="51"/>
        <v>654.35294117647061</v>
      </c>
      <c r="G129" s="53"/>
      <c r="H129" s="50">
        <v>15</v>
      </c>
    </row>
    <row r="130" spans="1:8" x14ac:dyDescent="0.25">
      <c r="A130" s="122"/>
      <c r="B130" s="44"/>
      <c r="G130" s="51"/>
      <c r="H130" s="51"/>
    </row>
    <row r="131" spans="1:8" x14ac:dyDescent="0.25">
      <c r="A131" s="122"/>
      <c r="B131" s="44"/>
      <c r="C131" s="36" t="s">
        <v>35</v>
      </c>
      <c r="D131" s="37">
        <v>1.4832000000000001</v>
      </c>
      <c r="E131" s="37"/>
      <c r="F131" s="37">
        <v>1.2</v>
      </c>
      <c r="G131" s="54"/>
      <c r="H131" s="55"/>
    </row>
    <row r="132" spans="1:8" x14ac:dyDescent="0.25">
      <c r="A132" s="122"/>
      <c r="B132" s="44"/>
      <c r="C132" s="15"/>
      <c r="D132" s="15">
        <f>C2*D131</f>
        <v>3708</v>
      </c>
      <c r="E132" s="15" t="s">
        <v>76</v>
      </c>
      <c r="F132" s="15"/>
      <c r="G132" s="55"/>
      <c r="H132" s="55"/>
    </row>
    <row r="133" spans="1:8" x14ac:dyDescent="0.25">
      <c r="A133" s="49"/>
      <c r="B133" s="49"/>
      <c r="C133" s="15"/>
      <c r="D133" s="15"/>
      <c r="E133" s="15"/>
      <c r="F133" s="15"/>
      <c r="G133" s="55"/>
      <c r="H133" s="55"/>
    </row>
    <row r="134" spans="1:8" ht="15" customHeight="1" x14ac:dyDescent="0.25">
      <c r="A134" s="126" t="s">
        <v>108</v>
      </c>
      <c r="B134" s="60"/>
      <c r="C134" s="43" t="e">
        <f>(F134/(D134+F134))*100</f>
        <v>#DIV/0!</v>
      </c>
      <c r="D134" s="6">
        <f>$D$131*E134</f>
        <v>0</v>
      </c>
      <c r="E134" s="6"/>
      <c r="F134" s="6"/>
      <c r="G134" s="55"/>
      <c r="H134" s="55"/>
    </row>
    <row r="135" spans="1:8" x14ac:dyDescent="0.25">
      <c r="A135" s="126"/>
      <c r="B135" s="60"/>
      <c r="C135" s="43" t="e">
        <f t="shared" ref="C135:C138" si="52">(F135/(D135+F135))*100</f>
        <v>#DIV/0!</v>
      </c>
      <c r="D135" s="6">
        <f>$D$131*E135</f>
        <v>0</v>
      </c>
      <c r="E135" s="6"/>
      <c r="F135" s="6"/>
      <c r="G135" s="55"/>
      <c r="H135" s="55"/>
    </row>
    <row r="136" spans="1:8" x14ac:dyDescent="0.25">
      <c r="A136" s="126"/>
      <c r="B136" s="60"/>
      <c r="C136" s="43" t="e">
        <f t="shared" si="52"/>
        <v>#DIV/0!</v>
      </c>
      <c r="D136" s="6">
        <f t="shared" ref="D136:D138" si="53">$D$131*E136</f>
        <v>0</v>
      </c>
      <c r="E136" s="15"/>
      <c r="F136" s="15"/>
      <c r="G136" s="55"/>
      <c r="H136" s="55"/>
    </row>
    <row r="137" spans="1:8" x14ac:dyDescent="0.25">
      <c r="A137" s="126"/>
      <c r="B137" s="60"/>
      <c r="C137" s="43" t="e">
        <f t="shared" si="52"/>
        <v>#DIV/0!</v>
      </c>
      <c r="D137" s="6">
        <f t="shared" si="53"/>
        <v>0</v>
      </c>
      <c r="E137" s="15"/>
      <c r="F137" s="15"/>
      <c r="G137" s="55"/>
      <c r="H137" s="55"/>
    </row>
    <row r="138" spans="1:8" x14ac:dyDescent="0.25">
      <c r="A138" s="126"/>
      <c r="B138" s="60"/>
      <c r="C138" s="43" t="e">
        <f t="shared" si="52"/>
        <v>#DIV/0!</v>
      </c>
      <c r="D138" s="6">
        <f t="shared" si="53"/>
        <v>0</v>
      </c>
      <c r="E138" s="15"/>
      <c r="F138" s="15"/>
      <c r="G138" s="55"/>
      <c r="H138" s="55"/>
    </row>
    <row r="139" spans="1:8" x14ac:dyDescent="0.25">
      <c r="A139" s="49"/>
      <c r="B139" s="49"/>
      <c r="C139" s="15"/>
      <c r="D139" s="15"/>
      <c r="E139" s="15"/>
      <c r="F139" s="15"/>
      <c r="G139" s="55"/>
      <c r="H139" s="55"/>
    </row>
    <row r="140" spans="1:8" hidden="1" x14ac:dyDescent="0.25">
      <c r="A140" s="126" t="s">
        <v>98</v>
      </c>
      <c r="B140" s="45">
        <v>0</v>
      </c>
      <c r="C140" s="43">
        <f>(F140/(D140+F140))*100</f>
        <v>0.24548542220129804</v>
      </c>
      <c r="D140" s="6">
        <f>$D$131*E140</f>
        <v>2966.4</v>
      </c>
      <c r="E140" s="6">
        <v>2000</v>
      </c>
      <c r="F140" s="6">
        <v>7.3</v>
      </c>
      <c r="G140" s="56"/>
      <c r="H140" s="55"/>
    </row>
    <row r="141" spans="1:8" hidden="1" x14ac:dyDescent="0.25">
      <c r="A141" s="126"/>
      <c r="B141" s="45">
        <v>1</v>
      </c>
      <c r="C141" s="43">
        <f t="shared" ref="C141" si="54">(F141/(D141+F141))*100</f>
        <v>7.5875055383252095</v>
      </c>
      <c r="D141" s="6">
        <f>$D$131*E141</f>
        <v>2669.76</v>
      </c>
      <c r="E141" s="6">
        <v>1800</v>
      </c>
      <c r="F141" s="6">
        <v>219.2</v>
      </c>
      <c r="G141" s="53"/>
      <c r="H141" s="55"/>
    </row>
    <row r="142" spans="1:8" hidden="1" x14ac:dyDescent="0.25">
      <c r="G142" s="51"/>
      <c r="H142" s="51"/>
    </row>
    <row r="143" spans="1:8" x14ac:dyDescent="0.25">
      <c r="A143" s="122" t="s">
        <v>96</v>
      </c>
      <c r="B143" s="44"/>
      <c r="C143" s="24" t="s">
        <v>87</v>
      </c>
      <c r="D143" s="5" t="s">
        <v>79</v>
      </c>
      <c r="E143" s="5" t="s">
        <v>95</v>
      </c>
      <c r="F143" s="5" t="s">
        <v>78</v>
      </c>
      <c r="G143" s="52"/>
      <c r="H143" s="51"/>
    </row>
    <row r="144" spans="1:8" x14ac:dyDescent="0.25">
      <c r="A144" s="122"/>
      <c r="B144" s="44"/>
      <c r="C144" s="119">
        <v>0.1</v>
      </c>
      <c r="D144" s="120">
        <f>E144*$D$150</f>
        <v>3313.7499999999995</v>
      </c>
      <c r="E144" s="121">
        <f>$C$2</f>
        <v>2500</v>
      </c>
      <c r="F144" s="120">
        <f>(D144*C144)/(100-C144)</f>
        <v>3.3170670670670668</v>
      </c>
      <c r="G144" s="50"/>
      <c r="H144" s="50"/>
    </row>
    <row r="145" spans="1:8" x14ac:dyDescent="0.25">
      <c r="A145" s="122"/>
      <c r="B145" s="44"/>
      <c r="C145" s="119">
        <v>0.35</v>
      </c>
      <c r="D145" s="120">
        <f t="shared" ref="D145:D148" si="55">E145*$D$150</f>
        <v>3313.7499999999995</v>
      </c>
      <c r="E145" s="121">
        <f t="shared" ref="E145:E148" si="56">$C$2</f>
        <v>2500</v>
      </c>
      <c r="F145" s="120">
        <f t="shared" ref="F145:F148" si="57">(D145*C145)/(100-C145)</f>
        <v>11.638861013547412</v>
      </c>
      <c r="G145" s="50"/>
      <c r="H145" s="50"/>
    </row>
    <row r="146" spans="1:8" x14ac:dyDescent="0.25">
      <c r="A146" s="122"/>
      <c r="B146" s="44"/>
      <c r="C146" s="86">
        <v>1.22</v>
      </c>
      <c r="D146" s="17">
        <f t="shared" si="55"/>
        <v>3313.7499999999995</v>
      </c>
      <c r="E146" s="98">
        <f t="shared" si="56"/>
        <v>2500</v>
      </c>
      <c r="F146" s="17">
        <f t="shared" si="57"/>
        <v>40.927060133630278</v>
      </c>
      <c r="G146" s="50"/>
      <c r="H146" s="50"/>
    </row>
    <row r="147" spans="1:8" x14ac:dyDescent="0.25">
      <c r="A147" s="122"/>
      <c r="B147" s="44"/>
      <c r="C147" s="86">
        <v>4.28</v>
      </c>
      <c r="D147" s="17">
        <f t="shared" si="55"/>
        <v>3313.7499999999995</v>
      </c>
      <c r="E147" s="98">
        <f t="shared" si="56"/>
        <v>2500</v>
      </c>
      <c r="F147" s="17">
        <f t="shared" si="57"/>
        <v>148.17018386961971</v>
      </c>
      <c r="G147" s="53"/>
      <c r="H147" s="50"/>
    </row>
    <row r="148" spans="1:8" x14ac:dyDescent="0.25">
      <c r="A148" s="122"/>
      <c r="B148" s="44"/>
      <c r="C148" s="116">
        <v>15</v>
      </c>
      <c r="D148" s="117">
        <f t="shared" si="55"/>
        <v>3313.7499999999995</v>
      </c>
      <c r="E148" s="118">
        <f t="shared" si="56"/>
        <v>2500</v>
      </c>
      <c r="F148" s="117">
        <f t="shared" si="57"/>
        <v>584.77941176470574</v>
      </c>
      <c r="G148" s="53"/>
      <c r="H148" s="50"/>
    </row>
    <row r="149" spans="1:8" x14ac:dyDescent="0.25">
      <c r="A149" s="122"/>
      <c r="B149" s="44"/>
      <c r="G149" s="51"/>
      <c r="H149" s="51"/>
    </row>
    <row r="150" spans="1:8" x14ac:dyDescent="0.25">
      <c r="A150" s="122"/>
      <c r="B150" s="44"/>
      <c r="C150" s="36" t="s">
        <v>35</v>
      </c>
      <c r="D150" s="37">
        <v>1.3254999999999999</v>
      </c>
      <c r="E150" s="37"/>
      <c r="F150" s="37">
        <v>1.2</v>
      </c>
      <c r="G150" s="54"/>
      <c r="H150" s="55"/>
    </row>
    <row r="151" spans="1:8" x14ac:dyDescent="0.25">
      <c r="A151" s="122"/>
      <c r="B151" s="44"/>
      <c r="C151" s="15"/>
      <c r="D151" s="15">
        <f>C2*D150</f>
        <v>3313.7499999999995</v>
      </c>
      <c r="E151" s="15" t="s">
        <v>76</v>
      </c>
      <c r="F151" s="15"/>
      <c r="G151" s="55"/>
      <c r="H151" s="55"/>
    </row>
    <row r="152" spans="1:8" x14ac:dyDescent="0.25">
      <c r="G152" s="51"/>
      <c r="H152" s="51"/>
    </row>
    <row r="153" spans="1:8" ht="15" customHeight="1" x14ac:dyDescent="0.25">
      <c r="A153" s="123" t="s">
        <v>108</v>
      </c>
      <c r="B153" s="58"/>
      <c r="C153" s="17" t="e">
        <f>(F153/(D153+F153))*100</f>
        <v>#DIV/0!</v>
      </c>
      <c r="D153" s="4">
        <f>$D$150*E153</f>
        <v>0</v>
      </c>
      <c r="G153" s="51"/>
      <c r="H153" s="51"/>
    </row>
    <row r="154" spans="1:8" x14ac:dyDescent="0.25">
      <c r="A154" s="123"/>
      <c r="B154" s="58"/>
      <c r="C154" s="17" t="e">
        <f t="shared" ref="C154:C157" si="58">(F154/(D154+F154))*100</f>
        <v>#DIV/0!</v>
      </c>
      <c r="D154" s="4">
        <f>$D$150*E154</f>
        <v>0</v>
      </c>
      <c r="G154" s="51"/>
      <c r="H154" s="51"/>
    </row>
    <row r="155" spans="1:8" x14ac:dyDescent="0.25">
      <c r="A155" s="123"/>
      <c r="B155" s="58"/>
      <c r="C155" s="17" t="e">
        <f t="shared" si="58"/>
        <v>#DIV/0!</v>
      </c>
      <c r="D155" s="4">
        <f t="shared" ref="D155:D157" si="59">$D$150*E155</f>
        <v>0</v>
      </c>
      <c r="G155" s="51"/>
      <c r="H155" s="51"/>
    </row>
    <row r="156" spans="1:8" x14ac:dyDescent="0.25">
      <c r="A156" s="123"/>
      <c r="B156" s="58"/>
      <c r="C156" s="17" t="e">
        <f t="shared" si="58"/>
        <v>#DIV/0!</v>
      </c>
      <c r="D156" s="4">
        <f t="shared" si="59"/>
        <v>0</v>
      </c>
      <c r="G156" s="51"/>
      <c r="H156" s="51"/>
    </row>
    <row r="157" spans="1:8" x14ac:dyDescent="0.25">
      <c r="A157" s="123"/>
      <c r="B157" s="58"/>
      <c r="C157" s="17" t="e">
        <f t="shared" si="58"/>
        <v>#DIV/0!</v>
      </c>
      <c r="D157" s="4">
        <f t="shared" si="59"/>
        <v>0</v>
      </c>
      <c r="G157" s="51"/>
      <c r="H157" s="51"/>
    </row>
    <row r="158" spans="1:8" x14ac:dyDescent="0.25">
      <c r="G158" s="51"/>
      <c r="H158" s="51"/>
    </row>
    <row r="159" spans="1:8" hidden="1" x14ac:dyDescent="0.25">
      <c r="A159" s="123" t="s">
        <v>98</v>
      </c>
      <c r="B159" s="47">
        <v>3</v>
      </c>
      <c r="C159" s="17">
        <f>(F159/(D159+F159))*100</f>
        <v>0.29336542801263726</v>
      </c>
      <c r="D159" s="4">
        <f>$D$150*E159</f>
        <v>2651</v>
      </c>
      <c r="E159" s="4">
        <v>2000</v>
      </c>
      <c r="F159" s="4">
        <v>7.8</v>
      </c>
      <c r="G159" s="56"/>
      <c r="H159" s="51"/>
    </row>
    <row r="160" spans="1:8" hidden="1" x14ac:dyDescent="0.25">
      <c r="A160" s="123"/>
      <c r="B160" s="47">
        <v>4</v>
      </c>
      <c r="C160" s="17">
        <f t="shared" ref="C160" si="60">(F160/(D160+F160))*100</f>
        <v>7.6056228943190192</v>
      </c>
      <c r="D160" s="4">
        <f>$D$150*E160</f>
        <v>2385.8999999999996</v>
      </c>
      <c r="E160" s="4">
        <v>1800</v>
      </c>
      <c r="F160" s="4">
        <v>196.4</v>
      </c>
      <c r="G160" s="53"/>
      <c r="H160" s="51"/>
    </row>
    <row r="161" spans="1:17" hidden="1" x14ac:dyDescent="0.25">
      <c r="G161" s="51"/>
      <c r="H161" s="51"/>
    </row>
    <row r="162" spans="1:17" s="5" customFormat="1" x14ac:dyDescent="0.25">
      <c r="A162" s="122" t="s">
        <v>96</v>
      </c>
      <c r="B162" s="44"/>
      <c r="C162" s="24" t="s">
        <v>88</v>
      </c>
      <c r="D162" s="5" t="s">
        <v>69</v>
      </c>
      <c r="E162" s="5" t="s">
        <v>92</v>
      </c>
      <c r="F162" s="5" t="s">
        <v>80</v>
      </c>
      <c r="I162" s="29"/>
      <c r="Q162" s="29"/>
    </row>
    <row r="163" spans="1:17" x14ac:dyDescent="0.25">
      <c r="A163" s="122"/>
      <c r="B163" s="44"/>
      <c r="C163" s="14">
        <v>0.1</v>
      </c>
      <c r="D163" s="17">
        <f>E163*$D$171</f>
        <v>2375</v>
      </c>
      <c r="E163" s="98">
        <f>$C$2</f>
        <v>2500</v>
      </c>
      <c r="F163" s="17">
        <f>(D163*C163)/(100-C163)</f>
        <v>2.3773773773773774</v>
      </c>
      <c r="G163" s="17"/>
      <c r="H163" s="17"/>
    </row>
    <row r="164" spans="1:17" x14ac:dyDescent="0.25">
      <c r="A164" s="122"/>
      <c r="B164" s="44"/>
      <c r="C164" s="14">
        <v>0.6</v>
      </c>
      <c r="D164" s="17">
        <f t="shared" ref="D164:D169" si="61">E164*$D$171</f>
        <v>2375</v>
      </c>
      <c r="E164" s="98">
        <f t="shared" ref="E164:E169" si="62">$C$2</f>
        <v>2500</v>
      </c>
      <c r="F164" s="17">
        <f t="shared" ref="F164:F167" si="63">(D164*C164)/(100-C164)</f>
        <v>14.336016096579476</v>
      </c>
      <c r="G164" s="17"/>
      <c r="H164" s="17"/>
    </row>
    <row r="165" spans="1:17" x14ac:dyDescent="0.25">
      <c r="A165" s="122"/>
      <c r="B165" s="44"/>
      <c r="C165" s="14">
        <v>1</v>
      </c>
      <c r="D165" s="17">
        <f t="shared" si="61"/>
        <v>2375</v>
      </c>
      <c r="E165" s="98">
        <f t="shared" si="62"/>
        <v>2500</v>
      </c>
      <c r="F165" s="17">
        <f t="shared" si="63"/>
        <v>23.98989898989899</v>
      </c>
      <c r="G165" s="17"/>
      <c r="H165" s="17"/>
    </row>
    <row r="166" spans="1:17" x14ac:dyDescent="0.25">
      <c r="A166" s="122"/>
      <c r="B166" s="44"/>
      <c r="C166" s="14">
        <v>2</v>
      </c>
      <c r="D166" s="17">
        <f t="shared" si="61"/>
        <v>2375</v>
      </c>
      <c r="E166" s="98">
        <f t="shared" si="62"/>
        <v>2500</v>
      </c>
      <c r="F166" s="17">
        <f t="shared" si="63"/>
        <v>48.469387755102041</v>
      </c>
      <c r="G166" s="17"/>
      <c r="H166" s="17"/>
    </row>
    <row r="167" spans="1:17" x14ac:dyDescent="0.25">
      <c r="A167" s="122"/>
      <c r="B167" s="44"/>
      <c r="C167" s="104">
        <v>5</v>
      </c>
      <c r="D167" s="105">
        <f t="shared" si="61"/>
        <v>2375</v>
      </c>
      <c r="E167" s="106">
        <f t="shared" si="62"/>
        <v>2500</v>
      </c>
      <c r="F167" s="105">
        <f t="shared" si="63"/>
        <v>125</v>
      </c>
      <c r="G167" s="17"/>
      <c r="H167" s="17"/>
    </row>
    <row r="168" spans="1:17" x14ac:dyDescent="0.25">
      <c r="A168" s="122"/>
      <c r="B168" s="62"/>
      <c r="C168" s="14">
        <v>10</v>
      </c>
      <c r="D168" s="17">
        <f t="shared" si="61"/>
        <v>2375</v>
      </c>
      <c r="E168" s="98">
        <f t="shared" si="62"/>
        <v>2500</v>
      </c>
      <c r="F168" s="17">
        <f t="shared" ref="F168:F169" si="64">(D168*C168)/(100-C168)</f>
        <v>263.88888888888891</v>
      </c>
      <c r="G168" s="17"/>
      <c r="H168" s="17"/>
    </row>
    <row r="169" spans="1:17" x14ac:dyDescent="0.25">
      <c r="A169" s="122"/>
      <c r="B169" s="62"/>
      <c r="C169" s="14">
        <v>15</v>
      </c>
      <c r="D169" s="17">
        <f t="shared" si="61"/>
        <v>2375</v>
      </c>
      <c r="E169" s="98">
        <f t="shared" si="62"/>
        <v>2500</v>
      </c>
      <c r="F169" s="17">
        <f t="shared" si="64"/>
        <v>419.11764705882354</v>
      </c>
      <c r="G169" s="17"/>
      <c r="H169" s="17"/>
    </row>
    <row r="170" spans="1:17" x14ac:dyDescent="0.25">
      <c r="A170" s="122"/>
      <c r="B170" s="44"/>
    </row>
    <row r="171" spans="1:17" x14ac:dyDescent="0.25">
      <c r="A171" s="122"/>
      <c r="B171" s="44"/>
      <c r="C171" s="36" t="s">
        <v>35</v>
      </c>
      <c r="D171" s="37">
        <v>0.95</v>
      </c>
      <c r="E171" s="37"/>
      <c r="F171" s="37">
        <v>1.07</v>
      </c>
      <c r="G171" s="37"/>
      <c r="H171" s="15"/>
    </row>
    <row r="172" spans="1:17" x14ac:dyDescent="0.25">
      <c r="A172" s="122"/>
      <c r="B172" s="44"/>
      <c r="C172" s="15"/>
      <c r="D172" s="15">
        <f>C2*D171</f>
        <v>2375</v>
      </c>
      <c r="E172" s="15" t="s">
        <v>76</v>
      </c>
      <c r="F172" s="15"/>
      <c r="G172" s="15"/>
      <c r="H172" s="15"/>
    </row>
    <row r="174" spans="1:17" x14ac:dyDescent="0.25">
      <c r="A174" s="125" t="s">
        <v>108</v>
      </c>
      <c r="B174" s="87">
        <v>3</v>
      </c>
      <c r="C174" s="42">
        <f>(F174/(D174+F174))*100</f>
        <v>5</v>
      </c>
      <c r="D174" s="33">
        <f t="shared" ref="D174:D180" si="65">$D$171*E174</f>
        <v>1425</v>
      </c>
      <c r="E174" s="33">
        <v>1500</v>
      </c>
      <c r="F174" s="33">
        <v>75</v>
      </c>
    </row>
    <row r="175" spans="1:17" x14ac:dyDescent="0.25">
      <c r="A175" s="125"/>
      <c r="B175" s="87"/>
      <c r="C175" s="42" t="e">
        <f t="shared" ref="C175" si="66">(F175/(D175+F175))*100</f>
        <v>#DIV/0!</v>
      </c>
      <c r="D175" s="33">
        <f t="shared" si="65"/>
        <v>0</v>
      </c>
      <c r="E175" s="33"/>
      <c r="F175" s="33"/>
    </row>
    <row r="176" spans="1:17" ht="15" customHeight="1" x14ac:dyDescent="0.25">
      <c r="A176" s="125"/>
      <c r="B176" s="60"/>
      <c r="C176" s="42" t="e">
        <f>(F176/(D176+F176))*100</f>
        <v>#DIV/0!</v>
      </c>
      <c r="D176" s="33">
        <f t="shared" si="65"/>
        <v>0</v>
      </c>
      <c r="E176" s="33"/>
      <c r="F176" s="33"/>
    </row>
    <row r="177" spans="1:7" x14ac:dyDescent="0.25">
      <c r="A177" s="125"/>
      <c r="B177" s="60"/>
      <c r="C177" s="42" t="e">
        <f t="shared" ref="C177:C180" si="67">(F177/(D177+F177))*100</f>
        <v>#DIV/0!</v>
      </c>
      <c r="D177" s="33">
        <f t="shared" si="65"/>
        <v>0</v>
      </c>
      <c r="E177" s="33"/>
      <c r="F177" s="33"/>
    </row>
    <row r="178" spans="1:7" x14ac:dyDescent="0.25">
      <c r="A178" s="125"/>
      <c r="B178" s="60"/>
      <c r="C178" s="42" t="e">
        <f t="shared" si="67"/>
        <v>#DIV/0!</v>
      </c>
      <c r="D178" s="33">
        <f t="shared" si="65"/>
        <v>0</v>
      </c>
      <c r="E178" s="33"/>
      <c r="F178" s="33"/>
    </row>
    <row r="179" spans="1:7" x14ac:dyDescent="0.25">
      <c r="A179" s="125"/>
      <c r="B179" s="60"/>
      <c r="C179" s="42" t="e">
        <f t="shared" si="67"/>
        <v>#DIV/0!</v>
      </c>
      <c r="D179" s="33">
        <f t="shared" si="65"/>
        <v>0</v>
      </c>
      <c r="E179" s="33"/>
      <c r="F179" s="33"/>
    </row>
    <row r="180" spans="1:7" x14ac:dyDescent="0.25">
      <c r="A180" s="125"/>
      <c r="B180" s="60"/>
      <c r="C180" s="42" t="e">
        <f t="shared" si="67"/>
        <v>#DIV/0!</v>
      </c>
      <c r="D180" s="33">
        <f t="shared" si="65"/>
        <v>0</v>
      </c>
      <c r="E180" s="33"/>
      <c r="F180" s="33"/>
    </row>
    <row r="182" spans="1:7" hidden="1" x14ac:dyDescent="0.25">
      <c r="A182" s="125" t="s">
        <v>98</v>
      </c>
      <c r="B182" s="45">
        <v>6</v>
      </c>
      <c r="C182" s="42">
        <f>(F182/(D182+F182))*100</f>
        <v>0.61202071454726159</v>
      </c>
      <c r="D182" s="33">
        <f>$D$171*E182</f>
        <v>1900</v>
      </c>
      <c r="E182" s="33">
        <v>2000</v>
      </c>
      <c r="F182" s="33">
        <v>11.7</v>
      </c>
      <c r="G182" s="56" t="s">
        <v>99</v>
      </c>
    </row>
    <row r="183" spans="1:7" hidden="1" x14ac:dyDescent="0.25">
      <c r="A183" s="125"/>
      <c r="B183" s="45">
        <v>7</v>
      </c>
      <c r="C183" s="42">
        <f t="shared" ref="C183:C186" si="68">(F183/(D183+F183))*100</f>
        <v>4.9399620813145146</v>
      </c>
      <c r="D183" s="33">
        <f>$D$171*E183</f>
        <v>1805</v>
      </c>
      <c r="E183" s="33">
        <v>1900</v>
      </c>
      <c r="F183" s="33">
        <v>93.8</v>
      </c>
      <c r="G183" s="56" t="s">
        <v>99</v>
      </c>
    </row>
    <row r="184" spans="1:7" hidden="1" x14ac:dyDescent="0.25">
      <c r="A184" s="125"/>
      <c r="B184" s="45">
        <v>8</v>
      </c>
      <c r="C184" s="42">
        <f t="shared" si="68"/>
        <v>8.0002152041749603</v>
      </c>
      <c r="D184" s="33">
        <f>$D$171*E184</f>
        <v>1710</v>
      </c>
      <c r="E184" s="33">
        <v>1800</v>
      </c>
      <c r="F184" s="33">
        <v>148.69999999999999</v>
      </c>
      <c r="G184" s="56" t="s">
        <v>99</v>
      </c>
    </row>
    <row r="185" spans="1:7" hidden="1" x14ac:dyDescent="0.25">
      <c r="A185" s="125"/>
      <c r="B185" s="45">
        <v>9</v>
      </c>
      <c r="C185" s="42">
        <f t="shared" si="68"/>
        <v>11.43108717045631</v>
      </c>
      <c r="D185" s="33">
        <f>$D$171*E185</f>
        <v>1710</v>
      </c>
      <c r="E185" s="33">
        <v>1800</v>
      </c>
      <c r="F185" s="33">
        <v>220.7</v>
      </c>
      <c r="G185" s="56" t="s">
        <v>99</v>
      </c>
    </row>
    <row r="186" spans="1:7" hidden="1" x14ac:dyDescent="0.25">
      <c r="A186" s="125"/>
      <c r="B186" s="45">
        <v>10</v>
      </c>
      <c r="C186" s="42">
        <f t="shared" si="68"/>
        <v>15.165204601565371</v>
      </c>
      <c r="D186" s="33">
        <f>$D$171*E186</f>
        <v>1615</v>
      </c>
      <c r="E186" s="33">
        <v>1700</v>
      </c>
      <c r="F186" s="33">
        <v>288.7</v>
      </c>
      <c r="G186" s="56" t="s">
        <v>99</v>
      </c>
    </row>
    <row r="187" spans="1:7" hidden="1" x14ac:dyDescent="0.25"/>
  </sheetData>
  <mergeCells count="23">
    <mergeCell ref="A174:A180"/>
    <mergeCell ref="A182:A186"/>
    <mergeCell ref="A46:A50"/>
    <mergeCell ref="A78:A82"/>
    <mergeCell ref="A90:A98"/>
    <mergeCell ref="A114:A122"/>
    <mergeCell ref="A124:A132"/>
    <mergeCell ref="A143:A151"/>
    <mergeCell ref="A162:A172"/>
    <mergeCell ref="A108:A112"/>
    <mergeCell ref="A140:A141"/>
    <mergeCell ref="A159:A160"/>
    <mergeCell ref="A134:A138"/>
    <mergeCell ref="A153:A157"/>
    <mergeCell ref="A70:A76"/>
    <mergeCell ref="A101:A106"/>
    <mergeCell ref="A3:A14"/>
    <mergeCell ref="A25:A35"/>
    <mergeCell ref="A58:A67"/>
    <mergeCell ref="A52:A56"/>
    <mergeCell ref="A84:A88"/>
    <mergeCell ref="A16:A22"/>
    <mergeCell ref="A38:A44"/>
  </mergeCells>
  <phoneticPr fontId="11" type="noConversion"/>
  <hyperlinks>
    <hyperlink ref="AB2" r:id="rId1" xr:uid="{2AE9BD8C-0296-4F7B-B705-24783A904A15}"/>
  </hyperlinks>
  <pageMargins left="0.7" right="0.7" top="0.75" bottom="0.75" header="0.3" footer="0.3"/>
  <pageSetup paperSize="9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54B7-C5D2-4F5E-B004-6A219FEFA3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rheology</vt:lpstr>
      <vt:lpstr>solventNpolymerData</vt:lpstr>
      <vt:lpstr>solutionPrepNCarac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Osamu Katagiri-Tanaka</cp:lastModifiedBy>
  <cp:lastPrinted>2020-01-28T13:34:19Z</cp:lastPrinted>
  <dcterms:created xsi:type="dcterms:W3CDTF">2019-11-19T13:43:42Z</dcterms:created>
  <dcterms:modified xsi:type="dcterms:W3CDTF">2020-11-19T20:53:05Z</dcterms:modified>
</cp:coreProperties>
</file>