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wnloads\"/>
    </mc:Choice>
  </mc:AlternateContent>
  <xr:revisionPtr revIDLastSave="0" documentId="13_ncr:1_{C71A75F6-5468-422C-A672-FB93B7C977A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" i="1"/>
  <c r="E2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F13" i="1"/>
  <c r="F9" i="1"/>
  <c r="E13" i="1"/>
  <c r="E9" i="1"/>
  <c r="A10" i="1"/>
  <c r="K2" i="1" l="1"/>
  <c r="J2" i="1"/>
  <c r="A14" i="1"/>
  <c r="A25" i="1"/>
  <c r="N2" i="1" l="1"/>
  <c r="P2" i="1" s="1"/>
  <c r="N3" i="1"/>
  <c r="N21" i="1"/>
  <c r="N37" i="1"/>
  <c r="N29" i="1"/>
  <c r="N12" i="1"/>
  <c r="N25" i="1"/>
  <c r="N6" i="1"/>
  <c r="N33" i="1"/>
  <c r="N17" i="1"/>
  <c r="A32" i="1"/>
  <c r="N39" i="1"/>
  <c r="N31" i="1"/>
  <c r="N23" i="1"/>
  <c r="N14" i="1"/>
  <c r="N9" i="1"/>
  <c r="N36" i="1"/>
  <c r="N32" i="1"/>
  <c r="N28" i="1"/>
  <c r="N24" i="1"/>
  <c r="N20" i="1"/>
  <c r="N16" i="1"/>
  <c r="N10" i="1"/>
  <c r="N35" i="1"/>
  <c r="N27" i="1"/>
  <c r="N19" i="1"/>
  <c r="N38" i="1"/>
  <c r="N34" i="1"/>
  <c r="N30" i="1"/>
  <c r="N26" i="1"/>
  <c r="N22" i="1"/>
  <c r="N18" i="1"/>
  <c r="N13" i="1"/>
  <c r="N8" i="1"/>
  <c r="N5" i="1"/>
  <c r="N4" i="1"/>
  <c r="N15" i="1"/>
  <c r="N11" i="1"/>
  <c r="N7" i="1"/>
  <c r="G6" i="1"/>
  <c r="B29" i="1"/>
  <c r="B11" i="1"/>
  <c r="B12" i="1" s="1"/>
  <c r="B17" i="1"/>
  <c r="F6" i="1"/>
  <c r="P36" i="1" l="1"/>
  <c r="P17" i="1"/>
  <c r="P7" i="1"/>
  <c r="P22" i="1"/>
  <c r="R22" i="1" s="1"/>
  <c r="P10" i="1"/>
  <c r="R10" i="1" s="1"/>
  <c r="P9" i="1"/>
  <c r="P6" i="1"/>
  <c r="P25" i="1"/>
  <c r="R25" i="1" s="1"/>
  <c r="P26" i="1"/>
  <c r="P30" i="1"/>
  <c r="P12" i="1"/>
  <c r="P4" i="1"/>
  <c r="P34" i="1"/>
  <c r="P24" i="1"/>
  <c r="R24" i="1" s="1"/>
  <c r="P31" i="1"/>
  <c r="P29" i="1"/>
  <c r="R29" i="1" s="1"/>
  <c r="P11" i="1"/>
  <c r="R11" i="1" s="1"/>
  <c r="P14" i="1"/>
  <c r="P15" i="1"/>
  <c r="P20" i="1"/>
  <c r="P23" i="1"/>
  <c r="P5" i="1"/>
  <c r="R5" i="1" s="1"/>
  <c r="P38" i="1"/>
  <c r="P28" i="1"/>
  <c r="P39" i="1"/>
  <c r="R39" i="1" s="1"/>
  <c r="P37" i="1"/>
  <c r="R37" i="1" s="1"/>
  <c r="P19" i="1"/>
  <c r="P32" i="1"/>
  <c r="R32" i="1" s="1"/>
  <c r="P21" i="1"/>
  <c r="P16" i="1"/>
  <c r="R16" i="1" s="1"/>
  <c r="P13" i="1"/>
  <c r="P8" i="1"/>
  <c r="R8" i="1" s="1"/>
  <c r="P27" i="1"/>
  <c r="R27" i="1" s="1"/>
  <c r="E21" i="1"/>
  <c r="R26" i="1"/>
  <c r="R2" i="1"/>
  <c r="P18" i="1"/>
  <c r="P35" i="1"/>
  <c r="R35" i="1" s="1"/>
  <c r="P3" i="1"/>
  <c r="R3" i="1" s="1"/>
  <c r="P33" i="1"/>
  <c r="R33" i="1" s="1"/>
  <c r="A28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K11" i="1"/>
  <c r="AE11" i="1" s="1"/>
  <c r="K12" i="1"/>
  <c r="AE12" i="1" s="1"/>
  <c r="J11" i="1"/>
  <c r="AD11" i="1" s="1"/>
  <c r="J12" i="1"/>
  <c r="AD12" i="1" s="1"/>
  <c r="J3" i="1"/>
  <c r="AD3" i="1" s="1"/>
  <c r="J4" i="1"/>
  <c r="AD4" i="1" s="1"/>
  <c r="J5" i="1"/>
  <c r="AD5" i="1" s="1"/>
  <c r="J6" i="1"/>
  <c r="AD6" i="1" s="1"/>
  <c r="J7" i="1"/>
  <c r="AD7" i="1" s="1"/>
  <c r="J8" i="1"/>
  <c r="AD8" i="1" s="1"/>
  <c r="J9" i="1"/>
  <c r="AD9" i="1" s="1"/>
  <c r="J10" i="1"/>
  <c r="AD10" i="1" s="1"/>
  <c r="AE2" i="1"/>
  <c r="AD2" i="1"/>
  <c r="J13" i="1"/>
  <c r="AD13" i="1" s="1"/>
  <c r="J14" i="1"/>
  <c r="AD14" i="1" s="1"/>
  <c r="J15" i="1"/>
  <c r="AD15" i="1" s="1"/>
  <c r="J16" i="1"/>
  <c r="AD16" i="1" s="1"/>
  <c r="J17" i="1"/>
  <c r="AD17" i="1" s="1"/>
  <c r="J18" i="1"/>
  <c r="AD18" i="1" s="1"/>
  <c r="J19" i="1"/>
  <c r="AD19" i="1" s="1"/>
  <c r="J20" i="1"/>
  <c r="AD20" i="1" s="1"/>
  <c r="J21" i="1"/>
  <c r="AD21" i="1" s="1"/>
  <c r="J22" i="1"/>
  <c r="AD22" i="1" s="1"/>
  <c r="J23" i="1"/>
  <c r="AD23" i="1" s="1"/>
  <c r="J24" i="1"/>
  <c r="AD24" i="1" s="1"/>
  <c r="J25" i="1"/>
  <c r="AD25" i="1" s="1"/>
  <c r="J26" i="1"/>
  <c r="AD26" i="1" s="1"/>
  <c r="J27" i="1"/>
  <c r="AD27" i="1" s="1"/>
  <c r="J28" i="1"/>
  <c r="AD28" i="1" s="1"/>
  <c r="J29" i="1"/>
  <c r="AD29" i="1" s="1"/>
  <c r="J30" i="1"/>
  <c r="AD30" i="1" s="1"/>
  <c r="J31" i="1"/>
  <c r="AD31" i="1" s="1"/>
  <c r="J32" i="1"/>
  <c r="AD32" i="1" s="1"/>
  <c r="J33" i="1"/>
  <c r="AD33" i="1" s="1"/>
  <c r="J34" i="1"/>
  <c r="AD34" i="1" s="1"/>
  <c r="J35" i="1"/>
  <c r="AD35" i="1" s="1"/>
  <c r="J36" i="1"/>
  <c r="AD36" i="1" s="1"/>
  <c r="J37" i="1"/>
  <c r="AD37" i="1" s="1"/>
  <c r="J38" i="1"/>
  <c r="AD38" i="1" s="1"/>
  <c r="J39" i="1"/>
  <c r="AD39" i="1" s="1"/>
  <c r="K3" i="1"/>
  <c r="AE3" i="1" s="1"/>
  <c r="K4" i="1"/>
  <c r="AE4" i="1" s="1"/>
  <c r="K5" i="1"/>
  <c r="AE5" i="1" s="1"/>
  <c r="K6" i="1"/>
  <c r="AE6" i="1" s="1"/>
  <c r="K7" i="1"/>
  <c r="AE7" i="1" s="1"/>
  <c r="K8" i="1"/>
  <c r="AE8" i="1" s="1"/>
  <c r="K9" i="1"/>
  <c r="AE9" i="1" s="1"/>
  <c r="K10" i="1"/>
  <c r="AE10" i="1" s="1"/>
  <c r="K13" i="1"/>
  <c r="AE13" i="1" s="1"/>
  <c r="K14" i="1"/>
  <c r="AE14" i="1" s="1"/>
  <c r="K15" i="1"/>
  <c r="AE15" i="1" s="1"/>
  <c r="K16" i="1"/>
  <c r="AE16" i="1" s="1"/>
  <c r="K17" i="1"/>
  <c r="AE17" i="1" s="1"/>
  <c r="K18" i="1"/>
  <c r="AE18" i="1" s="1"/>
  <c r="K19" i="1"/>
  <c r="AE19" i="1" s="1"/>
  <c r="K20" i="1"/>
  <c r="AE20" i="1" s="1"/>
  <c r="K21" i="1"/>
  <c r="AE21" i="1" s="1"/>
  <c r="K22" i="1"/>
  <c r="AE22" i="1" s="1"/>
  <c r="K23" i="1"/>
  <c r="AE23" i="1" s="1"/>
  <c r="K24" i="1"/>
  <c r="AE24" i="1" s="1"/>
  <c r="K25" i="1"/>
  <c r="AE25" i="1" s="1"/>
  <c r="K26" i="1"/>
  <c r="AE26" i="1" s="1"/>
  <c r="K27" i="1"/>
  <c r="AE27" i="1" s="1"/>
  <c r="K28" i="1"/>
  <c r="AE28" i="1" s="1"/>
  <c r="K29" i="1"/>
  <c r="AE29" i="1" s="1"/>
  <c r="K30" i="1"/>
  <c r="AE30" i="1" s="1"/>
  <c r="K31" i="1"/>
  <c r="AE31" i="1" s="1"/>
  <c r="K32" i="1"/>
  <c r="AE32" i="1" s="1"/>
  <c r="K33" i="1"/>
  <c r="AE33" i="1" s="1"/>
  <c r="K34" i="1"/>
  <c r="AE34" i="1" s="1"/>
  <c r="K35" i="1"/>
  <c r="AE35" i="1" s="1"/>
  <c r="K36" i="1"/>
  <c r="AE36" i="1" s="1"/>
  <c r="K37" i="1"/>
  <c r="AE37" i="1" s="1"/>
  <c r="K38" i="1"/>
  <c r="AE38" i="1" s="1"/>
  <c r="K39" i="1"/>
  <c r="AE39" i="1" s="1"/>
  <c r="A7" i="1"/>
  <c r="O2" i="1" s="1"/>
  <c r="R30" i="1" l="1"/>
  <c r="R28" i="1"/>
  <c r="R20" i="1"/>
  <c r="R23" i="1"/>
  <c r="R9" i="1"/>
  <c r="R34" i="1"/>
  <c r="R21" i="1"/>
  <c r="R14" i="1"/>
  <c r="R13" i="1"/>
  <c r="R15" i="1"/>
  <c r="R4" i="1"/>
  <c r="R36" i="1"/>
  <c r="R19" i="1"/>
  <c r="R12" i="1"/>
  <c r="R38" i="1"/>
  <c r="R31" i="1"/>
  <c r="R7" i="1"/>
  <c r="R6" i="1"/>
  <c r="R17" i="1"/>
  <c r="R18" i="1"/>
  <c r="O3" i="1"/>
  <c r="O7" i="1"/>
  <c r="O11" i="1"/>
  <c r="O15" i="1"/>
  <c r="O19" i="1"/>
  <c r="O23" i="1"/>
  <c r="O27" i="1"/>
  <c r="O31" i="1"/>
  <c r="O35" i="1"/>
  <c r="O39" i="1"/>
  <c r="O32" i="1"/>
  <c r="O21" i="1"/>
  <c r="O33" i="1"/>
  <c r="O4" i="1"/>
  <c r="O8" i="1"/>
  <c r="O12" i="1"/>
  <c r="O16" i="1"/>
  <c r="O20" i="1"/>
  <c r="O24" i="1"/>
  <c r="O28" i="1"/>
  <c r="O36" i="1"/>
  <c r="O29" i="1"/>
  <c r="O37" i="1"/>
  <c r="O5" i="1"/>
  <c r="O9" i="1"/>
  <c r="O13" i="1"/>
  <c r="O17" i="1"/>
  <c r="O25" i="1"/>
  <c r="O6" i="1"/>
  <c r="O10" i="1"/>
  <c r="O14" i="1"/>
  <c r="O18" i="1"/>
  <c r="O22" i="1"/>
  <c r="O26" i="1"/>
  <c r="O30" i="1"/>
  <c r="O34" i="1"/>
  <c r="O38" i="1"/>
  <c r="F14" i="1"/>
  <c r="E14" i="1"/>
  <c r="E25" i="1"/>
  <c r="B30" i="1"/>
  <c r="E29" i="1" l="1"/>
  <c r="Q22" i="1"/>
  <c r="S22" i="1" s="1"/>
  <c r="Q13" i="1"/>
  <c r="S13" i="1" s="1"/>
  <c r="Q20" i="1"/>
  <c r="S20" i="1" s="1"/>
  <c r="Q39" i="1"/>
  <c r="S39" i="1" s="1"/>
  <c r="Q7" i="1"/>
  <c r="S7" i="1" s="1"/>
  <c r="Q18" i="1"/>
  <c r="S18" i="1" s="1"/>
  <c r="Q9" i="1"/>
  <c r="S9" i="1" s="1"/>
  <c r="Q16" i="1"/>
  <c r="S16" i="1" s="1"/>
  <c r="V16" i="1"/>
  <c r="Q35" i="1"/>
  <c r="S35" i="1" s="1"/>
  <c r="Q3" i="1"/>
  <c r="S3" i="1" s="1"/>
  <c r="V3" i="1"/>
  <c r="Q10" i="1"/>
  <c r="S10" i="1" s="1"/>
  <c r="Q37" i="1"/>
  <c r="S37" i="1" s="1"/>
  <c r="V37" i="1"/>
  <c r="Q8" i="1"/>
  <c r="S8" i="1" s="1"/>
  <c r="Q27" i="1"/>
  <c r="S27" i="1" s="1"/>
  <c r="V27" i="1"/>
  <c r="Q5" i="1"/>
  <c r="S5" i="1" s="1"/>
  <c r="Q23" i="1"/>
  <c r="S23" i="1" s="1"/>
  <c r="V23" i="1"/>
  <c r="Q12" i="1"/>
  <c r="S12" i="1" s="1"/>
  <c r="Q4" i="1"/>
  <c r="S4" i="1" s="1"/>
  <c r="V4" i="1"/>
  <c r="Q34" i="1"/>
  <c r="S34" i="1" s="1"/>
  <c r="V34" i="1"/>
  <c r="Q2" i="1"/>
  <c r="S2" i="1" s="1"/>
  <c r="Q36" i="1"/>
  <c r="S36" i="1" s="1"/>
  <c r="Q33" i="1"/>
  <c r="S33" i="1" s="1"/>
  <c r="Q19" i="1"/>
  <c r="S19" i="1" s="1"/>
  <c r="Q31" i="1"/>
  <c r="S31" i="1" s="1"/>
  <c r="Q6" i="1"/>
  <c r="S6" i="1" s="1"/>
  <c r="Q30" i="1"/>
  <c r="S30" i="1" s="1"/>
  <c r="Q25" i="1"/>
  <c r="S25" i="1" s="1"/>
  <c r="Q28" i="1"/>
  <c r="S28" i="1" s="1"/>
  <c r="V28" i="1"/>
  <c r="Q21" i="1"/>
  <c r="S21" i="1" s="1"/>
  <c r="Q15" i="1"/>
  <c r="S15" i="1" s="1"/>
  <c r="Q14" i="1"/>
  <c r="S14" i="1" s="1"/>
  <c r="Q38" i="1"/>
  <c r="S38" i="1" s="1"/>
  <c r="Q29" i="1"/>
  <c r="S29" i="1" s="1"/>
  <c r="Q26" i="1"/>
  <c r="S26" i="1" s="1"/>
  <c r="Q17" i="1"/>
  <c r="S17" i="1" s="1"/>
  <c r="Q24" i="1"/>
  <c r="S24" i="1" s="1"/>
  <c r="V24" i="1"/>
  <c r="Q32" i="1"/>
  <c r="S32" i="1" s="1"/>
  <c r="Q11" i="1"/>
  <c r="S11" i="1" s="1"/>
  <c r="V11" i="1"/>
  <c r="V7" i="1" l="1"/>
  <c r="V32" i="1"/>
  <c r="V19" i="1"/>
  <c r="V6" i="1"/>
  <c r="V26" i="1"/>
  <c r="V12" i="1"/>
  <c r="V18" i="1"/>
  <c r="V22" i="1"/>
  <c r="V38" i="1"/>
  <c r="V31" i="1"/>
  <c r="V2" i="1"/>
  <c r="V39" i="1"/>
  <c r="V17" i="1"/>
  <c r="V14" i="1"/>
  <c r="V25" i="1"/>
  <c r="V5" i="1"/>
  <c r="V10" i="1"/>
  <c r="V9" i="1"/>
  <c r="V20" i="1"/>
  <c r="V15" i="1"/>
  <c r="V13" i="1"/>
  <c r="V30" i="1"/>
  <c r="V33" i="1"/>
  <c r="V29" i="1"/>
  <c r="V21" i="1"/>
  <c r="V36" i="1"/>
  <c r="V8" i="1"/>
  <c r="V35" i="1"/>
</calcChain>
</file>

<file path=xl/sharedStrings.xml><?xml version="1.0" encoding="utf-8"?>
<sst xmlns="http://schemas.openxmlformats.org/spreadsheetml/2006/main" count="74" uniqueCount="52">
  <si>
    <t>W</t>
  </si>
  <si>
    <t>H</t>
  </si>
  <si>
    <t>L</t>
  </si>
  <si>
    <t>Volume of rectangular piece</t>
  </si>
  <si>
    <t>Flow (Q)</t>
  </si>
  <si>
    <t>1/s</t>
  </si>
  <si>
    <t>Viscosity Resin 1</t>
  </si>
  <si>
    <t>Viscosity resin 2</t>
  </si>
  <si>
    <t>no</t>
  </si>
  <si>
    <t>n</t>
  </si>
  <si>
    <t>critical shear rate</t>
  </si>
  <si>
    <t>MFI</t>
  </si>
  <si>
    <t>Shear rates</t>
  </si>
  <si>
    <t>Resin 1</t>
  </si>
  <si>
    <t>Resin 2</t>
  </si>
  <si>
    <t>Pressure drop</t>
  </si>
  <si>
    <t>LOGS</t>
  </si>
  <si>
    <t>pa s</t>
  </si>
  <si>
    <t>m</t>
  </si>
  <si>
    <t>m3</t>
  </si>
  <si>
    <t>Shear rate</t>
  </si>
  <si>
    <t>m3/s</t>
  </si>
  <si>
    <t>Mpa</t>
  </si>
  <si>
    <t>MPa</t>
  </si>
  <si>
    <t>m=k</t>
  </si>
  <si>
    <t>Pa</t>
  </si>
  <si>
    <t>Wheight</t>
  </si>
  <si>
    <t>density</t>
  </si>
  <si>
    <t>Wh</t>
  </si>
  <si>
    <t>g/cm3</t>
  </si>
  <si>
    <t>g</t>
  </si>
  <si>
    <t>Rectangular piece (5 parts)</t>
  </si>
  <si>
    <t>Runners (5 parts)</t>
  </si>
  <si>
    <t>R</t>
  </si>
  <si>
    <t>Volume cylinders</t>
  </si>
  <si>
    <t>Assuming t=1s</t>
  </si>
  <si>
    <t>Viscosity in runner with resin 2</t>
  </si>
  <si>
    <t>Area</t>
  </si>
  <si>
    <t>Velocity</t>
  </si>
  <si>
    <t>m/s</t>
  </si>
  <si>
    <t>Total pressure drop</t>
  </si>
  <si>
    <t>T(s)</t>
  </si>
  <si>
    <t>Q-CP(m3/s)</t>
  </si>
  <si>
    <t>Q-RP(m3/s)</t>
  </si>
  <si>
    <t>ϒ-CP(1/s)</t>
  </si>
  <si>
    <t>ϒ-RP(1/s)</t>
  </si>
  <si>
    <t>ղ-CP(pa/m)</t>
  </si>
  <si>
    <t>ղ-RP(pa/m)</t>
  </si>
  <si>
    <t>dP-CP[MPa]</t>
  </si>
  <si>
    <t>dP-RP[MPa]</t>
  </si>
  <si>
    <t>Total dP [mPa]</t>
  </si>
  <si>
    <t>Viscosity resin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</si>
</sst>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81154116298844"/>
          <c:y val="0.16484444444444446"/>
          <c:w val="0.74819784850837312"/>
          <c:h val="0.53614033245844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Resin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</c:numCache>
            </c:numRef>
          </c:xVal>
          <c:yVal>
            <c:numRef>
              <c:f>Sheet1!$J$2:$J$39</c:f>
              <c:numCache>
                <c:formatCode>General</c:formatCode>
                <c:ptCount val="38"/>
                <c:pt idx="0">
                  <c:v>22078.075518970636</c:v>
                </c:pt>
                <c:pt idx="1">
                  <c:v>15396.627997645121</c:v>
                </c:pt>
                <c:pt idx="2">
                  <c:v>12469.761929322467</c:v>
                </c:pt>
                <c:pt idx="3">
                  <c:v>10737.174691434428</c:v>
                </c:pt>
                <c:pt idx="4">
                  <c:v>9560.8567732230367</c:v>
                </c:pt>
                <c:pt idx="5">
                  <c:v>8696.0607359099613</c:v>
                </c:pt>
                <c:pt idx="6">
                  <c:v>8026.2047361589321</c:v>
                </c:pt>
                <c:pt idx="7">
                  <c:v>7487.8031976880175</c:v>
                </c:pt>
                <c:pt idx="8">
                  <c:v>7042.958179954162</c:v>
                </c:pt>
                <c:pt idx="9">
                  <c:v>6667.4722146681015</c:v>
                </c:pt>
                <c:pt idx="10">
                  <c:v>4649.7073209878226</c:v>
                </c:pt>
                <c:pt idx="11">
                  <c:v>3765.8078991460943</c:v>
                </c:pt>
                <c:pt idx="12">
                  <c:v>3242.5749181654382</c:v>
                </c:pt>
                <c:pt idx="13">
                  <c:v>2887.332586081217</c:v>
                </c:pt>
                <c:pt idx="14">
                  <c:v>2626.1683580131707</c:v>
                </c:pt>
                <c:pt idx="15">
                  <c:v>2423.8750801261972</c:v>
                </c:pt>
                <c:pt idx="16">
                  <c:v>2261.2804148889645</c:v>
                </c:pt>
                <c:pt idx="17">
                  <c:v>2126.9393672272022</c:v>
                </c:pt>
                <c:pt idx="18">
                  <c:v>2013.5444185419574</c:v>
                </c:pt>
                <c:pt idx="19">
                  <c:v>1404.1891623383021</c:v>
                </c:pt>
                <c:pt idx="20">
                  <c:v>1137.255804372975</c:v>
                </c:pt>
                <c:pt idx="21">
                  <c:v>979.241970264614</c:v>
                </c:pt>
                <c:pt idx="22">
                  <c:v>871.9605010708774</c:v>
                </c:pt>
                <c:pt idx="23">
                  <c:v>793.09016508472155</c:v>
                </c:pt>
                <c:pt idx="24">
                  <c:v>731.99857182666847</c:v>
                </c:pt>
                <c:pt idx="25">
                  <c:v>682.89576792553135</c:v>
                </c:pt>
                <c:pt idx="26">
                  <c:v>642.32542012485658</c:v>
                </c:pt>
                <c:pt idx="27">
                  <c:v>608.08069308816607</c:v>
                </c:pt>
                <c:pt idx="28">
                  <c:v>424.05834765734215</c:v>
                </c:pt>
                <c:pt idx="29">
                  <c:v>343.44576229533448</c:v>
                </c:pt>
                <c:pt idx="30">
                  <c:v>295.72634727904807</c:v>
                </c:pt>
                <c:pt idx="31">
                  <c:v>263.32786153315999</c:v>
                </c:pt>
                <c:pt idx="32">
                  <c:v>239.5094008481523</c:v>
                </c:pt>
                <c:pt idx="33">
                  <c:v>221.06003463197663</c:v>
                </c:pt>
                <c:pt idx="34">
                  <c:v>206.23122492019638</c:v>
                </c:pt>
                <c:pt idx="35">
                  <c:v>193.97917575640082</c:v>
                </c:pt>
                <c:pt idx="36">
                  <c:v>183.63743352348581</c:v>
                </c:pt>
                <c:pt idx="37">
                  <c:v>128.06357365586268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3-474E-B19A-9033241FB88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Resin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Sheet1!$I$2:$I$39</c:f>
              <c:numCache>
                <c:formatCode>General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</c:numCache>
            </c:numRef>
          </c:xVal>
          <c:yVal>
            <c:numRef>
              <c:f>Sheet1!$K$2:$K$39</c:f>
              <c:numCache>
                <c:formatCode>General</c:formatCode>
                <c:ptCount val="38"/>
                <c:pt idx="0">
                  <c:v>15464.176662021326</c:v>
                </c:pt>
                <c:pt idx="1">
                  <c:v>10784.281227339001</c:v>
                </c:pt>
                <c:pt idx="2">
                  <c:v>8734.2124200407288</c:v>
                </c:pt>
                <c:pt idx="3">
                  <c:v>7520.6539689863239</c:v>
                </c:pt>
                <c:pt idx="4">
                  <c:v>6696.7239990805829</c:v>
                </c:pt>
                <c:pt idx="5">
                  <c:v>6090.9937267054274</c:v>
                </c:pt>
                <c:pt idx="6">
                  <c:v>5621.8055717249799</c:v>
                </c:pt>
                <c:pt idx="7">
                  <c:v>5244.6922450283555</c:v>
                </c:pt>
                <c:pt idx="8">
                  <c:v>4933.1088402363303</c:v>
                </c:pt>
                <c:pt idx="9">
                  <c:v>4670.1066915072006</c:v>
                </c:pt>
                <c:pt idx="10">
                  <c:v>3256.8008645801578</c:v>
                </c:pt>
                <c:pt idx="11">
                  <c:v>2637.6899824258658</c:v>
                </c:pt>
                <c:pt idx="12">
                  <c:v>2271.2011892188498</c:v>
                </c:pt>
                <c:pt idx="13">
                  <c:v>2022.3783162080879</c:v>
                </c:pt>
                <c:pt idx="14">
                  <c:v>1839.4506983921942</c:v>
                </c:pt>
                <c:pt idx="15">
                  <c:v>1697.7581408096494</c:v>
                </c:pt>
                <c:pt idx="16">
                  <c:v>1583.8717368352497</c:v>
                </c:pt>
                <c:pt idx="17">
                  <c:v>1489.7750529002096</c:v>
                </c:pt>
                <c:pt idx="18">
                  <c:v>1410.349673747814</c:v>
                </c:pt>
                <c:pt idx="19">
                  <c:v>983.53813739956217</c:v>
                </c:pt>
                <c:pt idx="20">
                  <c:v>796.56964003141582</c:v>
                </c:pt>
                <c:pt idx="21">
                  <c:v>685.89179387605691</c:v>
                </c:pt>
                <c:pt idx="22">
                  <c:v>610.74848753363483</c:v>
                </c:pt>
                <c:pt idx="23">
                  <c:v>555.5052301204197</c:v>
                </c:pt>
                <c:pt idx="24">
                  <c:v>512.71476181646278</c:v>
                </c:pt>
                <c:pt idx="25">
                  <c:v>478.32161765517424</c:v>
                </c:pt>
                <c:pt idx="26">
                  <c:v>449.90487340179936</c:v>
                </c:pt>
                <c:pt idx="27">
                  <c:v>425.91879236031338</c:v>
                </c:pt>
                <c:pt idx="28">
                  <c:v>297.02376901208027</c:v>
                </c:pt>
                <c:pt idx="29">
                  <c:v>240.56018548328882</c:v>
                </c:pt>
                <c:pt idx="30">
                  <c:v>207.13601029256233</c:v>
                </c:pt>
                <c:pt idx="31">
                  <c:v>184.44309456601297</c:v>
                </c:pt>
                <c:pt idx="32">
                  <c:v>167.75989753944796</c:v>
                </c:pt>
                <c:pt idx="33">
                  <c:v>154.83738270231373</c:v>
                </c:pt>
                <c:pt idx="34">
                  <c:v>144.45081921432183</c:v>
                </c:pt>
                <c:pt idx="35">
                  <c:v>135.86909964470152</c:v>
                </c:pt>
                <c:pt idx="36">
                  <c:v>128.62541897400772</c:v>
                </c:pt>
                <c:pt idx="37">
                  <c:v>89.699744222832265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3-474E-B19A-9033241F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128"/>
        <c:axId val="111123456"/>
      </c:scatterChart>
      <c:valAx>
        <c:axId val="75440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3456"/>
        <c:crosses val="autoZero"/>
        <c:crossBetween val="midCat"/>
      </c:valAx>
      <c:valAx>
        <c:axId val="11112345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(poises)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Resin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86045494313211"/>
                  <c:y val="0.23650663458734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Sheet1!$AC$2:$AC$39</c:f>
              <c:numCache>
                <c:formatCode>General</c:formatCode>
                <c:ptCount val="3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  <c:pt idx="28">
                  <c:v>2.3010299956639813</c:v>
                </c:pt>
                <c:pt idx="29">
                  <c:v>2.4771212547196626</c:v>
                </c:pt>
                <c:pt idx="30">
                  <c:v>2.6020599913279625</c:v>
                </c:pt>
                <c:pt idx="31">
                  <c:v>2.6989700043360187</c:v>
                </c:pt>
                <c:pt idx="32">
                  <c:v>2.7781512503836434</c:v>
                </c:pt>
                <c:pt idx="33">
                  <c:v>2.8450980400142569</c:v>
                </c:pt>
                <c:pt idx="34">
                  <c:v>2.9030899869919438</c:v>
                </c:pt>
                <c:pt idx="35">
                  <c:v>2.9542425094393248</c:v>
                </c:pt>
                <c:pt idx="36">
                  <c:v>3</c:v>
                </c:pt>
                <c:pt idx="37">
                  <c:v>3.3010299956639813</c:v>
                </c:pt>
              </c:numCache>
            </c:numRef>
          </c:xVal>
          <c:yVal>
            <c:numRef>
              <c:f>Sheet1!$AD$2:$AD$39</c:f>
              <c:numCache>
                <c:formatCode>General</c:formatCode>
                <c:ptCount val="38"/>
                <c:pt idx="0">
                  <c:v>4.3439612145319231</c:v>
                </c:pt>
                <c:pt idx="1">
                  <c:v>4.187425616786653</c:v>
                </c:pt>
                <c:pt idx="2">
                  <c:v>4.0958581620776986</c:v>
                </c:pt>
                <c:pt idx="3">
                  <c:v>4.0308900190413821</c:v>
                </c:pt>
                <c:pt idx="4">
                  <c:v>3.9804968122771931</c:v>
                </c:pt>
                <c:pt idx="5">
                  <c:v>3.9393225643324281</c:v>
                </c:pt>
                <c:pt idx="6">
                  <c:v>3.9045102337245092</c:v>
                </c:pt>
                <c:pt idx="7">
                  <c:v>3.8743544212961121</c:v>
                </c:pt>
                <c:pt idx="8">
                  <c:v>3.8477551096234737</c:v>
                </c:pt>
                <c:pt idx="9">
                  <c:v>3.8239612145319226</c:v>
                </c:pt>
                <c:pt idx="10">
                  <c:v>3.6674256167866526</c:v>
                </c:pt>
                <c:pt idx="11">
                  <c:v>3.5758581620776981</c:v>
                </c:pt>
                <c:pt idx="12">
                  <c:v>3.5108900190413821</c:v>
                </c:pt>
                <c:pt idx="13">
                  <c:v>3.4604968122771931</c:v>
                </c:pt>
                <c:pt idx="14">
                  <c:v>3.4193225643324281</c:v>
                </c:pt>
                <c:pt idx="15">
                  <c:v>3.3845102337245092</c:v>
                </c:pt>
                <c:pt idx="16">
                  <c:v>3.3543544212961121</c:v>
                </c:pt>
                <c:pt idx="17">
                  <c:v>3.3277551096234737</c:v>
                </c:pt>
                <c:pt idx="18">
                  <c:v>3.3039612145319226</c:v>
                </c:pt>
                <c:pt idx="19">
                  <c:v>3.1474256167866526</c:v>
                </c:pt>
                <c:pt idx="20">
                  <c:v>3.0558581620776981</c:v>
                </c:pt>
                <c:pt idx="21">
                  <c:v>2.9908900190413821</c:v>
                </c:pt>
                <c:pt idx="22">
                  <c:v>2.9404968122771931</c:v>
                </c:pt>
                <c:pt idx="23">
                  <c:v>2.8993225643324281</c:v>
                </c:pt>
                <c:pt idx="24">
                  <c:v>2.8645102337245092</c:v>
                </c:pt>
                <c:pt idx="25">
                  <c:v>2.834354421296112</c:v>
                </c:pt>
                <c:pt idx="26">
                  <c:v>2.8077551096234741</c:v>
                </c:pt>
                <c:pt idx="27">
                  <c:v>2.7839612145319226</c:v>
                </c:pt>
                <c:pt idx="28">
                  <c:v>2.6274256167866525</c:v>
                </c:pt>
                <c:pt idx="29">
                  <c:v>2.5358581620776981</c:v>
                </c:pt>
                <c:pt idx="30">
                  <c:v>2.4708900190413821</c:v>
                </c:pt>
                <c:pt idx="31">
                  <c:v>2.420496812277193</c:v>
                </c:pt>
                <c:pt idx="32">
                  <c:v>2.3793225643324281</c:v>
                </c:pt>
                <c:pt idx="33">
                  <c:v>2.3445102337245092</c:v>
                </c:pt>
                <c:pt idx="34">
                  <c:v>2.314354421296112</c:v>
                </c:pt>
                <c:pt idx="35">
                  <c:v>2.2877551096234736</c:v>
                </c:pt>
                <c:pt idx="36">
                  <c:v>2.263961214531923</c:v>
                </c:pt>
                <c:pt idx="37">
                  <c:v>2.1074256167866525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B-46C0-8455-360D2A6168F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Resin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08267716535434"/>
                  <c:y val="0.14448344998541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Sheet1!$AC$2:$AC$39</c:f>
              <c:numCache>
                <c:formatCode>General</c:formatCode>
                <c:ptCount val="38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  <c:pt idx="9">
                  <c:v>0</c:v>
                </c:pt>
                <c:pt idx="10">
                  <c:v>0.3010299956639812</c:v>
                </c:pt>
                <c:pt idx="11">
                  <c:v>0.47712125471966244</c:v>
                </c:pt>
                <c:pt idx="12">
                  <c:v>0.6020599913279624</c:v>
                </c:pt>
                <c:pt idx="13">
                  <c:v>0.69897000433601886</c:v>
                </c:pt>
                <c:pt idx="14">
                  <c:v>0.77815125038364363</c:v>
                </c:pt>
                <c:pt idx="15">
                  <c:v>0.84509804001425681</c:v>
                </c:pt>
                <c:pt idx="16">
                  <c:v>0.90308998699194354</c:v>
                </c:pt>
                <c:pt idx="17">
                  <c:v>0.95424250943932487</c:v>
                </c:pt>
                <c:pt idx="18">
                  <c:v>1</c:v>
                </c:pt>
                <c:pt idx="19">
                  <c:v>1.3010299956639813</c:v>
                </c:pt>
                <c:pt idx="20">
                  <c:v>1.4771212547196624</c:v>
                </c:pt>
                <c:pt idx="21">
                  <c:v>1.6020599913279623</c:v>
                </c:pt>
                <c:pt idx="22">
                  <c:v>1.6989700043360187</c:v>
                </c:pt>
                <c:pt idx="23">
                  <c:v>1.7781512503836436</c:v>
                </c:pt>
                <c:pt idx="24">
                  <c:v>1.8450980400142569</c:v>
                </c:pt>
                <c:pt idx="25">
                  <c:v>1.9030899869919435</c:v>
                </c:pt>
                <c:pt idx="26">
                  <c:v>1.954242509439325</c:v>
                </c:pt>
                <c:pt idx="27">
                  <c:v>2</c:v>
                </c:pt>
                <c:pt idx="28">
                  <c:v>2.3010299956639813</c:v>
                </c:pt>
                <c:pt idx="29">
                  <c:v>2.4771212547196626</c:v>
                </c:pt>
                <c:pt idx="30">
                  <c:v>2.6020599913279625</c:v>
                </c:pt>
                <c:pt idx="31">
                  <c:v>2.6989700043360187</c:v>
                </c:pt>
                <c:pt idx="32">
                  <c:v>2.7781512503836434</c:v>
                </c:pt>
                <c:pt idx="33">
                  <c:v>2.8450980400142569</c:v>
                </c:pt>
                <c:pt idx="34">
                  <c:v>2.9030899869919438</c:v>
                </c:pt>
                <c:pt idx="35">
                  <c:v>2.9542425094393248</c:v>
                </c:pt>
                <c:pt idx="36">
                  <c:v>3</c:v>
                </c:pt>
                <c:pt idx="37">
                  <c:v>3.3010299956639813</c:v>
                </c:pt>
              </c:numCache>
            </c:numRef>
          </c:xVal>
          <c:yVal>
            <c:numRef>
              <c:f>Sheet1!$AE$2:$AE$39</c:f>
              <c:numCache>
                <c:formatCode>General</c:formatCode>
                <c:ptCount val="38"/>
                <c:pt idx="0">
                  <c:v>4.1893268024084156</c:v>
                </c:pt>
                <c:pt idx="1">
                  <c:v>4.0327912046631456</c:v>
                </c:pt>
                <c:pt idx="2">
                  <c:v>3.9412237499541911</c:v>
                </c:pt>
                <c:pt idx="3">
                  <c:v>3.8762556069178751</c:v>
                </c:pt>
                <c:pt idx="4">
                  <c:v>3.8258624001536856</c:v>
                </c:pt>
                <c:pt idx="5">
                  <c:v>3.7846881522089211</c:v>
                </c:pt>
                <c:pt idx="6">
                  <c:v>3.7498758216010022</c:v>
                </c:pt>
                <c:pt idx="7">
                  <c:v>3.719720009172605</c:v>
                </c:pt>
                <c:pt idx="8">
                  <c:v>3.6931206974999666</c:v>
                </c:pt>
                <c:pt idx="9">
                  <c:v>3.6693268024084156</c:v>
                </c:pt>
                <c:pt idx="10">
                  <c:v>3.5127912046631455</c:v>
                </c:pt>
                <c:pt idx="11">
                  <c:v>3.4212237499541911</c:v>
                </c:pt>
                <c:pt idx="12">
                  <c:v>3.3562556069178751</c:v>
                </c:pt>
                <c:pt idx="13">
                  <c:v>3.305862400153686</c:v>
                </c:pt>
                <c:pt idx="14">
                  <c:v>3.2646881522089211</c:v>
                </c:pt>
                <c:pt idx="15">
                  <c:v>3.2298758216010022</c:v>
                </c:pt>
                <c:pt idx="16">
                  <c:v>3.199720009172605</c:v>
                </c:pt>
                <c:pt idx="17">
                  <c:v>3.1731206974999666</c:v>
                </c:pt>
                <c:pt idx="18">
                  <c:v>3.1493268024084156</c:v>
                </c:pt>
                <c:pt idx="19">
                  <c:v>2.9927912046631455</c:v>
                </c:pt>
                <c:pt idx="20">
                  <c:v>2.9012237499541911</c:v>
                </c:pt>
                <c:pt idx="21">
                  <c:v>2.836255606917875</c:v>
                </c:pt>
                <c:pt idx="22">
                  <c:v>2.785862400153686</c:v>
                </c:pt>
                <c:pt idx="23">
                  <c:v>2.744688152208921</c:v>
                </c:pt>
                <c:pt idx="24">
                  <c:v>2.7098758216010022</c:v>
                </c:pt>
                <c:pt idx="25">
                  <c:v>2.679720009172605</c:v>
                </c:pt>
                <c:pt idx="26">
                  <c:v>2.6531206974999666</c:v>
                </c:pt>
                <c:pt idx="27">
                  <c:v>2.6293268024084155</c:v>
                </c:pt>
                <c:pt idx="28">
                  <c:v>2.4727912046631455</c:v>
                </c:pt>
                <c:pt idx="29">
                  <c:v>2.3812237499541911</c:v>
                </c:pt>
                <c:pt idx="30">
                  <c:v>2.316255606917875</c:v>
                </c:pt>
                <c:pt idx="31">
                  <c:v>2.265862400153686</c:v>
                </c:pt>
                <c:pt idx="32">
                  <c:v>2.224688152208921</c:v>
                </c:pt>
                <c:pt idx="33">
                  <c:v>2.1898758216010021</c:v>
                </c:pt>
                <c:pt idx="34">
                  <c:v>2.159720009172605</c:v>
                </c:pt>
                <c:pt idx="35">
                  <c:v>2.1331206974999666</c:v>
                </c:pt>
                <c:pt idx="36">
                  <c:v>2.1093268024084155</c:v>
                </c:pt>
                <c:pt idx="37">
                  <c:v>1.9527912046631455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B-46C0-8455-360D2A616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1376"/>
        <c:axId val="65223296"/>
      </c:scatterChart>
      <c:valAx>
        <c:axId val="652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rate (1/s)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3296"/>
        <c:crosses val="autoZero"/>
        <c:crossBetween val="midCat"/>
      </c:valAx>
      <c:valAx>
        <c:axId val="652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(poises)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dP vs Filling time</a:t>
            </a:r>
            <a:endParaRPr lang="es-MX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Total dP [mPa]</c:v>
                </c:pt>
              </c:strCache>
            </c:strRef>
          </c:tx>
          <c:xVal>
            <c:numRef>
              <c:f>Sheet1!$M$2:$M$29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Sheet1!$V$2:$V$29</c:f>
              <c:numCache>
                <c:formatCode>0.0</c:formatCode>
                <c:ptCount val="28"/>
                <c:pt idx="0">
                  <c:v>9042.4324840614026</c:v>
                </c:pt>
                <c:pt idx="1">
                  <c:v>4521.2162420307013</c:v>
                </c:pt>
                <c:pt idx="2">
                  <c:v>3014.1441613538013</c:v>
                </c:pt>
                <c:pt idx="3">
                  <c:v>2260.6081210153507</c:v>
                </c:pt>
                <c:pt idx="4">
                  <c:v>1808.4864968122811</c:v>
                </c:pt>
                <c:pt idx="5">
                  <c:v>1507.0720806769007</c:v>
                </c:pt>
                <c:pt idx="6">
                  <c:v>1291.7760691516291</c:v>
                </c:pt>
                <c:pt idx="7">
                  <c:v>1130.3040605076753</c:v>
                </c:pt>
                <c:pt idx="8">
                  <c:v>1004.714720451267</c:v>
                </c:pt>
                <c:pt idx="9">
                  <c:v>904.24324840614054</c:v>
                </c:pt>
                <c:pt idx="10">
                  <c:v>452.12162420307027</c:v>
                </c:pt>
                <c:pt idx="11">
                  <c:v>301.41441613538018</c:v>
                </c:pt>
                <c:pt idx="12">
                  <c:v>226.06081210153513</c:v>
                </c:pt>
                <c:pt idx="13">
                  <c:v>180.8486496812281</c:v>
                </c:pt>
                <c:pt idx="14">
                  <c:v>150.70720806769009</c:v>
                </c:pt>
                <c:pt idx="15">
                  <c:v>129.1776069151629</c:v>
                </c:pt>
                <c:pt idx="16">
                  <c:v>113.03040605076757</c:v>
                </c:pt>
                <c:pt idx="17">
                  <c:v>100.47147204512672</c:v>
                </c:pt>
                <c:pt idx="18">
                  <c:v>90.424324840614048</c:v>
                </c:pt>
                <c:pt idx="19" formatCode="0.00">
                  <c:v>45.212162420307024</c:v>
                </c:pt>
                <c:pt idx="20" formatCode="0.00">
                  <c:v>30.141441613538014</c:v>
                </c:pt>
                <c:pt idx="21" formatCode="0.00">
                  <c:v>22.606081210153512</c:v>
                </c:pt>
                <c:pt idx="22" formatCode="0.00">
                  <c:v>18.084864968122808</c:v>
                </c:pt>
                <c:pt idx="23" formatCode="0.00">
                  <c:v>15.070720806769007</c:v>
                </c:pt>
                <c:pt idx="24" formatCode="0.00">
                  <c:v>12.917760691516293</c:v>
                </c:pt>
                <c:pt idx="25" formatCode="0.00">
                  <c:v>11.303040605076756</c:v>
                </c:pt>
                <c:pt idx="26" formatCode="0.00">
                  <c:v>10.047147204512672</c:v>
                </c:pt>
                <c:pt idx="27" formatCode="0.00">
                  <c:v>9.0424324840614041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4-4353-B621-77E811B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7312"/>
        <c:axId val="76075392"/>
      </c:scatterChart>
      <c:valAx>
        <c:axId val="760773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s-ES" sz="1200" b="0">
                    <a:effectLst/>
                  </a:rPr>
                  <a:t>Filling time, t[s]</a:t>
                </a:r>
                <a:endParaRPr lang="es-MX" sz="12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75392"/>
        <c:crosses val="autoZero"/>
        <c:crossBetween val="midCat"/>
      </c:valAx>
      <c:valAx>
        <c:axId val="76075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ES" sz="1200" b="0">
                    <a:effectLst/>
                  </a:rPr>
                  <a:t>Filling pressure,</a:t>
                </a:r>
                <a:r>
                  <a:rPr lang="es-ES" sz="1200" b="0" baseline="0">
                    <a:effectLst/>
                  </a:rPr>
                  <a:t> dP [MPa]</a:t>
                </a:r>
                <a:endParaRPr lang="es-MX" sz="1200" b="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0773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dP vs Filling time (log)</a:t>
            </a:r>
            <a:endParaRPr lang="es-MX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Total dP [mPa]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-4.1650696307652998E-3"/>
                  <c:y val="-0.45021771122540316"/>
                </c:manualLayout>
              </c:layout>
              <c:numFmt formatCode="General" sourceLinked="0"/>
            </c:trendlineLbl>
          </c:trendline>
          <c:xVal>
            <c:numRef>
              <c:f>Sheet1!$M$2:$M$29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Sheet1!$V$2:$V$29</c:f>
              <c:numCache>
                <c:formatCode>0.0</c:formatCode>
                <c:ptCount val="28"/>
                <c:pt idx="0">
                  <c:v>9042.4324840614026</c:v>
                </c:pt>
                <c:pt idx="1">
                  <c:v>4521.2162420307013</c:v>
                </c:pt>
                <c:pt idx="2">
                  <c:v>3014.1441613538013</c:v>
                </c:pt>
                <c:pt idx="3">
                  <c:v>2260.6081210153507</c:v>
                </c:pt>
                <c:pt idx="4">
                  <c:v>1808.4864968122811</c:v>
                </c:pt>
                <c:pt idx="5">
                  <c:v>1507.0720806769007</c:v>
                </c:pt>
                <c:pt idx="6">
                  <c:v>1291.7760691516291</c:v>
                </c:pt>
                <c:pt idx="7">
                  <c:v>1130.3040605076753</c:v>
                </c:pt>
                <c:pt idx="8">
                  <c:v>1004.714720451267</c:v>
                </c:pt>
                <c:pt idx="9">
                  <c:v>904.24324840614054</c:v>
                </c:pt>
                <c:pt idx="10">
                  <c:v>452.12162420307027</c:v>
                </c:pt>
                <c:pt idx="11">
                  <c:v>301.41441613538018</c:v>
                </c:pt>
                <c:pt idx="12">
                  <c:v>226.06081210153513</c:v>
                </c:pt>
                <c:pt idx="13">
                  <c:v>180.8486496812281</c:v>
                </c:pt>
                <c:pt idx="14">
                  <c:v>150.70720806769009</c:v>
                </c:pt>
                <c:pt idx="15">
                  <c:v>129.1776069151629</c:v>
                </c:pt>
                <c:pt idx="16">
                  <c:v>113.03040605076757</c:v>
                </c:pt>
                <c:pt idx="17">
                  <c:v>100.47147204512672</c:v>
                </c:pt>
                <c:pt idx="18">
                  <c:v>90.424324840614048</c:v>
                </c:pt>
                <c:pt idx="19" formatCode="0.00">
                  <c:v>45.212162420307024</c:v>
                </c:pt>
                <c:pt idx="20" formatCode="0.00">
                  <c:v>30.141441613538014</c:v>
                </c:pt>
                <c:pt idx="21" formatCode="0.00">
                  <c:v>22.606081210153512</c:v>
                </c:pt>
                <c:pt idx="22" formatCode="0.00">
                  <c:v>18.084864968122808</c:v>
                </c:pt>
                <c:pt idx="23" formatCode="0.00">
                  <c:v>15.070720806769007</c:v>
                </c:pt>
                <c:pt idx="24" formatCode="0.00">
                  <c:v>12.917760691516293</c:v>
                </c:pt>
                <c:pt idx="25" formatCode="0.00">
                  <c:v>11.303040605076756</c:v>
                </c:pt>
                <c:pt idx="26" formatCode="0.00">
                  <c:v>10.047147204512672</c:v>
                </c:pt>
                <c:pt idx="27" formatCode="0.00">
                  <c:v>9.0424324840614041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B25-ABB0-77B13B8A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0032"/>
        <c:axId val="65098496"/>
      </c:scatterChart>
      <c:valAx>
        <c:axId val="65100032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s-ES" sz="1200" b="0" i="0" baseline="0">
                    <a:effectLst/>
                  </a:rPr>
                  <a:t>Filling time, t[s]</a:t>
                </a:r>
                <a:endParaRPr lang="es-MX" sz="12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98496"/>
        <c:crosses val="autoZero"/>
        <c:crossBetween val="midCat"/>
      </c:valAx>
      <c:valAx>
        <c:axId val="65098496"/>
        <c:scaling>
          <c:logBase val="10"/>
          <c:orientation val="minMax"/>
          <c:max val="4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ES" sz="1200" b="0" i="0" baseline="0">
                    <a:effectLst/>
                  </a:rPr>
                  <a:t>Filling pressure, dP [MPa]</a:t>
                </a:r>
                <a:endParaRPr lang="es-MX" sz="1200" b="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51000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331470</xdr:colOff>
      <xdr:row>0</xdr:row>
      <xdr:rowOff>188595</xdr:rowOff>
    </xdr:from>
    <xdr:to>
      <xdr:col>31</xdr:col>
      <xdr:colOff>392430</xdr:colOff>
      <xdr:row>15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320040</xdr:colOff>
      <xdr:row>16</xdr:row>
      <xdr:rowOff>175260</xdr:rowOff>
    </xdr:from>
    <xdr:to>
      <xdr:col>31</xdr:col>
      <xdr:colOff>411480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</xdr:colOff>
      <xdr:row>35</xdr:row>
      <xdr:rowOff>28574</xdr:rowOff>
    </xdr:from>
    <xdr:to>
      <xdr:col>7</xdr:col>
      <xdr:colOff>483869</xdr:colOff>
      <xdr:row>49</xdr:row>
      <xdr:rowOff>152399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455295</xdr:colOff>
      <xdr:row>50</xdr:row>
      <xdr:rowOff>60960</xdr:rowOff>
    </xdr:from>
    <xdr:to>
      <xdr:col>8</xdr:col>
      <xdr:colOff>148590</xdr:colOff>
      <xdr:row>64</xdr:row>
      <xdr:rowOff>137160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"/>
  <sheetViews>
    <sheetView tabSelected="1" zoomScaleNormal="100" workbookViewId="0">
      <selection activeCell="M9" sqref="M9"/>
    </sheetView>
  </sheetViews>
  <sheetFormatPr defaultColWidth="9.15625" defaultRowHeight="14.4" x14ac:dyDescent="0.55000000000000004"/>
  <cols>
    <col min="1" max="1" width="12" style="1" bestFit="1" customWidth="1"/>
    <col min="2" max="3" width="9.15625" style="1"/>
    <col min="4" max="4" width="3.41796875" style="1" customWidth="1"/>
    <col min="5" max="5" width="11.68359375" style="1" bestFit="1" customWidth="1"/>
    <col min="6" max="11" width="9.15625" style="1"/>
    <col min="18" max="18" width="9.15625" customWidth="1"/>
    <col min="20" max="20" width="12" bestFit="1" customWidth="1"/>
    <col min="21" max="21" width="11" bestFit="1" customWidth="1"/>
    <col min="29" max="31" width="9.15625" style="1"/>
  </cols>
  <sheetData>
    <row r="1" spans="1:31" x14ac:dyDescent="0.55000000000000004">
      <c r="A1" s="1" t="s">
        <v>31</v>
      </c>
      <c r="E1" s="1" t="s">
        <v>6</v>
      </c>
      <c r="G1" s="1" t="s">
        <v>7</v>
      </c>
      <c r="I1" s="1" t="s">
        <v>12</v>
      </c>
      <c r="J1" s="1" t="s">
        <v>13</v>
      </c>
      <c r="K1" s="1" t="s">
        <v>14</v>
      </c>
      <c r="M1" s="7" t="s">
        <v>41</v>
      </c>
      <c r="N1" s="7" t="s">
        <v>42</v>
      </c>
      <c r="O1" s="7" t="s">
        <v>43</v>
      </c>
      <c r="P1" s="7" t="s">
        <v>44</v>
      </c>
      <c r="Q1" s="8" t="s">
        <v>45</v>
      </c>
      <c r="R1" s="7" t="s">
        <v>46</v>
      </c>
      <c r="S1" s="8" t="s">
        <v>47</v>
      </c>
      <c r="T1" s="7" t="s">
        <v>48</v>
      </c>
      <c r="U1" s="8" t="s">
        <v>49</v>
      </c>
      <c r="V1" s="7" t="s">
        <v>50</v>
      </c>
      <c r="AC1" s="1" t="s">
        <v>16</v>
      </c>
      <c r="AD1" s="1" t="s">
        <v>13</v>
      </c>
      <c r="AE1" s="1" t="s">
        <v>14</v>
      </c>
    </row>
    <row r="2" spans="1:31" x14ac:dyDescent="0.55000000000000004">
      <c r="A2" s="1" t="s">
        <v>0</v>
      </c>
      <c r="B2" s="1">
        <v>0.1</v>
      </c>
      <c r="C2" s="1" t="s">
        <v>18</v>
      </c>
      <c r="E2" s="1" t="s">
        <v>8</v>
      </c>
      <c r="F2" s="1">
        <v>5400</v>
      </c>
      <c r="G2" s="1">
        <v>2900</v>
      </c>
      <c r="H2" s="1" t="s">
        <v>17</v>
      </c>
      <c r="I2" s="1">
        <v>0.1</v>
      </c>
      <c r="J2" s="1">
        <f>F$2*($I2/F$4)^(F$5-1)</f>
        <v>22078.075518970636</v>
      </c>
      <c r="K2" s="1">
        <f>G$2*($I2/G$4)^(G$5-1)</f>
        <v>15464.176662021326</v>
      </c>
      <c r="M2">
        <v>0.01</v>
      </c>
      <c r="N2" s="4">
        <f>$A$25/M2</f>
        <v>5.4977871437821382E-4</v>
      </c>
      <c r="O2" s="4">
        <f>$A$7/M2</f>
        <v>0.01</v>
      </c>
      <c r="P2" s="5">
        <f>(4*N2)/(PI()*$B$21^3)</f>
        <v>5599.9999999999991</v>
      </c>
      <c r="Q2" s="5">
        <f>(6*O2)/($B$2*$B$3^2)</f>
        <v>23999.999999999996</v>
      </c>
      <c r="R2" s="5">
        <f>$G$6*P2^($G$5-1)</f>
        <v>52.513265856157517</v>
      </c>
      <c r="S2" s="5">
        <f>$G$6*Q2^($G$5-1)</f>
        <v>24.638652747066057</v>
      </c>
      <c r="T2" s="5">
        <f>((8*N2*$E$21)/(PI()*$B$21^4))/1000000</f>
        <v>1289.7841828378555</v>
      </c>
      <c r="U2" s="5">
        <f>((12*O2*$B$4*$F$9)/($B$3^3*$B$2))/1000000</f>
        <v>518.70231397442512</v>
      </c>
      <c r="V2" s="5">
        <f>(T2+U2)*5</f>
        <v>9042.4324840614026</v>
      </c>
      <c r="AC2" s="1">
        <f t="shared" ref="AC2:AC39" si="0">LOG(I2)</f>
        <v>-1</v>
      </c>
      <c r="AD2" s="1">
        <f t="shared" ref="AD2:AD39" si="1">LOG(J2)</f>
        <v>4.3439612145319231</v>
      </c>
      <c r="AE2" s="1">
        <f t="shared" ref="AE2:AE39" si="2">LOG(K2)</f>
        <v>4.1893268024084156</v>
      </c>
    </row>
    <row r="3" spans="1:31" x14ac:dyDescent="0.55000000000000004">
      <c r="A3" s="1" t="s">
        <v>1</v>
      </c>
      <c r="B3" s="1">
        <v>5.0000000000000001E-3</v>
      </c>
      <c r="C3" s="1" t="s">
        <v>18</v>
      </c>
      <c r="E3" s="1" t="s">
        <v>11</v>
      </c>
      <c r="F3" s="1">
        <v>1.5</v>
      </c>
      <c r="G3" s="1">
        <v>2.5</v>
      </c>
      <c r="I3" s="1">
        <v>0.2</v>
      </c>
      <c r="J3" s="1">
        <f t="shared" ref="J3:J12" si="3">F$2*($I3/F$4)^(F$5-1)</f>
        <v>15396.627997645121</v>
      </c>
      <c r="K3" s="1">
        <f t="shared" ref="K3:K10" si="4">G$2*($I3/G$4)^(G$5-1)</f>
        <v>10784.281227339001</v>
      </c>
      <c r="M3">
        <v>0.02</v>
      </c>
      <c r="N3" s="4">
        <f>$A$25/M3</f>
        <v>2.7488935718910691E-4</v>
      </c>
      <c r="O3" s="4">
        <f t="shared" ref="O2:O39" si="5">$A$7/M3</f>
        <v>5.0000000000000001E-3</v>
      </c>
      <c r="P3" s="5">
        <f>(4*N3)/(PI()*$B$21^3)</f>
        <v>2799.9999999999995</v>
      </c>
      <c r="Q3" s="5">
        <f>(6*O3)/($B$2*$B$3^2)</f>
        <v>11999.999999999998</v>
      </c>
      <c r="R3" s="5">
        <f>$G$6*P3^($G$5-1)</f>
        <v>75.301673164887418</v>
      </c>
      <c r="S3" s="5">
        <f>$G$6*Q3^($G$5-1)</f>
        <v>35.330725410694974</v>
      </c>
      <c r="T3" s="5">
        <f t="shared" ref="T3:T39" si="6">((8*N3*$E$21)/(PI()*$B$21^4))/1000000</f>
        <v>644.89209141892775</v>
      </c>
      <c r="U3" s="5">
        <f t="shared" ref="U3:U39" si="7">((12*O3*$B$4*$F$9)/($B$3^3*$B$2))/1000000</f>
        <v>259.35115698721256</v>
      </c>
      <c r="V3" s="5">
        <f>(T3+U3)*5</f>
        <v>4521.2162420307013</v>
      </c>
      <c r="AC3" s="1">
        <f t="shared" si="0"/>
        <v>-0.69897000433601875</v>
      </c>
      <c r="AD3" s="1">
        <f t="shared" si="1"/>
        <v>4.187425616786653</v>
      </c>
      <c r="AE3" s="1">
        <f t="shared" si="2"/>
        <v>4.0327912046631456</v>
      </c>
    </row>
    <row r="4" spans="1:31" x14ac:dyDescent="0.55000000000000004">
      <c r="A4" s="1" t="s">
        <v>2</v>
      </c>
      <c r="B4" s="1">
        <v>0.2</v>
      </c>
      <c r="C4" s="1" t="s">
        <v>18</v>
      </c>
      <c r="E4" s="1" t="s">
        <v>10</v>
      </c>
      <c r="F4" s="1">
        <v>1.5</v>
      </c>
      <c r="G4" s="1">
        <v>2.5</v>
      </c>
      <c r="H4" s="1" t="s">
        <v>5</v>
      </c>
      <c r="I4" s="1">
        <v>0.3</v>
      </c>
      <c r="J4" s="1">
        <f t="shared" si="3"/>
        <v>12469.761929322467</v>
      </c>
      <c r="K4" s="1">
        <f t="shared" si="4"/>
        <v>8734.2124200407288</v>
      </c>
      <c r="M4">
        <v>0.03</v>
      </c>
      <c r="N4" s="4">
        <f t="shared" ref="N4:N39" si="8">$A$25/M4</f>
        <v>1.8325957145940461E-4</v>
      </c>
      <c r="O4" s="4">
        <f t="shared" si="5"/>
        <v>3.3333333333333335E-3</v>
      </c>
      <c r="P4" s="5">
        <f t="shared" ref="P4:P39" si="9">(4*N4)/(PI()*$B$21^3)</f>
        <v>1866.6666666666663</v>
      </c>
      <c r="Q4" s="5">
        <f t="shared" ref="Q4:Q39" si="10">(6*O4)/($B$2*$B$3^2)</f>
        <v>7999.9999999999991</v>
      </c>
      <c r="R4" s="5">
        <f t="shared" ref="R4:R39" si="11">$G$6*P4^($G$5-1)</f>
        <v>92.976261767575096</v>
      </c>
      <c r="S4" s="5">
        <f t="shared" ref="S4:S39" si="12">$G$6*Q4^($G$5-1)</f>
        <v>43.62344999997719</v>
      </c>
      <c r="T4" s="5">
        <f t="shared" si="6"/>
        <v>429.92806094595187</v>
      </c>
      <c r="U4" s="5">
        <f t="shared" si="7"/>
        <v>172.9007713248084</v>
      </c>
      <c r="V4" s="5">
        <f t="shared" ref="V4:V39" si="13">(T4+U4)*5</f>
        <v>3014.1441613538013</v>
      </c>
      <c r="AC4" s="1">
        <f t="shared" si="0"/>
        <v>-0.52287874528033762</v>
      </c>
      <c r="AD4" s="1">
        <f t="shared" si="1"/>
        <v>4.0958581620776986</v>
      </c>
      <c r="AE4" s="1">
        <f t="shared" si="2"/>
        <v>3.9412237499541911</v>
      </c>
    </row>
    <row r="5" spans="1:31" x14ac:dyDescent="0.55000000000000004">
      <c r="E5" s="1" t="s">
        <v>9</v>
      </c>
      <c r="F5" s="1">
        <v>0.48</v>
      </c>
      <c r="G5" s="1">
        <v>0.48</v>
      </c>
      <c r="I5" s="1">
        <v>0.4</v>
      </c>
      <c r="J5" s="1">
        <f t="shared" si="3"/>
        <v>10737.174691434428</v>
      </c>
      <c r="K5" s="1">
        <f t="shared" si="4"/>
        <v>7520.6539689863239</v>
      </c>
      <c r="M5">
        <v>0.04</v>
      </c>
      <c r="N5" s="4">
        <f t="shared" si="8"/>
        <v>1.3744467859455345E-4</v>
      </c>
      <c r="O5" s="4">
        <f t="shared" si="5"/>
        <v>2.5000000000000001E-3</v>
      </c>
      <c r="P5" s="5">
        <f t="shared" si="9"/>
        <v>1399.9999999999998</v>
      </c>
      <c r="Q5" s="5">
        <f t="shared" si="10"/>
        <v>5999.9999999999991</v>
      </c>
      <c r="R5" s="5">
        <f t="shared" si="11"/>
        <v>107.97922941916292</v>
      </c>
      <c r="S5" s="5">
        <f t="shared" si="12"/>
        <v>50.662679118872191</v>
      </c>
      <c r="T5" s="5">
        <f t="shared" si="6"/>
        <v>322.44604570946387</v>
      </c>
      <c r="U5" s="5">
        <f t="shared" si="7"/>
        <v>129.67557849360628</v>
      </c>
      <c r="V5" s="5">
        <f t="shared" si="13"/>
        <v>2260.6081210153507</v>
      </c>
      <c r="AC5" s="1">
        <f t="shared" si="0"/>
        <v>-0.3979400086720376</v>
      </c>
      <c r="AD5" s="1">
        <f t="shared" si="1"/>
        <v>4.0308900190413821</v>
      </c>
      <c r="AE5" s="1">
        <f t="shared" si="2"/>
        <v>3.8762556069178751</v>
      </c>
    </row>
    <row r="6" spans="1:31" x14ac:dyDescent="0.55000000000000004">
      <c r="A6" s="1" t="s">
        <v>3</v>
      </c>
      <c r="E6" s="1" t="s">
        <v>24</v>
      </c>
      <c r="F6" s="1">
        <f>F$2/(F$4)^(F$5-1)</f>
        <v>6667.4722146681006</v>
      </c>
      <c r="G6" s="1">
        <f>G$2/(G$4)^(G$5-1)</f>
        <v>4670.1066915072015</v>
      </c>
      <c r="I6" s="1">
        <v>0.5</v>
      </c>
      <c r="J6" s="1">
        <f t="shared" si="3"/>
        <v>9560.8567732230367</v>
      </c>
      <c r="K6" s="1">
        <f t="shared" si="4"/>
        <v>6696.7239990805829</v>
      </c>
      <c r="M6">
        <v>0.05</v>
      </c>
      <c r="N6" s="4">
        <f t="shared" si="8"/>
        <v>1.0995574287564276E-4</v>
      </c>
      <c r="O6" s="4">
        <f t="shared" si="5"/>
        <v>2E-3</v>
      </c>
      <c r="P6" s="5">
        <f t="shared" si="9"/>
        <v>1119.9999999999998</v>
      </c>
      <c r="Q6" s="5">
        <f t="shared" si="10"/>
        <v>4800</v>
      </c>
      <c r="R6" s="5">
        <f t="shared" si="11"/>
        <v>121.26443025138929</v>
      </c>
      <c r="S6" s="5">
        <f t="shared" si="12"/>
        <v>56.895950743548262</v>
      </c>
      <c r="T6" s="5">
        <f t="shared" si="6"/>
        <v>257.95683656757114</v>
      </c>
      <c r="U6" s="5">
        <f t="shared" si="7"/>
        <v>103.74046279488502</v>
      </c>
      <c r="V6" s="5">
        <f t="shared" si="13"/>
        <v>1808.4864968122811</v>
      </c>
      <c r="AC6" s="1">
        <f t="shared" si="0"/>
        <v>-0.3010299956639812</v>
      </c>
      <c r="AD6" s="1">
        <f t="shared" si="1"/>
        <v>3.9804968122771931</v>
      </c>
      <c r="AE6" s="1">
        <f t="shared" si="2"/>
        <v>3.8258624001536856</v>
      </c>
    </row>
    <row r="7" spans="1:31" x14ac:dyDescent="0.55000000000000004">
      <c r="A7" s="1">
        <f>B2*B3*B4</f>
        <v>1E-4</v>
      </c>
      <c r="B7" s="1" t="s">
        <v>19</v>
      </c>
      <c r="I7" s="1">
        <v>0.6</v>
      </c>
      <c r="J7" s="1">
        <f t="shared" si="3"/>
        <v>8696.0607359099613</v>
      </c>
      <c r="K7" s="1">
        <f t="shared" si="4"/>
        <v>6090.9937267054274</v>
      </c>
      <c r="M7">
        <v>0.06</v>
      </c>
      <c r="N7" s="4">
        <f t="shared" si="8"/>
        <v>9.1629785729702303E-5</v>
      </c>
      <c r="O7" s="4">
        <f t="shared" si="5"/>
        <v>1.6666666666666668E-3</v>
      </c>
      <c r="P7" s="5">
        <f t="shared" si="9"/>
        <v>933.33333333333314</v>
      </c>
      <c r="Q7" s="5">
        <f t="shared" si="10"/>
        <v>3999.9999999999995</v>
      </c>
      <c r="R7" s="5">
        <f t="shared" si="11"/>
        <v>133.32379850250766</v>
      </c>
      <c r="S7" s="5">
        <f t="shared" si="12"/>
        <v>62.554075064023316</v>
      </c>
      <c r="T7" s="5">
        <f t="shared" si="6"/>
        <v>214.96403047297594</v>
      </c>
      <c r="U7" s="5">
        <f t="shared" si="7"/>
        <v>86.450385662404202</v>
      </c>
      <c r="V7" s="5">
        <f t="shared" si="13"/>
        <v>1507.0720806769007</v>
      </c>
      <c r="AC7" s="1">
        <f t="shared" si="0"/>
        <v>-0.22184874961635639</v>
      </c>
      <c r="AD7" s="1">
        <f t="shared" si="1"/>
        <v>3.9393225643324281</v>
      </c>
      <c r="AE7" s="1">
        <f t="shared" si="2"/>
        <v>3.7846881522089211</v>
      </c>
    </row>
    <row r="8" spans="1:31" x14ac:dyDescent="0.55000000000000004">
      <c r="A8" s="2" t="s">
        <v>35</v>
      </c>
      <c r="E8" s="1" t="s">
        <v>51</v>
      </c>
      <c r="F8" s="1" t="s">
        <v>7</v>
      </c>
      <c r="I8" s="1">
        <v>0.7</v>
      </c>
      <c r="J8" s="1">
        <f t="shared" si="3"/>
        <v>8026.2047361589321</v>
      </c>
      <c r="K8" s="1">
        <f t="shared" si="4"/>
        <v>5621.8055717249799</v>
      </c>
      <c r="M8">
        <v>7.0000000000000007E-2</v>
      </c>
      <c r="N8" s="4">
        <f t="shared" si="8"/>
        <v>7.8539816339744827E-5</v>
      </c>
      <c r="O8" s="4">
        <f t="shared" si="5"/>
        <v>1.4285714285714286E-3</v>
      </c>
      <c r="P8" s="5">
        <f t="shared" si="9"/>
        <v>799.99999999999989</v>
      </c>
      <c r="Q8" s="5">
        <f t="shared" si="10"/>
        <v>3428.5714285714284</v>
      </c>
      <c r="R8" s="5">
        <f t="shared" si="11"/>
        <v>144.45081921432185</v>
      </c>
      <c r="S8" s="5">
        <f t="shared" si="12"/>
        <v>67.774752067406808</v>
      </c>
      <c r="T8" s="5">
        <f t="shared" si="6"/>
        <v>184.25488326255081</v>
      </c>
      <c r="U8" s="5">
        <f t="shared" si="7"/>
        <v>74.100330567775032</v>
      </c>
      <c r="V8" s="5">
        <f t="shared" si="13"/>
        <v>1291.7760691516291</v>
      </c>
      <c r="AC8" s="1">
        <f t="shared" si="0"/>
        <v>-0.15490195998574319</v>
      </c>
      <c r="AD8" s="1">
        <f t="shared" si="1"/>
        <v>3.9045102337245092</v>
      </c>
      <c r="AE8" s="1">
        <f t="shared" si="2"/>
        <v>3.7498758216010022</v>
      </c>
    </row>
    <row r="9" spans="1:31" x14ac:dyDescent="0.55000000000000004">
      <c r="A9" s="1" t="s">
        <v>4</v>
      </c>
      <c r="E9" s="1">
        <f>F$2*($A14/F$4)^(F$5-1)</f>
        <v>385.70153640684021</v>
      </c>
      <c r="F9" s="1">
        <f>G$2*($A14/G$4)^(G$5-1)</f>
        <v>270.15745519501314</v>
      </c>
      <c r="I9" s="1">
        <v>0.8</v>
      </c>
      <c r="J9" s="1">
        <f t="shared" si="3"/>
        <v>7487.8031976880175</v>
      </c>
      <c r="K9" s="1">
        <f t="shared" si="4"/>
        <v>5244.6922450283555</v>
      </c>
      <c r="M9">
        <v>0.08</v>
      </c>
      <c r="N9" s="4">
        <f t="shared" si="8"/>
        <v>6.8722339297276727E-5</v>
      </c>
      <c r="O9" s="4">
        <f t="shared" si="5"/>
        <v>1.25E-3</v>
      </c>
      <c r="P9" s="5">
        <f t="shared" si="9"/>
        <v>699.99999999999989</v>
      </c>
      <c r="Q9" s="5">
        <f t="shared" si="10"/>
        <v>2999.9999999999995</v>
      </c>
      <c r="R9" s="5">
        <f t="shared" si="11"/>
        <v>154.8373827023137</v>
      </c>
      <c r="S9" s="5">
        <f t="shared" si="12"/>
        <v>72.648014601048615</v>
      </c>
      <c r="T9" s="5">
        <f t="shared" si="6"/>
        <v>161.22302285473194</v>
      </c>
      <c r="U9" s="5">
        <f t="shared" si="7"/>
        <v>64.83778924680314</v>
      </c>
      <c r="V9" s="5">
        <f t="shared" si="13"/>
        <v>1130.3040605076753</v>
      </c>
      <c r="AC9" s="1">
        <f t="shared" si="0"/>
        <v>-9.6910013008056392E-2</v>
      </c>
      <c r="AD9" s="1">
        <f t="shared" si="1"/>
        <v>3.8743544212961121</v>
      </c>
      <c r="AE9" s="1">
        <f t="shared" si="2"/>
        <v>3.719720009172605</v>
      </c>
    </row>
    <row r="10" spans="1:31" x14ac:dyDescent="0.55000000000000004">
      <c r="A10" s="1">
        <f>A7</f>
        <v>1E-4</v>
      </c>
      <c r="B10" s="1" t="s">
        <v>21</v>
      </c>
      <c r="I10" s="1">
        <v>0.9</v>
      </c>
      <c r="J10" s="1">
        <f t="shared" si="3"/>
        <v>7042.958179954162</v>
      </c>
      <c r="K10" s="1">
        <f t="shared" si="4"/>
        <v>4933.1088402363303</v>
      </c>
      <c r="M10">
        <v>0.09</v>
      </c>
      <c r="N10" s="4">
        <f t="shared" si="8"/>
        <v>6.1086523819801531E-5</v>
      </c>
      <c r="O10" s="4">
        <f t="shared" si="5"/>
        <v>1.1111111111111111E-3</v>
      </c>
      <c r="P10" s="5">
        <f t="shared" si="9"/>
        <v>622.22222222222206</v>
      </c>
      <c r="Q10" s="5">
        <f t="shared" si="10"/>
        <v>2666.6666666666661</v>
      </c>
      <c r="R10" s="5">
        <f t="shared" si="11"/>
        <v>164.61717075360713</v>
      </c>
      <c r="S10" s="5">
        <f t="shared" si="12"/>
        <v>77.236584704377464</v>
      </c>
      <c r="T10" s="5">
        <f t="shared" si="6"/>
        <v>143.30935364865061</v>
      </c>
      <c r="U10" s="5">
        <f t="shared" si="7"/>
        <v>57.633590441602792</v>
      </c>
      <c r="V10" s="5">
        <f t="shared" si="13"/>
        <v>1004.714720451267</v>
      </c>
      <c r="AC10" s="1">
        <f t="shared" si="0"/>
        <v>-4.5757490560675115E-2</v>
      </c>
      <c r="AD10" s="1">
        <f t="shared" si="1"/>
        <v>3.8477551096234737</v>
      </c>
      <c r="AE10" s="1">
        <f t="shared" si="2"/>
        <v>3.6931206974999666</v>
      </c>
    </row>
    <row r="11" spans="1:31" x14ac:dyDescent="0.55000000000000004">
      <c r="A11" s="1" t="s">
        <v>37</v>
      </c>
      <c r="B11" s="1">
        <f>B2*B3</f>
        <v>5.0000000000000001E-4</v>
      </c>
      <c r="E11" s="3" t="s">
        <v>15</v>
      </c>
      <c r="F11" s="3"/>
      <c r="I11" s="1">
        <v>1</v>
      </c>
      <c r="J11" s="1">
        <f t="shared" si="3"/>
        <v>6667.4722146681015</v>
      </c>
      <c r="K11" s="1">
        <f t="shared" ref="K11:K12" si="14">G$2*($I11/G$4)^(G$5-1)</f>
        <v>4670.1066915072006</v>
      </c>
      <c r="M11">
        <v>0.1</v>
      </c>
      <c r="N11" s="4">
        <f t="shared" si="8"/>
        <v>5.4977871437821378E-5</v>
      </c>
      <c r="O11" s="4">
        <f t="shared" si="5"/>
        <v>1E-3</v>
      </c>
      <c r="P11" s="5">
        <f t="shared" si="9"/>
        <v>559.99999999999989</v>
      </c>
      <c r="Q11" s="5">
        <f t="shared" si="10"/>
        <v>2400</v>
      </c>
      <c r="R11" s="5">
        <f t="shared" si="11"/>
        <v>173.88776615662897</v>
      </c>
      <c r="S11" s="5">
        <f t="shared" si="12"/>
        <v>81.586247159561026</v>
      </c>
      <c r="T11" s="5">
        <f t="shared" si="6"/>
        <v>128.97841828378557</v>
      </c>
      <c r="U11" s="5">
        <f t="shared" si="7"/>
        <v>51.87023139744251</v>
      </c>
      <c r="V11" s="5">
        <f t="shared" si="13"/>
        <v>904.24324840614054</v>
      </c>
      <c r="AC11" s="1">
        <f t="shared" si="0"/>
        <v>0</v>
      </c>
      <c r="AD11" s="1">
        <f t="shared" si="1"/>
        <v>3.8239612145319226</v>
      </c>
      <c r="AE11" s="1">
        <f t="shared" si="2"/>
        <v>3.6693268024084156</v>
      </c>
    </row>
    <row r="12" spans="1:31" x14ac:dyDescent="0.55000000000000004">
      <c r="A12" s="1" t="s">
        <v>38</v>
      </c>
      <c r="B12" s="1">
        <f>A10/B11</f>
        <v>0.2</v>
      </c>
      <c r="C12" s="1" t="s">
        <v>39</v>
      </c>
      <c r="E12" s="1" t="s">
        <v>13</v>
      </c>
      <c r="F12" s="1" t="s">
        <v>14</v>
      </c>
      <c r="G12" s="1" t="s">
        <v>25</v>
      </c>
      <c r="I12" s="1">
        <v>2</v>
      </c>
      <c r="J12" s="1">
        <f t="shared" si="3"/>
        <v>4649.7073209878226</v>
      </c>
      <c r="K12" s="1">
        <f t="shared" si="14"/>
        <v>3256.8008645801578</v>
      </c>
      <c r="M12">
        <v>0.2</v>
      </c>
      <c r="N12" s="4">
        <f t="shared" si="8"/>
        <v>2.7488935718910689E-5</v>
      </c>
      <c r="O12" s="4">
        <f t="shared" si="5"/>
        <v>5.0000000000000001E-4</v>
      </c>
      <c r="P12" s="5">
        <f t="shared" si="9"/>
        <v>279.99999999999994</v>
      </c>
      <c r="Q12" s="5">
        <f t="shared" si="10"/>
        <v>1200</v>
      </c>
      <c r="R12" s="5">
        <f t="shared" si="11"/>
        <v>249.34727484604716</v>
      </c>
      <c r="S12" s="5">
        <f t="shared" si="12"/>
        <v>116.991027280369</v>
      </c>
      <c r="T12" s="5">
        <f t="shared" si="6"/>
        <v>64.489209141892786</v>
      </c>
      <c r="U12" s="5">
        <f t="shared" si="7"/>
        <v>25.935115698721255</v>
      </c>
      <c r="V12" s="5">
        <f t="shared" si="13"/>
        <v>452.12162420307027</v>
      </c>
      <c r="AC12" s="1">
        <f t="shared" si="0"/>
        <v>0.3010299956639812</v>
      </c>
      <c r="AD12" s="1">
        <f t="shared" si="1"/>
        <v>3.6674256167866526</v>
      </c>
      <c r="AE12" s="1">
        <f t="shared" si="2"/>
        <v>3.5127912046631455</v>
      </c>
    </row>
    <row r="13" spans="1:31" x14ac:dyDescent="0.55000000000000004">
      <c r="A13" s="1" t="s">
        <v>20</v>
      </c>
      <c r="E13" s="1">
        <f>(12*$A$10*$B$4*E9)/($B3^3*$B2)</f>
        <v>7405469.4990113322</v>
      </c>
      <c r="F13" s="1">
        <f>(12*$A$10*$B$4*F9)/($B3^3*$B2)</f>
        <v>5187023.139744252</v>
      </c>
      <c r="G13" s="1" t="s">
        <v>23</v>
      </c>
      <c r="I13" s="1">
        <v>3</v>
      </c>
      <c r="J13" s="1">
        <f t="shared" ref="J13:J39" si="15">F$2*($I13/F$4)^(F$5-1)</f>
        <v>3765.8078991460943</v>
      </c>
      <c r="K13" s="1">
        <f t="shared" ref="K13:K39" si="16">G$2*($I13/G$4)^(G$5-1)</f>
        <v>2637.6899824258658</v>
      </c>
      <c r="M13">
        <v>0.3</v>
      </c>
      <c r="N13" s="4">
        <f t="shared" si="8"/>
        <v>1.8325957145940463E-5</v>
      </c>
      <c r="O13" s="4">
        <f t="shared" si="5"/>
        <v>3.3333333333333338E-4</v>
      </c>
      <c r="P13" s="5">
        <f t="shared" si="9"/>
        <v>186.66666666666666</v>
      </c>
      <c r="Q13" s="5">
        <f t="shared" si="10"/>
        <v>800</v>
      </c>
      <c r="R13" s="5">
        <f t="shared" si="11"/>
        <v>307.87333830356096</v>
      </c>
      <c r="S13" s="5">
        <f t="shared" si="12"/>
        <v>144.45081921432185</v>
      </c>
      <c r="T13" s="5">
        <f t="shared" si="6"/>
        <v>42.992806094595196</v>
      </c>
      <c r="U13" s="5">
        <f t="shared" si="7"/>
        <v>17.290077132480839</v>
      </c>
      <c r="V13" s="5">
        <f t="shared" si="13"/>
        <v>301.41441613538018</v>
      </c>
      <c r="AC13" s="1">
        <f t="shared" si="0"/>
        <v>0.47712125471966244</v>
      </c>
      <c r="AD13" s="1">
        <f t="shared" si="1"/>
        <v>3.5758581620776981</v>
      </c>
      <c r="AE13" s="1">
        <f t="shared" si="2"/>
        <v>3.4212237499541911</v>
      </c>
    </row>
    <row r="14" spans="1:31" x14ac:dyDescent="0.55000000000000004">
      <c r="A14" s="1">
        <f>(6*A10)/(B2*B3^2)</f>
        <v>240</v>
      </c>
      <c r="B14" s="1" t="s">
        <v>5</v>
      </c>
      <c r="E14" s="1">
        <f>E13/1000000</f>
        <v>7.4054694990113319</v>
      </c>
      <c r="F14" s="1">
        <f>F13/1000000</f>
        <v>5.1870231397442517</v>
      </c>
      <c r="I14" s="1">
        <v>4</v>
      </c>
      <c r="J14" s="1">
        <f t="shared" si="15"/>
        <v>3242.5749181654382</v>
      </c>
      <c r="K14" s="1">
        <f t="shared" si="16"/>
        <v>2271.2011892188498</v>
      </c>
      <c r="M14">
        <v>0.4</v>
      </c>
      <c r="N14" s="4">
        <f t="shared" si="8"/>
        <v>1.3744467859455344E-5</v>
      </c>
      <c r="O14" s="4">
        <f t="shared" si="5"/>
        <v>2.5000000000000001E-4</v>
      </c>
      <c r="P14" s="5">
        <f t="shared" si="9"/>
        <v>139.99999999999997</v>
      </c>
      <c r="Q14" s="5">
        <f t="shared" si="10"/>
        <v>600</v>
      </c>
      <c r="R14" s="5">
        <f t="shared" si="11"/>
        <v>357.55283334393425</v>
      </c>
      <c r="S14" s="5">
        <f t="shared" si="12"/>
        <v>167.75989753944796</v>
      </c>
      <c r="T14" s="5">
        <f t="shared" si="6"/>
        <v>32.244604570946393</v>
      </c>
      <c r="U14" s="5">
        <f t="shared" si="7"/>
        <v>12.967557849360627</v>
      </c>
      <c r="V14" s="5">
        <f t="shared" si="13"/>
        <v>226.06081210153513</v>
      </c>
      <c r="AC14" s="1">
        <f t="shared" si="0"/>
        <v>0.6020599913279624</v>
      </c>
      <c r="AD14" s="1">
        <f t="shared" si="1"/>
        <v>3.5108900190413821</v>
      </c>
      <c r="AE14" s="1">
        <f t="shared" si="2"/>
        <v>3.3562556069178751</v>
      </c>
    </row>
    <row r="15" spans="1:31" x14ac:dyDescent="0.55000000000000004">
      <c r="A15" s="1" t="s">
        <v>26</v>
      </c>
      <c r="I15" s="1">
        <v>5</v>
      </c>
      <c r="J15" s="1">
        <f t="shared" si="15"/>
        <v>2887.332586081217</v>
      </c>
      <c r="K15" s="1">
        <f t="shared" si="16"/>
        <v>2022.3783162080879</v>
      </c>
      <c r="M15">
        <v>0.5</v>
      </c>
      <c r="N15" s="4">
        <f t="shared" si="8"/>
        <v>1.0995574287564276E-5</v>
      </c>
      <c r="O15" s="4">
        <f t="shared" si="5"/>
        <v>2.0000000000000001E-4</v>
      </c>
      <c r="P15" s="5">
        <f t="shared" si="9"/>
        <v>111.99999999999999</v>
      </c>
      <c r="Q15" s="5">
        <f t="shared" si="10"/>
        <v>480</v>
      </c>
      <c r="R15" s="5">
        <f t="shared" si="11"/>
        <v>401.54426785089998</v>
      </c>
      <c r="S15" s="5">
        <f t="shared" si="12"/>
        <v>188.40019977529408</v>
      </c>
      <c r="T15" s="5">
        <f t="shared" si="6"/>
        <v>25.795683656757113</v>
      </c>
      <c r="U15" s="5">
        <f t="shared" si="7"/>
        <v>10.374046279488503</v>
      </c>
      <c r="V15" s="5">
        <f t="shared" si="13"/>
        <v>180.8486496812281</v>
      </c>
      <c r="AC15" s="1">
        <f t="shared" si="0"/>
        <v>0.69897000433601886</v>
      </c>
      <c r="AD15" s="1">
        <f t="shared" si="1"/>
        <v>3.4604968122771931</v>
      </c>
      <c r="AE15" s="1">
        <f t="shared" si="2"/>
        <v>3.305862400153686</v>
      </c>
    </row>
    <row r="16" spans="1:31" x14ac:dyDescent="0.55000000000000004">
      <c r="A16" s="1" t="s">
        <v>27</v>
      </c>
      <c r="B16" s="1">
        <v>0.75</v>
      </c>
      <c r="C16" s="1" t="s">
        <v>29</v>
      </c>
      <c r="I16" s="1">
        <v>6</v>
      </c>
      <c r="J16" s="1">
        <f t="shared" si="15"/>
        <v>2626.1683580131707</v>
      </c>
      <c r="K16" s="1">
        <f t="shared" si="16"/>
        <v>1839.4506983921942</v>
      </c>
      <c r="M16">
        <v>0.6</v>
      </c>
      <c r="N16" s="4">
        <f t="shared" si="8"/>
        <v>9.1629785729702313E-6</v>
      </c>
      <c r="O16" s="4">
        <f t="shared" si="5"/>
        <v>1.6666666666666669E-4</v>
      </c>
      <c r="P16" s="5">
        <f t="shared" si="9"/>
        <v>93.333333333333329</v>
      </c>
      <c r="Q16" s="5">
        <f t="shared" si="10"/>
        <v>400</v>
      </c>
      <c r="R16" s="5">
        <f t="shared" si="11"/>
        <v>441.47658918454334</v>
      </c>
      <c r="S16" s="5">
        <f t="shared" si="12"/>
        <v>207.13601029256233</v>
      </c>
      <c r="T16" s="5">
        <f t="shared" si="6"/>
        <v>21.496403047297598</v>
      </c>
      <c r="U16" s="5">
        <f t="shared" si="7"/>
        <v>8.6450385662404194</v>
      </c>
      <c r="V16" s="5">
        <f t="shared" si="13"/>
        <v>150.70720806769009</v>
      </c>
      <c r="AC16" s="1">
        <f t="shared" si="0"/>
        <v>0.77815125038364363</v>
      </c>
      <c r="AD16" s="1">
        <f t="shared" si="1"/>
        <v>3.4193225643324281</v>
      </c>
      <c r="AE16" s="1">
        <f t="shared" si="2"/>
        <v>3.2646881522089211</v>
      </c>
    </row>
    <row r="17" spans="1:31" x14ac:dyDescent="0.55000000000000004">
      <c r="A17" s="1" t="s">
        <v>28</v>
      </c>
      <c r="B17" s="1">
        <f>B16*1000</f>
        <v>750</v>
      </c>
      <c r="C17" s="1" t="s">
        <v>30</v>
      </c>
      <c r="I17" s="1">
        <v>7</v>
      </c>
      <c r="J17" s="1">
        <f t="shared" si="15"/>
        <v>2423.8750801261972</v>
      </c>
      <c r="K17" s="1">
        <f t="shared" si="16"/>
        <v>1697.7581408096494</v>
      </c>
      <c r="M17">
        <v>0.7</v>
      </c>
      <c r="N17" s="4">
        <f t="shared" si="8"/>
        <v>7.8539816339744837E-6</v>
      </c>
      <c r="O17" s="4">
        <f t="shared" si="5"/>
        <v>1.4285714285714287E-4</v>
      </c>
      <c r="P17" s="5">
        <f t="shared" si="9"/>
        <v>80</v>
      </c>
      <c r="Q17" s="5">
        <f t="shared" si="10"/>
        <v>342.85714285714283</v>
      </c>
      <c r="R17" s="5">
        <f t="shared" si="11"/>
        <v>478.32161765517429</v>
      </c>
      <c r="S17" s="5">
        <f t="shared" si="12"/>
        <v>224.42329660284972</v>
      </c>
      <c r="T17" s="5">
        <f t="shared" si="6"/>
        <v>18.425488326255078</v>
      </c>
      <c r="U17" s="5">
        <f t="shared" si="7"/>
        <v>7.4100330567775021</v>
      </c>
      <c r="V17" s="5">
        <f t="shared" si="13"/>
        <v>129.1776069151629</v>
      </c>
      <c r="AC17" s="1">
        <f t="shared" si="0"/>
        <v>0.84509804001425681</v>
      </c>
      <c r="AD17" s="1">
        <f t="shared" si="1"/>
        <v>3.3845102337245092</v>
      </c>
      <c r="AE17" s="1">
        <f t="shared" si="2"/>
        <v>3.2298758216010022</v>
      </c>
    </row>
    <row r="18" spans="1:31" x14ac:dyDescent="0.55000000000000004">
      <c r="I18" s="1">
        <v>8</v>
      </c>
      <c r="J18" s="1">
        <f t="shared" si="15"/>
        <v>2261.2804148889645</v>
      </c>
      <c r="K18" s="1">
        <f t="shared" si="16"/>
        <v>1583.8717368352497</v>
      </c>
      <c r="M18">
        <v>0.8</v>
      </c>
      <c r="N18" s="4">
        <f t="shared" si="8"/>
        <v>6.8722339297276722E-6</v>
      </c>
      <c r="O18" s="4">
        <f t="shared" si="5"/>
        <v>1.25E-4</v>
      </c>
      <c r="P18" s="5">
        <f t="shared" si="9"/>
        <v>69.999999999999986</v>
      </c>
      <c r="Q18" s="5">
        <f t="shared" si="10"/>
        <v>300</v>
      </c>
      <c r="R18" s="5">
        <f t="shared" si="11"/>
        <v>512.71476181646301</v>
      </c>
      <c r="S18" s="5">
        <f t="shared" si="12"/>
        <v>240.56018548328882</v>
      </c>
      <c r="T18" s="5">
        <f t="shared" si="6"/>
        <v>16.122302285473197</v>
      </c>
      <c r="U18" s="5">
        <f t="shared" si="7"/>
        <v>6.4837789246803137</v>
      </c>
      <c r="V18" s="5">
        <f t="shared" si="13"/>
        <v>113.03040605076757</v>
      </c>
      <c r="AC18" s="1">
        <f t="shared" si="0"/>
        <v>0.90308998699194354</v>
      </c>
      <c r="AD18" s="1">
        <f t="shared" si="1"/>
        <v>3.3543544212961121</v>
      </c>
      <c r="AE18" s="1">
        <f t="shared" si="2"/>
        <v>3.199720009172605</v>
      </c>
    </row>
    <row r="19" spans="1:31" x14ac:dyDescent="0.55000000000000004">
      <c r="I19" s="1">
        <v>9</v>
      </c>
      <c r="J19" s="1">
        <f t="shared" si="15"/>
        <v>2126.9393672272022</v>
      </c>
      <c r="K19" s="1">
        <f t="shared" si="16"/>
        <v>1489.7750529002096</v>
      </c>
      <c r="M19">
        <v>0.9</v>
      </c>
      <c r="N19" s="4">
        <f t="shared" si="8"/>
        <v>6.1086523819801531E-6</v>
      </c>
      <c r="O19" s="4">
        <f t="shared" si="5"/>
        <v>1.1111111111111112E-4</v>
      </c>
      <c r="P19" s="5">
        <f t="shared" si="9"/>
        <v>62.222222222222207</v>
      </c>
      <c r="Q19" s="5">
        <f t="shared" si="10"/>
        <v>266.66666666666669</v>
      </c>
      <c r="R19" s="5">
        <f t="shared" si="11"/>
        <v>545.09868366933108</v>
      </c>
      <c r="S19" s="5">
        <f t="shared" si="12"/>
        <v>255.75436912645648</v>
      </c>
      <c r="T19" s="5">
        <f t="shared" si="6"/>
        <v>14.330935364865063</v>
      </c>
      <c r="U19" s="5">
        <f t="shared" si="7"/>
        <v>5.7633590441602811</v>
      </c>
      <c r="V19" s="5">
        <f t="shared" si="13"/>
        <v>100.47147204512672</v>
      </c>
      <c r="AC19" s="1">
        <f t="shared" si="0"/>
        <v>0.95424250943932487</v>
      </c>
      <c r="AD19" s="1">
        <f t="shared" si="1"/>
        <v>3.3277551096234737</v>
      </c>
      <c r="AE19" s="1">
        <f t="shared" si="2"/>
        <v>3.1731206974999666</v>
      </c>
    </row>
    <row r="20" spans="1:31" x14ac:dyDescent="0.55000000000000004">
      <c r="A20" s="1" t="s">
        <v>32</v>
      </c>
      <c r="E20" s="1" t="s">
        <v>36</v>
      </c>
      <c r="I20" s="1">
        <v>10</v>
      </c>
      <c r="J20" s="1">
        <f t="shared" si="15"/>
        <v>2013.5444185419574</v>
      </c>
      <c r="K20" s="1">
        <f t="shared" si="16"/>
        <v>1410.349673747814</v>
      </c>
      <c r="M20">
        <v>1</v>
      </c>
      <c r="N20" s="4">
        <f t="shared" si="8"/>
        <v>5.4977871437821381E-6</v>
      </c>
      <c r="O20" s="4">
        <f t="shared" si="5"/>
        <v>1E-4</v>
      </c>
      <c r="P20" s="5">
        <f t="shared" si="9"/>
        <v>55.999999999999993</v>
      </c>
      <c r="Q20" s="5">
        <f t="shared" si="10"/>
        <v>240</v>
      </c>
      <c r="R20" s="5">
        <f t="shared" si="11"/>
        <v>575.79651019547123</v>
      </c>
      <c r="S20" s="5">
        <f t="shared" si="12"/>
        <v>270.15745519501326</v>
      </c>
      <c r="T20" s="5">
        <f t="shared" si="6"/>
        <v>12.897841828378557</v>
      </c>
      <c r="U20" s="5">
        <f t="shared" si="7"/>
        <v>5.1870231397442517</v>
      </c>
      <c r="V20" s="5">
        <f t="shared" si="13"/>
        <v>90.424324840614048</v>
      </c>
      <c r="AC20" s="1">
        <f t="shared" si="0"/>
        <v>1</v>
      </c>
      <c r="AD20" s="1">
        <f t="shared" si="1"/>
        <v>3.3039612145319226</v>
      </c>
      <c r="AE20" s="1">
        <f t="shared" si="2"/>
        <v>3.1493268024084156</v>
      </c>
    </row>
    <row r="21" spans="1:31" x14ac:dyDescent="0.55000000000000004">
      <c r="A21" s="1" t="s">
        <v>33</v>
      </c>
      <c r="B21" s="1">
        <v>5.0000000000000001E-3</v>
      </c>
      <c r="C21" s="1" t="s">
        <v>18</v>
      </c>
      <c r="E21" s="1">
        <f>G6*A32^(G5-1)</f>
        <v>575.79651019547123</v>
      </c>
      <c r="I21" s="1">
        <v>20</v>
      </c>
      <c r="J21" s="1">
        <f t="shared" si="15"/>
        <v>1404.1891623383021</v>
      </c>
      <c r="K21" s="1">
        <f t="shared" si="16"/>
        <v>983.53813739956217</v>
      </c>
      <c r="M21">
        <v>2</v>
      </c>
      <c r="N21" s="4">
        <f t="shared" si="8"/>
        <v>2.7488935718910691E-6</v>
      </c>
      <c r="O21" s="4">
        <f t="shared" si="5"/>
        <v>5.0000000000000002E-5</v>
      </c>
      <c r="P21" s="5">
        <f t="shared" si="9"/>
        <v>27.999999999999996</v>
      </c>
      <c r="Q21" s="5">
        <f t="shared" si="10"/>
        <v>120</v>
      </c>
      <c r="R21" s="5">
        <f t="shared" si="11"/>
        <v>825.6664275839945</v>
      </c>
      <c r="S21" s="5">
        <f t="shared" si="12"/>
        <v>387.3937006674899</v>
      </c>
      <c r="T21" s="5">
        <f t="shared" si="6"/>
        <v>6.4489209141892783</v>
      </c>
      <c r="U21" s="5">
        <f t="shared" si="7"/>
        <v>2.5935115698721258</v>
      </c>
      <c r="V21" s="6">
        <f t="shared" si="13"/>
        <v>45.212162420307024</v>
      </c>
      <c r="AC21" s="1">
        <f t="shared" si="0"/>
        <v>1.3010299956639813</v>
      </c>
      <c r="AD21" s="1">
        <f t="shared" si="1"/>
        <v>3.1474256167866526</v>
      </c>
      <c r="AE21" s="1">
        <f t="shared" si="2"/>
        <v>2.9927912046631455</v>
      </c>
    </row>
    <row r="22" spans="1:31" x14ac:dyDescent="0.55000000000000004">
      <c r="A22" s="1" t="s">
        <v>2</v>
      </c>
      <c r="B22" s="1">
        <v>7.0000000000000007E-2</v>
      </c>
      <c r="C22" s="1" t="s">
        <v>18</v>
      </c>
      <c r="I22" s="1">
        <v>30</v>
      </c>
      <c r="J22" s="1">
        <f t="shared" si="15"/>
        <v>1137.255804372975</v>
      </c>
      <c r="K22" s="1">
        <f t="shared" si="16"/>
        <v>796.56964003141582</v>
      </c>
      <c r="M22">
        <v>3</v>
      </c>
      <c r="N22" s="4">
        <f t="shared" si="8"/>
        <v>1.832595714594046E-6</v>
      </c>
      <c r="O22" s="4">
        <f t="shared" si="5"/>
        <v>3.3333333333333335E-5</v>
      </c>
      <c r="P22" s="5">
        <f t="shared" si="9"/>
        <v>18.666666666666664</v>
      </c>
      <c r="Q22" s="5">
        <f t="shared" si="10"/>
        <v>80</v>
      </c>
      <c r="R22" s="5">
        <f t="shared" si="11"/>
        <v>1019.4644378704733</v>
      </c>
      <c r="S22" s="5">
        <f t="shared" si="12"/>
        <v>478.32161765517429</v>
      </c>
      <c r="T22" s="5">
        <f t="shared" si="6"/>
        <v>4.2992806094595188</v>
      </c>
      <c r="U22" s="5">
        <f t="shared" si="7"/>
        <v>1.7290077132480841</v>
      </c>
      <c r="V22" s="6">
        <f t="shared" si="13"/>
        <v>30.141441613538014</v>
      </c>
      <c r="AC22" s="1">
        <f t="shared" si="0"/>
        <v>1.4771212547196624</v>
      </c>
      <c r="AD22" s="1">
        <f t="shared" si="1"/>
        <v>3.0558581620776981</v>
      </c>
      <c r="AE22" s="1">
        <f t="shared" si="2"/>
        <v>2.9012237499541911</v>
      </c>
    </row>
    <row r="23" spans="1:31" x14ac:dyDescent="0.55000000000000004">
      <c r="E23" s="1" t="s">
        <v>15</v>
      </c>
      <c r="I23" s="1">
        <v>40</v>
      </c>
      <c r="J23" s="1">
        <f t="shared" si="15"/>
        <v>979.241970264614</v>
      </c>
      <c r="K23" s="1">
        <f t="shared" si="16"/>
        <v>685.89179387605691</v>
      </c>
      <c r="M23">
        <v>4</v>
      </c>
      <c r="N23" s="4">
        <f t="shared" si="8"/>
        <v>1.3744467859455345E-6</v>
      </c>
      <c r="O23" s="4">
        <f t="shared" si="5"/>
        <v>2.5000000000000001E-5</v>
      </c>
      <c r="P23" s="5">
        <f t="shared" si="9"/>
        <v>13.999999999999998</v>
      </c>
      <c r="Q23" s="5">
        <f t="shared" si="10"/>
        <v>60</v>
      </c>
      <c r="R23" s="5">
        <f t="shared" si="11"/>
        <v>1183.9687069445492</v>
      </c>
      <c r="S23" s="5">
        <f t="shared" si="12"/>
        <v>555.50523012041981</v>
      </c>
      <c r="T23" s="5">
        <f t="shared" si="6"/>
        <v>3.2244604570946391</v>
      </c>
      <c r="U23" s="5">
        <f t="shared" si="7"/>
        <v>1.2967557849360629</v>
      </c>
      <c r="V23" s="6">
        <f t="shared" si="13"/>
        <v>22.606081210153512</v>
      </c>
      <c r="AC23" s="1">
        <f t="shared" si="0"/>
        <v>1.6020599913279623</v>
      </c>
      <c r="AD23" s="1">
        <f t="shared" si="1"/>
        <v>2.9908900190413821</v>
      </c>
      <c r="AE23" s="1">
        <f t="shared" si="2"/>
        <v>2.836255606917875</v>
      </c>
    </row>
    <row r="24" spans="1:31" x14ac:dyDescent="0.55000000000000004">
      <c r="A24" s="1" t="s">
        <v>34</v>
      </c>
      <c r="E24" s="1">
        <f>(8*$A$28*E21)/(PI()*B21^4)</f>
        <v>12897841.828378556</v>
      </c>
      <c r="F24" s="1" t="s">
        <v>25</v>
      </c>
      <c r="I24" s="1">
        <v>50</v>
      </c>
      <c r="J24" s="1">
        <f t="shared" si="15"/>
        <v>871.9605010708774</v>
      </c>
      <c r="K24" s="1">
        <f t="shared" si="16"/>
        <v>610.74848753363483</v>
      </c>
      <c r="M24">
        <v>5</v>
      </c>
      <c r="N24" s="4">
        <f t="shared" si="8"/>
        <v>1.0995574287564277E-6</v>
      </c>
      <c r="O24" s="4">
        <f t="shared" si="5"/>
        <v>2.0000000000000002E-5</v>
      </c>
      <c r="P24" s="5">
        <f t="shared" si="9"/>
        <v>11.2</v>
      </c>
      <c r="Q24" s="5">
        <f t="shared" si="10"/>
        <v>48</v>
      </c>
      <c r="R24" s="5">
        <f t="shared" si="11"/>
        <v>1329.6380373837446</v>
      </c>
      <c r="S24" s="5">
        <f t="shared" si="12"/>
        <v>623.85169439137337</v>
      </c>
      <c r="T24" s="5">
        <f t="shared" si="6"/>
        <v>2.5795683656757116</v>
      </c>
      <c r="U24" s="5">
        <f t="shared" si="7"/>
        <v>1.0374046279488505</v>
      </c>
      <c r="V24" s="6">
        <f t="shared" si="13"/>
        <v>18.084864968122808</v>
      </c>
      <c r="AC24" s="1">
        <f t="shared" si="0"/>
        <v>1.6989700043360187</v>
      </c>
      <c r="AD24" s="1">
        <f t="shared" si="1"/>
        <v>2.9404968122771931</v>
      </c>
      <c r="AE24" s="1">
        <f t="shared" si="2"/>
        <v>2.785862400153686</v>
      </c>
    </row>
    <row r="25" spans="1:31" x14ac:dyDescent="0.55000000000000004">
      <c r="A25" s="1">
        <f>PI()*B21^2*B22</f>
        <v>5.4977871437821381E-6</v>
      </c>
      <c r="B25" s="1" t="s">
        <v>19</v>
      </c>
      <c r="E25" s="1">
        <f>E24/1000000</f>
        <v>12.897841828378557</v>
      </c>
      <c r="F25" s="1" t="s">
        <v>22</v>
      </c>
      <c r="I25" s="1">
        <v>60</v>
      </c>
      <c r="J25" s="1">
        <f t="shared" si="15"/>
        <v>793.09016508472155</v>
      </c>
      <c r="K25" s="1">
        <f t="shared" si="16"/>
        <v>555.5052301204197</v>
      </c>
      <c r="M25">
        <v>6</v>
      </c>
      <c r="N25" s="4">
        <f t="shared" si="8"/>
        <v>9.1629785729702298E-7</v>
      </c>
      <c r="O25" s="4">
        <f t="shared" si="5"/>
        <v>1.6666666666666667E-5</v>
      </c>
      <c r="P25" s="5">
        <f t="shared" si="9"/>
        <v>9.3333333333333321</v>
      </c>
      <c r="Q25" s="5">
        <f t="shared" si="10"/>
        <v>40</v>
      </c>
      <c r="R25" s="5">
        <f t="shared" si="11"/>
        <v>1461.8663808498704</v>
      </c>
      <c r="S25" s="5">
        <f t="shared" si="12"/>
        <v>685.89179387605725</v>
      </c>
      <c r="T25" s="5">
        <f t="shared" si="6"/>
        <v>2.1496403047297594</v>
      </c>
      <c r="U25" s="5">
        <f t="shared" si="7"/>
        <v>0.86450385662404206</v>
      </c>
      <c r="V25" s="6">
        <f t="shared" si="13"/>
        <v>15.070720806769007</v>
      </c>
      <c r="AC25" s="1">
        <f t="shared" si="0"/>
        <v>1.7781512503836436</v>
      </c>
      <c r="AD25" s="1">
        <f t="shared" si="1"/>
        <v>2.8993225643324281</v>
      </c>
      <c r="AE25" s="1">
        <f t="shared" si="2"/>
        <v>2.744688152208921</v>
      </c>
    </row>
    <row r="26" spans="1:31" x14ac:dyDescent="0.55000000000000004">
      <c r="I26" s="1">
        <v>70</v>
      </c>
      <c r="J26" s="1">
        <f t="shared" si="15"/>
        <v>731.99857182666847</v>
      </c>
      <c r="K26" s="1">
        <f t="shared" si="16"/>
        <v>512.71476181646278</v>
      </c>
      <c r="M26">
        <v>7</v>
      </c>
      <c r="N26" s="4">
        <f t="shared" si="8"/>
        <v>7.8539816339744833E-7</v>
      </c>
      <c r="O26" s="4">
        <f t="shared" si="5"/>
        <v>1.4285714285714287E-5</v>
      </c>
      <c r="P26" s="5">
        <f t="shared" si="9"/>
        <v>7.9999999999999991</v>
      </c>
      <c r="Q26" s="5">
        <f t="shared" si="10"/>
        <v>34.285714285714285</v>
      </c>
      <c r="R26" s="5">
        <f t="shared" si="11"/>
        <v>1583.87173683525</v>
      </c>
      <c r="S26" s="5">
        <f t="shared" si="12"/>
        <v>743.13537890921816</v>
      </c>
      <c r="T26" s="5">
        <f t="shared" si="6"/>
        <v>1.8425488326255082</v>
      </c>
      <c r="U26" s="5">
        <f t="shared" si="7"/>
        <v>0.7410033056777503</v>
      </c>
      <c r="V26" s="6">
        <f t="shared" si="13"/>
        <v>12.917760691516293</v>
      </c>
      <c r="AC26" s="1">
        <f t="shared" si="0"/>
        <v>1.8450980400142569</v>
      </c>
      <c r="AD26" s="1">
        <f t="shared" si="1"/>
        <v>2.8645102337245092</v>
      </c>
      <c r="AE26" s="1">
        <f t="shared" si="2"/>
        <v>2.7098758216010022</v>
      </c>
    </row>
    <row r="27" spans="1:31" x14ac:dyDescent="0.55000000000000004">
      <c r="A27" s="1" t="s">
        <v>4</v>
      </c>
      <c r="I27" s="1">
        <v>80</v>
      </c>
      <c r="J27" s="1">
        <f t="shared" si="15"/>
        <v>682.89576792553135</v>
      </c>
      <c r="K27" s="1">
        <f t="shared" si="16"/>
        <v>478.32161765517424</v>
      </c>
      <c r="M27">
        <v>8</v>
      </c>
      <c r="N27" s="4">
        <f t="shared" si="8"/>
        <v>6.8722339297276726E-7</v>
      </c>
      <c r="O27" s="4">
        <f t="shared" si="5"/>
        <v>1.2500000000000001E-5</v>
      </c>
      <c r="P27" s="5">
        <f t="shared" si="9"/>
        <v>6.9999999999999991</v>
      </c>
      <c r="Q27" s="5">
        <f t="shared" si="10"/>
        <v>30</v>
      </c>
      <c r="R27" s="5">
        <f t="shared" si="11"/>
        <v>1697.7581408096494</v>
      </c>
      <c r="S27" s="5">
        <f t="shared" si="12"/>
        <v>796.5696400314157</v>
      </c>
      <c r="T27" s="5">
        <f t="shared" si="6"/>
        <v>1.6122302285473196</v>
      </c>
      <c r="U27" s="5">
        <f t="shared" si="7"/>
        <v>0.64837789246803146</v>
      </c>
      <c r="V27" s="6">
        <f t="shared" si="13"/>
        <v>11.303040605076756</v>
      </c>
      <c r="AC27" s="1">
        <f t="shared" si="0"/>
        <v>1.9030899869919435</v>
      </c>
      <c r="AD27" s="1">
        <f t="shared" si="1"/>
        <v>2.834354421296112</v>
      </c>
      <c r="AE27" s="1">
        <f t="shared" si="2"/>
        <v>2.679720009172605</v>
      </c>
    </row>
    <row r="28" spans="1:31" x14ac:dyDescent="0.55000000000000004">
      <c r="A28" s="1">
        <f>A25</f>
        <v>5.4977871437821381E-6</v>
      </c>
      <c r="B28" s="1" t="s">
        <v>21</v>
      </c>
      <c r="E28" s="1" t="s">
        <v>40</v>
      </c>
      <c r="I28" s="1">
        <v>90</v>
      </c>
      <c r="J28" s="1">
        <f t="shared" si="15"/>
        <v>642.32542012485658</v>
      </c>
      <c r="K28" s="1">
        <f t="shared" si="16"/>
        <v>449.90487340179936</v>
      </c>
      <c r="M28">
        <v>9</v>
      </c>
      <c r="N28" s="4">
        <f t="shared" si="8"/>
        <v>6.1086523819801539E-7</v>
      </c>
      <c r="O28" s="4">
        <f t="shared" si="5"/>
        <v>1.1111111111111112E-5</v>
      </c>
      <c r="P28" s="5">
        <f t="shared" si="9"/>
        <v>6.2222222222222214</v>
      </c>
      <c r="Q28" s="5">
        <f t="shared" si="10"/>
        <v>26.666666666666664</v>
      </c>
      <c r="R28" s="5">
        <f t="shared" si="11"/>
        <v>1804.991384421098</v>
      </c>
      <c r="S28" s="5">
        <f t="shared" si="12"/>
        <v>846.8823107291613</v>
      </c>
      <c r="T28" s="5">
        <f t="shared" si="6"/>
        <v>1.4330935364865063</v>
      </c>
      <c r="U28" s="5">
        <f t="shared" si="7"/>
        <v>0.576335904416028</v>
      </c>
      <c r="V28" s="6">
        <f t="shared" si="13"/>
        <v>10.047147204512672</v>
      </c>
      <c r="AC28" s="1">
        <f t="shared" si="0"/>
        <v>1.954242509439325</v>
      </c>
      <c r="AD28" s="1">
        <f t="shared" si="1"/>
        <v>2.8077551096234741</v>
      </c>
      <c r="AE28" s="1">
        <f t="shared" si="2"/>
        <v>2.6531206974999666</v>
      </c>
    </row>
    <row r="29" spans="1:31" x14ac:dyDescent="0.55000000000000004">
      <c r="A29" s="1" t="s">
        <v>37</v>
      </c>
      <c r="B29" s="1">
        <f>PI()*B21^2</f>
        <v>7.8539816339744827E-5</v>
      </c>
      <c r="E29" s="1">
        <f>E25*5+F14*5</f>
        <v>90.424324840614048</v>
      </c>
      <c r="F29" s="1" t="s">
        <v>23</v>
      </c>
      <c r="I29" s="1">
        <v>100</v>
      </c>
      <c r="J29" s="1">
        <f t="shared" si="15"/>
        <v>608.08069308816607</v>
      </c>
      <c r="K29" s="1">
        <f t="shared" si="16"/>
        <v>425.91879236031338</v>
      </c>
      <c r="M29">
        <v>10</v>
      </c>
      <c r="N29" s="4">
        <f t="shared" si="8"/>
        <v>5.4977871437821385E-7</v>
      </c>
      <c r="O29" s="4">
        <f t="shared" si="5"/>
        <v>1.0000000000000001E-5</v>
      </c>
      <c r="P29" s="5">
        <f t="shared" si="9"/>
        <v>5.6</v>
      </c>
      <c r="Q29" s="5">
        <f t="shared" si="10"/>
        <v>24</v>
      </c>
      <c r="R29" s="5">
        <f t="shared" si="11"/>
        <v>1906.6414416678851</v>
      </c>
      <c r="S29" s="5">
        <f t="shared" si="12"/>
        <v>894.5754111560758</v>
      </c>
      <c r="T29" s="5">
        <f t="shared" si="6"/>
        <v>1.2897841828378558</v>
      </c>
      <c r="U29" s="5">
        <f t="shared" si="7"/>
        <v>0.51870231397442523</v>
      </c>
      <c r="V29" s="6">
        <f t="shared" si="13"/>
        <v>9.0424324840614041</v>
      </c>
      <c r="AC29" s="1">
        <f t="shared" si="0"/>
        <v>2</v>
      </c>
      <c r="AD29" s="1">
        <f t="shared" si="1"/>
        <v>2.7839612145319226</v>
      </c>
      <c r="AE29" s="1">
        <f t="shared" si="2"/>
        <v>2.6293268024084155</v>
      </c>
    </row>
    <row r="30" spans="1:31" x14ac:dyDescent="0.55000000000000004">
      <c r="A30" s="1" t="s">
        <v>38</v>
      </c>
      <c r="B30" s="1">
        <f>A28/B29</f>
        <v>7.0000000000000007E-2</v>
      </c>
      <c r="C30" s="1" t="s">
        <v>39</v>
      </c>
      <c r="I30" s="1">
        <v>200</v>
      </c>
      <c r="J30" s="1">
        <f t="shared" si="15"/>
        <v>424.05834765734215</v>
      </c>
      <c r="K30" s="1">
        <f t="shared" si="16"/>
        <v>297.02376901208027</v>
      </c>
      <c r="M30">
        <v>20</v>
      </c>
      <c r="N30" s="4">
        <f t="shared" si="8"/>
        <v>2.7488935718910693E-7</v>
      </c>
      <c r="O30" s="4">
        <f t="shared" si="5"/>
        <v>5.0000000000000004E-6</v>
      </c>
      <c r="P30" s="5">
        <f t="shared" si="9"/>
        <v>2.8</v>
      </c>
      <c r="Q30" s="5">
        <f t="shared" si="10"/>
        <v>12</v>
      </c>
      <c r="R30" s="5">
        <f t="shared" si="11"/>
        <v>2734.0385013641271</v>
      </c>
      <c r="S30" s="5">
        <f t="shared" si="12"/>
        <v>1282.7811055731715</v>
      </c>
      <c r="T30" s="5">
        <f t="shared" si="6"/>
        <v>0.64489209141892789</v>
      </c>
      <c r="U30" s="5">
        <f t="shared" si="7"/>
        <v>0.25935115698721262</v>
      </c>
      <c r="V30" s="6">
        <f t="shared" si="13"/>
        <v>4.521216242030702</v>
      </c>
      <c r="AC30" s="1">
        <f t="shared" si="0"/>
        <v>2.3010299956639813</v>
      </c>
      <c r="AD30" s="1">
        <f t="shared" si="1"/>
        <v>2.6274256167866525</v>
      </c>
      <c r="AE30" s="1">
        <f t="shared" si="2"/>
        <v>2.4727912046631455</v>
      </c>
    </row>
    <row r="31" spans="1:31" x14ac:dyDescent="0.55000000000000004">
      <c r="A31" s="1" t="s">
        <v>20</v>
      </c>
      <c r="I31" s="1">
        <v>300</v>
      </c>
      <c r="J31" s="1">
        <f t="shared" si="15"/>
        <v>343.44576229533448</v>
      </c>
      <c r="K31" s="1">
        <f t="shared" si="16"/>
        <v>240.56018548328882</v>
      </c>
      <c r="M31">
        <v>30</v>
      </c>
      <c r="N31" s="4">
        <f t="shared" si="8"/>
        <v>1.8325957145940459E-7</v>
      </c>
      <c r="O31" s="4">
        <f t="shared" si="5"/>
        <v>3.3333333333333333E-6</v>
      </c>
      <c r="P31" s="5">
        <f t="shared" si="9"/>
        <v>1.8666666666666663</v>
      </c>
      <c r="Q31" s="5">
        <f t="shared" si="10"/>
        <v>7.9999999999999982</v>
      </c>
      <c r="R31" s="5">
        <f t="shared" si="11"/>
        <v>3375.7640262366913</v>
      </c>
      <c r="S31" s="5">
        <f t="shared" si="12"/>
        <v>1583.87173683525</v>
      </c>
      <c r="T31" s="5">
        <f t="shared" si="6"/>
        <v>0.42992806094595187</v>
      </c>
      <c r="U31" s="5">
        <f t="shared" si="7"/>
        <v>0.17290077132480836</v>
      </c>
      <c r="V31" s="6">
        <f t="shared" si="13"/>
        <v>3.0141441613538014</v>
      </c>
      <c r="AC31" s="1">
        <f t="shared" si="0"/>
        <v>2.4771212547196626</v>
      </c>
      <c r="AD31" s="1">
        <f t="shared" si="1"/>
        <v>2.5358581620776981</v>
      </c>
      <c r="AE31" s="1">
        <f t="shared" si="2"/>
        <v>2.3812237499541911</v>
      </c>
    </row>
    <row r="32" spans="1:31" x14ac:dyDescent="0.55000000000000004">
      <c r="A32" s="1">
        <f>(4*A25)/(PI()*B21^3)</f>
        <v>55.999999999999993</v>
      </c>
      <c r="B32" s="1" t="s">
        <v>5</v>
      </c>
      <c r="I32" s="1">
        <v>400</v>
      </c>
      <c r="J32" s="1">
        <f t="shared" si="15"/>
        <v>295.72634727904807</v>
      </c>
      <c r="K32" s="1">
        <f t="shared" si="16"/>
        <v>207.13601029256233</v>
      </c>
      <c r="M32">
        <v>40</v>
      </c>
      <c r="N32" s="4">
        <f t="shared" si="8"/>
        <v>1.3744467859455346E-7</v>
      </c>
      <c r="O32" s="4">
        <f t="shared" si="5"/>
        <v>2.5000000000000002E-6</v>
      </c>
      <c r="P32" s="5">
        <f t="shared" si="9"/>
        <v>1.4</v>
      </c>
      <c r="Q32" s="5">
        <f t="shared" si="10"/>
        <v>6</v>
      </c>
      <c r="R32" s="5">
        <f t="shared" si="11"/>
        <v>3920.4888573084181</v>
      </c>
      <c r="S32" s="5">
        <f t="shared" si="12"/>
        <v>1839.4506983921945</v>
      </c>
      <c r="T32" s="5">
        <f t="shared" si="6"/>
        <v>0.32244604570946395</v>
      </c>
      <c r="U32" s="5">
        <f t="shared" si="7"/>
        <v>0.12967557849360631</v>
      </c>
      <c r="V32" s="6">
        <f t="shared" si="13"/>
        <v>2.260608121015351</v>
      </c>
      <c r="AC32" s="1">
        <f t="shared" si="0"/>
        <v>2.6020599913279625</v>
      </c>
      <c r="AD32" s="1">
        <f t="shared" si="1"/>
        <v>2.4708900190413821</v>
      </c>
      <c r="AE32" s="1">
        <f t="shared" si="2"/>
        <v>2.316255606917875</v>
      </c>
    </row>
    <row r="33" spans="9:31" x14ac:dyDescent="0.55000000000000004">
      <c r="I33" s="1">
        <v>500</v>
      </c>
      <c r="J33" s="1">
        <f t="shared" si="15"/>
        <v>263.32786153315999</v>
      </c>
      <c r="K33" s="1">
        <f t="shared" si="16"/>
        <v>184.44309456601297</v>
      </c>
      <c r="M33">
        <v>50</v>
      </c>
      <c r="N33" s="4">
        <f t="shared" si="8"/>
        <v>1.0995574287564277E-7</v>
      </c>
      <c r="O33" s="4">
        <f t="shared" si="5"/>
        <v>1.9999999999999999E-6</v>
      </c>
      <c r="P33" s="5">
        <f t="shared" si="9"/>
        <v>1.1199999999999999</v>
      </c>
      <c r="Q33" s="5">
        <f t="shared" si="10"/>
        <v>4.8</v>
      </c>
      <c r="R33" s="5">
        <f t="shared" si="11"/>
        <v>4402.8453448479067</v>
      </c>
      <c r="S33" s="5">
        <f t="shared" si="12"/>
        <v>2065.7671120263012</v>
      </c>
      <c r="T33" s="5">
        <f t="shared" si="6"/>
        <v>0.25795683656757118</v>
      </c>
      <c r="U33" s="5">
        <f t="shared" si="7"/>
        <v>0.10374046279488504</v>
      </c>
      <c r="V33" s="6">
        <f t="shared" si="13"/>
        <v>1.8084864968122809</v>
      </c>
      <c r="AC33" s="1">
        <f t="shared" si="0"/>
        <v>2.6989700043360187</v>
      </c>
      <c r="AD33" s="1">
        <f t="shared" si="1"/>
        <v>2.420496812277193</v>
      </c>
      <c r="AE33" s="1">
        <f t="shared" si="2"/>
        <v>2.265862400153686</v>
      </c>
    </row>
    <row r="34" spans="9:31" x14ac:dyDescent="0.55000000000000004">
      <c r="I34" s="1">
        <v>600</v>
      </c>
      <c r="J34" s="1">
        <f t="shared" si="15"/>
        <v>239.5094008481523</v>
      </c>
      <c r="K34" s="1">
        <f t="shared" si="16"/>
        <v>167.75989753944796</v>
      </c>
      <c r="M34">
        <v>60</v>
      </c>
      <c r="N34" s="4">
        <f t="shared" si="8"/>
        <v>9.1629785729702296E-8</v>
      </c>
      <c r="O34" s="4">
        <f t="shared" si="5"/>
        <v>1.6666666666666667E-6</v>
      </c>
      <c r="P34" s="5">
        <f t="shared" si="9"/>
        <v>0.93333333333333313</v>
      </c>
      <c r="Q34" s="5">
        <f t="shared" si="10"/>
        <v>3.9999999999999991</v>
      </c>
      <c r="R34" s="5">
        <f t="shared" si="11"/>
        <v>4840.6945414851425</v>
      </c>
      <c r="S34" s="5">
        <f t="shared" si="12"/>
        <v>2271.2011892188498</v>
      </c>
      <c r="T34" s="5">
        <f t="shared" si="6"/>
        <v>0.21496403047297594</v>
      </c>
      <c r="U34" s="5">
        <f t="shared" si="7"/>
        <v>8.6450385662404178E-2</v>
      </c>
      <c r="V34" s="6">
        <f t="shared" si="13"/>
        <v>1.5070720806769007</v>
      </c>
      <c r="AC34" s="1">
        <f t="shared" si="0"/>
        <v>2.7781512503836434</v>
      </c>
      <c r="AD34" s="1">
        <f t="shared" si="1"/>
        <v>2.3793225643324281</v>
      </c>
      <c r="AE34" s="1">
        <f t="shared" si="2"/>
        <v>2.224688152208921</v>
      </c>
    </row>
    <row r="35" spans="9:31" x14ac:dyDescent="0.55000000000000004">
      <c r="I35" s="1">
        <v>700</v>
      </c>
      <c r="J35" s="1">
        <f t="shared" si="15"/>
        <v>221.06003463197663</v>
      </c>
      <c r="K35" s="1">
        <f t="shared" si="16"/>
        <v>154.83738270231373</v>
      </c>
      <c r="M35">
        <v>70</v>
      </c>
      <c r="N35" s="4">
        <f t="shared" si="8"/>
        <v>7.8539816339744831E-8</v>
      </c>
      <c r="O35" s="4">
        <f t="shared" si="5"/>
        <v>1.4285714285714286E-6</v>
      </c>
      <c r="P35" s="5">
        <f t="shared" si="9"/>
        <v>0.79999999999999982</v>
      </c>
      <c r="Q35" s="5">
        <f t="shared" si="10"/>
        <v>3.4285714285714288</v>
      </c>
      <c r="R35" s="5">
        <f t="shared" si="11"/>
        <v>5244.6922450283573</v>
      </c>
      <c r="S35" s="5">
        <f t="shared" si="12"/>
        <v>2460.752514315996</v>
      </c>
      <c r="T35" s="5">
        <f t="shared" si="6"/>
        <v>0.18425488326255079</v>
      </c>
      <c r="U35" s="5">
        <f t="shared" si="7"/>
        <v>7.4100330567775027E-2</v>
      </c>
      <c r="V35" s="6">
        <f t="shared" si="13"/>
        <v>1.2917760691516291</v>
      </c>
      <c r="AC35" s="1">
        <f t="shared" si="0"/>
        <v>2.8450980400142569</v>
      </c>
      <c r="AD35" s="1">
        <f t="shared" si="1"/>
        <v>2.3445102337245092</v>
      </c>
      <c r="AE35" s="1">
        <f t="shared" si="2"/>
        <v>2.1898758216010021</v>
      </c>
    </row>
    <row r="36" spans="9:31" x14ac:dyDescent="0.55000000000000004">
      <c r="I36" s="1">
        <v>800</v>
      </c>
      <c r="J36" s="1">
        <f t="shared" si="15"/>
        <v>206.23122492019638</v>
      </c>
      <c r="K36" s="1">
        <f t="shared" si="16"/>
        <v>144.45081921432183</v>
      </c>
      <c r="M36">
        <v>80</v>
      </c>
      <c r="N36" s="4">
        <f t="shared" si="8"/>
        <v>6.8722339297276732E-8</v>
      </c>
      <c r="O36" s="4">
        <f t="shared" si="5"/>
        <v>1.2500000000000001E-6</v>
      </c>
      <c r="P36" s="5">
        <f t="shared" si="9"/>
        <v>0.7</v>
      </c>
      <c r="Q36" s="5">
        <f t="shared" si="10"/>
        <v>3</v>
      </c>
      <c r="R36" s="5">
        <f t="shared" si="11"/>
        <v>5621.8055717249808</v>
      </c>
      <c r="S36" s="5">
        <f t="shared" si="12"/>
        <v>2637.6899824258658</v>
      </c>
      <c r="T36" s="5">
        <f t="shared" si="6"/>
        <v>0.16122302285473197</v>
      </c>
      <c r="U36" s="5">
        <f t="shared" si="7"/>
        <v>6.4837789246803154E-2</v>
      </c>
      <c r="V36" s="6">
        <f t="shared" si="13"/>
        <v>1.1303040605076755</v>
      </c>
      <c r="AC36" s="1">
        <f t="shared" si="0"/>
        <v>2.9030899869919438</v>
      </c>
      <c r="AD36" s="1">
        <f t="shared" si="1"/>
        <v>2.314354421296112</v>
      </c>
      <c r="AE36" s="1">
        <f t="shared" si="2"/>
        <v>2.159720009172605</v>
      </c>
    </row>
    <row r="37" spans="9:31" x14ac:dyDescent="0.55000000000000004">
      <c r="I37" s="1">
        <v>900</v>
      </c>
      <c r="J37" s="1">
        <f t="shared" si="15"/>
        <v>193.97917575640082</v>
      </c>
      <c r="K37" s="1">
        <f t="shared" si="16"/>
        <v>135.86909964470152</v>
      </c>
      <c r="M37">
        <v>90</v>
      </c>
      <c r="N37" s="4">
        <f t="shared" si="8"/>
        <v>6.1086523819801539E-8</v>
      </c>
      <c r="O37" s="4">
        <f t="shared" si="5"/>
        <v>1.1111111111111112E-6</v>
      </c>
      <c r="P37" s="5">
        <f t="shared" si="9"/>
        <v>0.62222222222222212</v>
      </c>
      <c r="Q37" s="5">
        <f t="shared" si="10"/>
        <v>2.666666666666667</v>
      </c>
      <c r="R37" s="5">
        <f t="shared" si="11"/>
        <v>5976.8882138977278</v>
      </c>
      <c r="S37" s="5">
        <f t="shared" si="12"/>
        <v>2804.2908931551533</v>
      </c>
      <c r="T37" s="5">
        <f t="shared" si="6"/>
        <v>0.14330935364865063</v>
      </c>
      <c r="U37" s="5">
        <f t="shared" si="7"/>
        <v>5.7633590441602801E-2</v>
      </c>
      <c r="V37" s="6">
        <f t="shared" si="13"/>
        <v>1.0047147204512672</v>
      </c>
      <c r="AC37" s="1">
        <f t="shared" si="0"/>
        <v>2.9542425094393248</v>
      </c>
      <c r="AD37" s="1">
        <f t="shared" si="1"/>
        <v>2.2877551096234736</v>
      </c>
      <c r="AE37" s="1">
        <f t="shared" si="2"/>
        <v>2.1331206974999666</v>
      </c>
    </row>
    <row r="38" spans="9:31" x14ac:dyDescent="0.55000000000000004">
      <c r="I38" s="1">
        <v>1000</v>
      </c>
      <c r="J38" s="1">
        <f t="shared" si="15"/>
        <v>183.63743352348581</v>
      </c>
      <c r="K38" s="1">
        <f t="shared" si="16"/>
        <v>128.62541897400772</v>
      </c>
      <c r="M38">
        <v>100</v>
      </c>
      <c r="N38" s="4">
        <f t="shared" si="8"/>
        <v>5.4977871437821384E-8</v>
      </c>
      <c r="O38" s="4">
        <f t="shared" si="5"/>
        <v>9.9999999999999995E-7</v>
      </c>
      <c r="P38" s="5">
        <f t="shared" si="9"/>
        <v>0.55999999999999994</v>
      </c>
      <c r="Q38" s="5">
        <f t="shared" si="10"/>
        <v>2.4</v>
      </c>
      <c r="R38" s="5">
        <f t="shared" si="11"/>
        <v>6313.4831884467112</v>
      </c>
      <c r="S38" s="5">
        <f t="shared" si="12"/>
        <v>2962.217591468614</v>
      </c>
      <c r="T38" s="5">
        <f t="shared" si="6"/>
        <v>0.12897841828378559</v>
      </c>
      <c r="U38" s="5">
        <f t="shared" si="7"/>
        <v>5.1870231397442519E-2</v>
      </c>
      <c r="V38" s="6">
        <f t="shared" si="13"/>
        <v>0.90424324840614045</v>
      </c>
      <c r="AC38" s="1">
        <f t="shared" si="0"/>
        <v>3</v>
      </c>
      <c r="AD38" s="1">
        <f t="shared" si="1"/>
        <v>2.263961214531923</v>
      </c>
      <c r="AE38" s="1">
        <f t="shared" si="2"/>
        <v>2.1093268024084155</v>
      </c>
    </row>
    <row r="39" spans="9:31" x14ac:dyDescent="0.55000000000000004">
      <c r="I39" s="1">
        <v>2000</v>
      </c>
      <c r="J39" s="1">
        <f t="shared" si="15"/>
        <v>128.06357365586268</v>
      </c>
      <c r="K39" s="1">
        <f t="shared" si="16"/>
        <v>89.699744222832265</v>
      </c>
      <c r="M39">
        <v>200</v>
      </c>
      <c r="N39" s="4">
        <f t="shared" si="8"/>
        <v>2.7488935718910692E-8</v>
      </c>
      <c r="O39" s="4">
        <f t="shared" si="5"/>
        <v>4.9999999999999998E-7</v>
      </c>
      <c r="P39" s="5">
        <f t="shared" si="9"/>
        <v>0.27999999999999997</v>
      </c>
      <c r="Q39" s="5">
        <f t="shared" si="10"/>
        <v>1.2</v>
      </c>
      <c r="R39" s="5">
        <f t="shared" si="11"/>
        <v>9053.2523513328615</v>
      </c>
      <c r="S39" s="5">
        <f t="shared" si="12"/>
        <v>4247.6874610512241</v>
      </c>
      <c r="T39" s="5">
        <f t="shared" si="6"/>
        <v>6.4489209141892795E-2</v>
      </c>
      <c r="U39" s="5">
        <f t="shared" si="7"/>
        <v>2.593511569872126E-2</v>
      </c>
      <c r="V39" s="6">
        <f t="shared" si="13"/>
        <v>0.45212162420307023</v>
      </c>
      <c r="AC39" s="1">
        <f t="shared" si="0"/>
        <v>3.3010299956639813</v>
      </c>
      <c r="AD39" s="1">
        <f t="shared" si="1"/>
        <v>2.1074256167866525</v>
      </c>
      <c r="AE39" s="1">
        <f t="shared" si="2"/>
        <v>1.9527912046631455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alvarez</dc:creator>
  <cp:lastModifiedBy>constanza alvarez</cp:lastModifiedBy>
  <dcterms:created xsi:type="dcterms:W3CDTF">2020-08-01T03:26:10Z</dcterms:created>
  <dcterms:modified xsi:type="dcterms:W3CDTF">2020-08-04T00:24:00Z</dcterms:modified>
</cp:coreProperties>
</file>