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urye/data_projects/private_homeschool_enrollment/data/source/"/>
    </mc:Choice>
  </mc:AlternateContent>
  <xr:revisionPtr revIDLastSave="0" documentId="8_{4EEFA067-ADFC-0D49-AF05-0F8BFEB55B19}" xr6:coauthVersionLast="47" xr6:coauthVersionMax="47" xr10:uidLastSave="{00000000-0000-0000-0000-000000000000}"/>
  <bookViews>
    <workbookView xWindow="0" yWindow="760" windowWidth="20720" windowHeight="13280" activeTab="1" xr2:uid="{00000000-000D-0000-FFFF-FFFF00000000}"/>
  </bookViews>
  <sheets>
    <sheet name="Data Notes" sheetId="3" r:id="rId1"/>
    <sheet name="State Total" sheetId="2" r:id="rId2"/>
    <sheet name="District" sheetId="1" r:id="rId3"/>
  </sheets>
  <definedNames>
    <definedName name="_xlnm._FilterDatabase" localSheetId="2" hidden="1">District!$A$1:$E$612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2" i="1" l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<sst xmlns="http://schemas.openxmlformats.org/spreadsheetml/2006/main" count="1300" uniqueCount="702">
  <si>
    <t>IRN</t>
  </si>
  <si>
    <t>District Name</t>
  </si>
  <si>
    <t>County</t>
  </si>
  <si>
    <t>Home School Student Headcount</t>
  </si>
  <si>
    <t>Ada Exempted Village</t>
  </si>
  <si>
    <t>Hardin</t>
  </si>
  <si>
    <t>Adams County Ohio Valley Local</t>
  </si>
  <si>
    <t>Adams</t>
  </si>
  <si>
    <t>Adena Local</t>
  </si>
  <si>
    <t>Ross</t>
  </si>
  <si>
    <t>Akron City</t>
  </si>
  <si>
    <t>Summit</t>
  </si>
  <si>
    <t>Alexander Local</t>
  </si>
  <si>
    <t>Athens</t>
  </si>
  <si>
    <t>Allen East Local</t>
  </si>
  <si>
    <t>Allen</t>
  </si>
  <si>
    <t>Alliance City</t>
  </si>
  <si>
    <t>Stark</t>
  </si>
  <si>
    <t>Amanda-Clearcreek Local</t>
  </si>
  <si>
    <t>Fairfield</t>
  </si>
  <si>
    <t>Amherst Exempted Village</t>
  </si>
  <si>
    <t>Lorain</t>
  </si>
  <si>
    <t>Anna Local</t>
  </si>
  <si>
    <t>Shelby</t>
  </si>
  <si>
    <t>Ansonia Local</t>
  </si>
  <si>
    <t>Darke</t>
  </si>
  <si>
    <t>Anthony Wayne Local</t>
  </si>
  <si>
    <t>Lucas</t>
  </si>
  <si>
    <t>Antwerp Local</t>
  </si>
  <si>
    <t>Paulding</t>
  </si>
  <si>
    <t>Arcadia Local</t>
  </si>
  <si>
    <t>Hancock</t>
  </si>
  <si>
    <t>Archbold-Area Local</t>
  </si>
  <si>
    <t>Fulton</t>
  </si>
  <si>
    <t>Arlington Local</t>
  </si>
  <si>
    <t>Ashland City</t>
  </si>
  <si>
    <t>Ashland</t>
  </si>
  <si>
    <t>Ashtabula Area City</t>
  </si>
  <si>
    <t>Ashtabula</t>
  </si>
  <si>
    <t>Athens City</t>
  </si>
  <si>
    <t>Aurora City</t>
  </si>
  <si>
    <t>Portage</t>
  </si>
  <si>
    <t>Austintown Local Schools</t>
  </si>
  <si>
    <t>Mahoning</t>
  </si>
  <si>
    <t>Avon Lake City</t>
  </si>
  <si>
    <t>Avon Local</t>
  </si>
  <si>
    <t>Defiance</t>
  </si>
  <si>
    <t>Barberton City</t>
  </si>
  <si>
    <t>Barnesville Exempted Village</t>
  </si>
  <si>
    <t>Belmont</t>
  </si>
  <si>
    <t>Batavia Local</t>
  </si>
  <si>
    <t>Clermont</t>
  </si>
  <si>
    <t>Bath Local</t>
  </si>
  <si>
    <t>Bay Village City</t>
  </si>
  <si>
    <t>Cuyahoga</t>
  </si>
  <si>
    <t>Beachwood City</t>
  </si>
  <si>
    <t>Beaver Local</t>
  </si>
  <si>
    <t>Columbiana</t>
  </si>
  <si>
    <t>Beavercreek City</t>
  </si>
  <si>
    <t>Greene</t>
  </si>
  <si>
    <t>Bedford City</t>
  </si>
  <si>
    <t>Bellbrook-Sugarcreek Local</t>
  </si>
  <si>
    <t>Logan</t>
  </si>
  <si>
    <t>Bellevue City</t>
  </si>
  <si>
    <t>Huron</t>
  </si>
  <si>
    <t>Washington</t>
  </si>
  <si>
    <t>Benjamin Logan Local</t>
  </si>
  <si>
    <t>Berea City</t>
  </si>
  <si>
    <t>Berkshire Local</t>
  </si>
  <si>
    <t>Geauga</t>
  </si>
  <si>
    <t>Bethel Local</t>
  </si>
  <si>
    <t>Miami</t>
  </si>
  <si>
    <t>Bexley City</t>
  </si>
  <si>
    <t>Franklin</t>
  </si>
  <si>
    <t>Big Walnut Local</t>
  </si>
  <si>
    <t>Delaware</t>
  </si>
  <si>
    <t>Black River Local</t>
  </si>
  <si>
    <t>Medina</t>
  </si>
  <si>
    <t>Bloom-Carroll Local</t>
  </si>
  <si>
    <t>Bloomfield-Mespo Local</t>
  </si>
  <si>
    <t>Trumbull</t>
  </si>
  <si>
    <t>Bloom-Vernon Local</t>
  </si>
  <si>
    <t>Scioto</t>
  </si>
  <si>
    <t>Bluffton Exempted Village</t>
  </si>
  <si>
    <t>Boardman Local</t>
  </si>
  <si>
    <t>Botkins Local</t>
  </si>
  <si>
    <t>Bowling Green City School District</t>
  </si>
  <si>
    <t>Wood</t>
  </si>
  <si>
    <t>Bradford Exempted Village</t>
  </si>
  <si>
    <t>Brecksville-Broadview Heights City</t>
  </si>
  <si>
    <t>Bright Local</t>
  </si>
  <si>
    <t>Highland</t>
  </si>
  <si>
    <t>Bristol Local</t>
  </si>
  <si>
    <t>Brookville Local</t>
  </si>
  <si>
    <t>Montgomery</t>
  </si>
  <si>
    <t>Brown Local</t>
  </si>
  <si>
    <t>Carroll</t>
  </si>
  <si>
    <t>Brunswick City</t>
  </si>
  <si>
    <t>Bryan City</t>
  </si>
  <si>
    <t>Williams</t>
  </si>
  <si>
    <t>Buckeye Central Local</t>
  </si>
  <si>
    <t>Crawford</t>
  </si>
  <si>
    <t>Buckeye Local</t>
  </si>
  <si>
    <t>Jefferson</t>
  </si>
  <si>
    <t>Buckeye Valley Local</t>
  </si>
  <si>
    <t>Bucyrus City</t>
  </si>
  <si>
    <t>Caldwell Exempted Village</t>
  </si>
  <si>
    <t>Noble</t>
  </si>
  <si>
    <t>Cambridge City</t>
  </si>
  <si>
    <t>Guernsey</t>
  </si>
  <si>
    <t>Campbell City</t>
  </si>
  <si>
    <t>Canal Winchester Local</t>
  </si>
  <si>
    <t>Canfield Local</t>
  </si>
  <si>
    <t>Canton City</t>
  </si>
  <si>
    <t>Canton Local</t>
  </si>
  <si>
    <t>Cardinal Local</t>
  </si>
  <si>
    <t>Cardington-Lincoln Local</t>
  </si>
  <si>
    <t>Morrow</t>
  </si>
  <si>
    <t>Carey Exempted Village Schools</t>
  </si>
  <si>
    <t>Wyandot</t>
  </si>
  <si>
    <t>Carlisle Local</t>
  </si>
  <si>
    <t>Warren</t>
  </si>
  <si>
    <t>Cedar Cliff Local</t>
  </si>
  <si>
    <t>Mercer</t>
  </si>
  <si>
    <t>Centerburg Local</t>
  </si>
  <si>
    <t>Knox</t>
  </si>
  <si>
    <t>Centerville City</t>
  </si>
  <si>
    <t>Champion Local</t>
  </si>
  <si>
    <t>Chardon Local</t>
  </si>
  <si>
    <t>Chesapeake Union Exempted Village</t>
  </si>
  <si>
    <t>Lawrence</t>
  </si>
  <si>
    <t>Chillicothe City</t>
  </si>
  <si>
    <t>Wayne</t>
  </si>
  <si>
    <t>Circleville City</t>
  </si>
  <si>
    <t>Pickaway</t>
  </si>
  <si>
    <t>Clark</t>
  </si>
  <si>
    <t>Clay Local</t>
  </si>
  <si>
    <t>Claymont City</t>
  </si>
  <si>
    <t>Tuscarawas</t>
  </si>
  <si>
    <t>Clear Fork Valley Local</t>
  </si>
  <si>
    <t>Richland</t>
  </si>
  <si>
    <t>Clearview Local</t>
  </si>
  <si>
    <t>Clermont Northeastern Local</t>
  </si>
  <si>
    <t>Cleveland Heights-University Heights City</t>
  </si>
  <si>
    <t>Cleveland Municipal</t>
  </si>
  <si>
    <t>Clinton-Massie Local</t>
  </si>
  <si>
    <t>Clinton</t>
  </si>
  <si>
    <t>Sandusky</t>
  </si>
  <si>
    <t>Coldwater Exempted Village</t>
  </si>
  <si>
    <t>Colonel Crawford Local</t>
  </si>
  <si>
    <t>Columbia Local</t>
  </si>
  <si>
    <t>Columbiana Exempted Village</t>
  </si>
  <si>
    <t>Columbus City School District</t>
  </si>
  <si>
    <t>Columbus Grove Local</t>
  </si>
  <si>
    <t>Putnam</t>
  </si>
  <si>
    <t>Conneaut Area City</t>
  </si>
  <si>
    <t>Conotton Valley Union Local</t>
  </si>
  <si>
    <t>Harrison</t>
  </si>
  <si>
    <t>Continental Local</t>
  </si>
  <si>
    <t>Cory-Rawson Local</t>
  </si>
  <si>
    <t>Coshocton</t>
  </si>
  <si>
    <t>Covington Exempted Village</t>
  </si>
  <si>
    <t>Crestline Exempted Village</t>
  </si>
  <si>
    <t>Crestview Local</t>
  </si>
  <si>
    <t>Van Wert</t>
  </si>
  <si>
    <t>Crestwood Local</t>
  </si>
  <si>
    <t>Crooksville Exempted Village</t>
  </si>
  <si>
    <t>Perry</t>
  </si>
  <si>
    <t>Cuyahoga Heights Local</t>
  </si>
  <si>
    <t>Dalton Local</t>
  </si>
  <si>
    <t>Danbury Local</t>
  </si>
  <si>
    <t>Ottawa</t>
  </si>
  <si>
    <t>Dawson-Bryant Local</t>
  </si>
  <si>
    <t>Dayton City</t>
  </si>
  <si>
    <t>Deer Park Community City</t>
  </si>
  <si>
    <t>Hamilton</t>
  </si>
  <si>
    <t>Defiance City</t>
  </si>
  <si>
    <t>Delaware City</t>
  </si>
  <si>
    <t>Delphos City</t>
  </si>
  <si>
    <t>Dover City</t>
  </si>
  <si>
    <t>Dublin City</t>
  </si>
  <si>
    <t>East Cleveland City School District</t>
  </si>
  <si>
    <t>East Clinton Local</t>
  </si>
  <si>
    <t>East Guernsey Local</t>
  </si>
  <si>
    <t>Holmes</t>
  </si>
  <si>
    <t>East Knox Local</t>
  </si>
  <si>
    <t>Muskingum</t>
  </si>
  <si>
    <t>East Palestine City</t>
  </si>
  <si>
    <t>Eastern Local</t>
  </si>
  <si>
    <t>Meigs</t>
  </si>
  <si>
    <t>Brown</t>
  </si>
  <si>
    <t>Pike</t>
  </si>
  <si>
    <t>Eastwood Local</t>
  </si>
  <si>
    <t>Eaton Community City</t>
  </si>
  <si>
    <t>Preble</t>
  </si>
  <si>
    <t>Edgerton Local</t>
  </si>
  <si>
    <t>Edgewood City</t>
  </si>
  <si>
    <t>Butler</t>
  </si>
  <si>
    <t>Edison Local</t>
  </si>
  <si>
    <t>Edison Local (formerly Berlin-Milan)</t>
  </si>
  <si>
    <t>Erie</t>
  </si>
  <si>
    <t>Edon Northwest Local</t>
  </si>
  <si>
    <t>Elgin Local</t>
  </si>
  <si>
    <t>Marion</t>
  </si>
  <si>
    <t>Elida Local</t>
  </si>
  <si>
    <t>Elmwood Local</t>
  </si>
  <si>
    <t>Elyria City Schools</t>
  </si>
  <si>
    <t>Evergreen Local</t>
  </si>
  <si>
    <t>Fairbanks Local</t>
  </si>
  <si>
    <t>Union</t>
  </si>
  <si>
    <t>Fairfield City</t>
  </si>
  <si>
    <t>Fairfield Local</t>
  </si>
  <si>
    <t>Fairfield Union Local</t>
  </si>
  <si>
    <t>Fairless Local</t>
  </si>
  <si>
    <t>Fairview Park City</t>
  </si>
  <si>
    <t>Fayette Local</t>
  </si>
  <si>
    <t>Fayetteville-Perry Local</t>
  </si>
  <si>
    <t>Field Local</t>
  </si>
  <si>
    <t>Findlay City</t>
  </si>
  <si>
    <t>Finneytown Local</t>
  </si>
  <si>
    <t>Firelands Local</t>
  </si>
  <si>
    <t>Forest Hills Local</t>
  </si>
  <si>
    <t>Fort Frye Local</t>
  </si>
  <si>
    <t>Fort Loramie Local</t>
  </si>
  <si>
    <t>Fort Recovery Local</t>
  </si>
  <si>
    <t>Fostoria City</t>
  </si>
  <si>
    <t>Seneca</t>
  </si>
  <si>
    <t>Henry</t>
  </si>
  <si>
    <t>Franklin City</t>
  </si>
  <si>
    <t>Franklin Monroe Local</t>
  </si>
  <si>
    <t>Fredericktown Local</t>
  </si>
  <si>
    <t>Fremont City</t>
  </si>
  <si>
    <t>Frontier Local</t>
  </si>
  <si>
    <t>Gahanna-Jefferson City</t>
  </si>
  <si>
    <t>Galion City</t>
  </si>
  <si>
    <t>Gallia County Local</t>
  </si>
  <si>
    <t>Gallia</t>
  </si>
  <si>
    <t>Garaway Local</t>
  </si>
  <si>
    <t>Garfield Heights City Schools</t>
  </si>
  <si>
    <t>Geneva Area City</t>
  </si>
  <si>
    <t>Georgetown Exempted Village</t>
  </si>
  <si>
    <t>Gibsonburg Exempted Village</t>
  </si>
  <si>
    <t>Girard City School District</t>
  </si>
  <si>
    <t>Goshen Local</t>
  </si>
  <si>
    <t>Graham Local</t>
  </si>
  <si>
    <t>Champaign</t>
  </si>
  <si>
    <t>Grand Valley Local</t>
  </si>
  <si>
    <t>Grandview Heights Schools</t>
  </si>
  <si>
    <t>Granville Exempted Village</t>
  </si>
  <si>
    <t>Licking</t>
  </si>
  <si>
    <t>Green Local</t>
  </si>
  <si>
    <t>Greeneview Local</t>
  </si>
  <si>
    <t>Greenfield Exempted Village</t>
  </si>
  <si>
    <t>Greenon Local</t>
  </si>
  <si>
    <t>Groveport Madison Local</t>
  </si>
  <si>
    <t>Hamilton City</t>
  </si>
  <si>
    <t>Hamilton Local</t>
  </si>
  <si>
    <t>Hardin Northern Local</t>
  </si>
  <si>
    <t>Hardin-Houston Local</t>
  </si>
  <si>
    <t>Harrison Hills City</t>
  </si>
  <si>
    <t>Heath City</t>
  </si>
  <si>
    <t>Hicksville Exempted Village</t>
  </si>
  <si>
    <t>Highland Local</t>
  </si>
  <si>
    <t>Hilliard City</t>
  </si>
  <si>
    <t>Hillsboro City</t>
  </si>
  <si>
    <t>Holgate Local</t>
  </si>
  <si>
    <t>Hopewell-Loudon Local</t>
  </si>
  <si>
    <t>Hubbard Exempted Village</t>
  </si>
  <si>
    <t>Hudson City</t>
  </si>
  <si>
    <t>Huntington Local</t>
  </si>
  <si>
    <t>Huron City Schools</t>
  </si>
  <si>
    <t>Independence Local</t>
  </si>
  <si>
    <t>Indian Creek Local</t>
  </si>
  <si>
    <t>Indian Hill Exempted Village</t>
  </si>
  <si>
    <t>Indian Lake Local</t>
  </si>
  <si>
    <t>Indian Valley Local</t>
  </si>
  <si>
    <t>Jackson Center Local</t>
  </si>
  <si>
    <t>Jackson City</t>
  </si>
  <si>
    <t>Jackson</t>
  </si>
  <si>
    <t>Jackson Local</t>
  </si>
  <si>
    <t>Jackson-Milton Local</t>
  </si>
  <si>
    <t>James A Garfield Local</t>
  </si>
  <si>
    <t>Jefferson Area Local</t>
  </si>
  <si>
    <t>Madison</t>
  </si>
  <si>
    <t>Jennings Local</t>
  </si>
  <si>
    <t>Johnstown-Monroe Local</t>
  </si>
  <si>
    <t>Jonathan Alder Local</t>
  </si>
  <si>
    <t>Joseph Badger Local</t>
  </si>
  <si>
    <t>Kalida Local</t>
  </si>
  <si>
    <t>Kenston Local</t>
  </si>
  <si>
    <t>Kettering City School District</t>
  </si>
  <si>
    <t>Keystone Local</t>
  </si>
  <si>
    <t>Kirtland Local</t>
  </si>
  <si>
    <t>Lake</t>
  </si>
  <si>
    <t>LaBrae Local</t>
  </si>
  <si>
    <t>Lake Local</t>
  </si>
  <si>
    <t>Lakeview Local</t>
  </si>
  <si>
    <t>Lakewood Local</t>
  </si>
  <si>
    <t>Lakota Local</t>
  </si>
  <si>
    <t>Lancaster City</t>
  </si>
  <si>
    <t>Lexington Local</t>
  </si>
  <si>
    <t>Liberty Center Local</t>
  </si>
  <si>
    <t>Liberty Union-Thurston Local</t>
  </si>
  <si>
    <t>Liberty-Benton Local</t>
  </si>
  <si>
    <t>Licking Heights Local</t>
  </si>
  <si>
    <t>Licking Valley Local</t>
  </si>
  <si>
    <t>Lima City</t>
  </si>
  <si>
    <t>Lincolnview Local</t>
  </si>
  <si>
    <t>Lisbon Exempted Village</t>
  </si>
  <si>
    <t>Little Miami Local</t>
  </si>
  <si>
    <t>Logan Elm Local</t>
  </si>
  <si>
    <t>Logan-Hocking Local</t>
  </si>
  <si>
    <t>Hocking</t>
  </si>
  <si>
    <t>London City</t>
  </si>
  <si>
    <t>Lorain City</t>
  </si>
  <si>
    <t>Loudonville-Perrysville Exempted Village</t>
  </si>
  <si>
    <t>Louisville City</t>
  </si>
  <si>
    <t>Loveland City</t>
  </si>
  <si>
    <t>Lowellville Local</t>
  </si>
  <si>
    <t>Lucas Local</t>
  </si>
  <si>
    <t>Lynchburg-Clay Local</t>
  </si>
  <si>
    <t>Mad River Local</t>
  </si>
  <si>
    <t>Madeira City</t>
  </si>
  <si>
    <t>Madison Local</t>
  </si>
  <si>
    <t>Madison-Plains Local</t>
  </si>
  <si>
    <t>Manchester Local</t>
  </si>
  <si>
    <t>Mansfield City</t>
  </si>
  <si>
    <t>Maple Heights City</t>
  </si>
  <si>
    <t>Mapleton Local</t>
  </si>
  <si>
    <t>Margaretta Local</t>
  </si>
  <si>
    <t>Marietta City</t>
  </si>
  <si>
    <t>Marion City</t>
  </si>
  <si>
    <t>Marlington Local</t>
  </si>
  <si>
    <t>Marysville Exempted Village</t>
  </si>
  <si>
    <t>Mason City</t>
  </si>
  <si>
    <t>Massillon City</t>
  </si>
  <si>
    <t>Maumee City</t>
  </si>
  <si>
    <t>Mayfield City</t>
  </si>
  <si>
    <t>Maysville Local</t>
  </si>
  <si>
    <t>McComb Local</t>
  </si>
  <si>
    <t>McDonald Local</t>
  </si>
  <si>
    <t>Mechanicsburg Exempted Village</t>
  </si>
  <si>
    <t>Medina City SD</t>
  </si>
  <si>
    <t>Meigs Local</t>
  </si>
  <si>
    <t>Mentor Exempted Village</t>
  </si>
  <si>
    <t>Miami Trace Local</t>
  </si>
  <si>
    <t>Fayette</t>
  </si>
  <si>
    <t>Miamisburg City</t>
  </si>
  <si>
    <t>Middletown City</t>
  </si>
  <si>
    <t>Midview Local</t>
  </si>
  <si>
    <t>Milford Exempted Village</t>
  </si>
  <si>
    <t>Millcreek-West Unity Local</t>
  </si>
  <si>
    <t>Miller City-New Cleveland Local</t>
  </si>
  <si>
    <t>Milton-Union Exempted Village</t>
  </si>
  <si>
    <t>Minerva Local</t>
  </si>
  <si>
    <t>Minster Local</t>
  </si>
  <si>
    <t>Auglaize</t>
  </si>
  <si>
    <t>Mississinawa Valley Local</t>
  </si>
  <si>
    <t>Mohawk Local</t>
  </si>
  <si>
    <t>Monroe Local</t>
  </si>
  <si>
    <t>Monroeville Local</t>
  </si>
  <si>
    <t>Montpelier Exempted Village</t>
  </si>
  <si>
    <t>Morgan Local</t>
  </si>
  <si>
    <t>Morgan</t>
  </si>
  <si>
    <t>Mount Gilead Exempted Village</t>
  </si>
  <si>
    <t>Mount Vernon City</t>
  </si>
  <si>
    <t>Napoleon Area City</t>
  </si>
  <si>
    <t>National Trail Local</t>
  </si>
  <si>
    <t>New Albany-Plain Local</t>
  </si>
  <si>
    <t>New Boston Local</t>
  </si>
  <si>
    <t>New Knoxville Local</t>
  </si>
  <si>
    <t>New Lexington School District</t>
  </si>
  <si>
    <t>New Miami Local</t>
  </si>
  <si>
    <t>New Philadelphia City</t>
  </si>
  <si>
    <t>New Richmond Exempted Village</t>
  </si>
  <si>
    <t>New Riegel Local</t>
  </si>
  <si>
    <t>Newark City</t>
  </si>
  <si>
    <t>Newcomerstown Exempted Village</t>
  </si>
  <si>
    <t>Newton Falls Exempted Village</t>
  </si>
  <si>
    <t>Newton Local</t>
  </si>
  <si>
    <t>Niles City</t>
  </si>
  <si>
    <t>Noble Local</t>
  </si>
  <si>
    <t>Nordonia Hills City</t>
  </si>
  <si>
    <t>North Baltimore Local</t>
  </si>
  <si>
    <t>North Canton City</t>
  </si>
  <si>
    <t>North Central Local</t>
  </si>
  <si>
    <t>North College Hill City</t>
  </si>
  <si>
    <t>North Olmsted City</t>
  </si>
  <si>
    <t>North Ridgeville City</t>
  </si>
  <si>
    <t>North Union Local School District</t>
  </si>
  <si>
    <t>Northeastern Local</t>
  </si>
  <si>
    <t>Northern Local</t>
  </si>
  <si>
    <t>Northmont City</t>
  </si>
  <si>
    <t>Northmor Local</t>
  </si>
  <si>
    <t>Northridge Local</t>
  </si>
  <si>
    <t>Northwest Local</t>
  </si>
  <si>
    <t>Northwestern Local</t>
  </si>
  <si>
    <t>Norton City</t>
  </si>
  <si>
    <t>Norwalk City</t>
  </si>
  <si>
    <t>Norwayne Local</t>
  </si>
  <si>
    <t>Oak Hill Union Local</t>
  </si>
  <si>
    <t>Oakwood City</t>
  </si>
  <si>
    <t>Oberlin City Schools</t>
  </si>
  <si>
    <t>Old Fort Local</t>
  </si>
  <si>
    <t>Olentangy Local</t>
  </si>
  <si>
    <t>Olmsted Falls City</t>
  </si>
  <si>
    <t>Ontario Local</t>
  </si>
  <si>
    <t>Oregon City</t>
  </si>
  <si>
    <t>Orrville City</t>
  </si>
  <si>
    <t>Otsego Local</t>
  </si>
  <si>
    <t>Ottawa Hills Local</t>
  </si>
  <si>
    <t>Ottoville Local</t>
  </si>
  <si>
    <t>Painesville City Local</t>
  </si>
  <si>
    <t>Paint Valley Local</t>
  </si>
  <si>
    <t>Pandora-Gilboa Local</t>
  </si>
  <si>
    <t>Parkway Local</t>
  </si>
  <si>
    <t>Parma City</t>
  </si>
  <si>
    <t>Patrick Henry Local</t>
  </si>
  <si>
    <t>Paulding Exempted Village</t>
  </si>
  <si>
    <t>Perkins Local</t>
  </si>
  <si>
    <t>Perry Local</t>
  </si>
  <si>
    <t>Perrysburg Exempted Village</t>
  </si>
  <si>
    <t>Pettisville Local</t>
  </si>
  <si>
    <t>Pickerington Local</t>
  </si>
  <si>
    <t>Pike-Delta-York Local</t>
  </si>
  <si>
    <t>Piqua City</t>
  </si>
  <si>
    <t>Plain Local</t>
  </si>
  <si>
    <t>Pleasant Local</t>
  </si>
  <si>
    <t>Poland Local</t>
  </si>
  <si>
    <t>Port Clinton City</t>
  </si>
  <si>
    <t>Portsmouth City</t>
  </si>
  <si>
    <t>Preble Shawnee Local</t>
  </si>
  <si>
    <t>Put-In-Bay Local</t>
  </si>
  <si>
    <t>Ravenna City</t>
  </si>
  <si>
    <t>Reading Community City</t>
  </si>
  <si>
    <t>Reynoldsburg City</t>
  </si>
  <si>
    <t>Richmond Heights Local</t>
  </si>
  <si>
    <t>Ridgemont Local</t>
  </si>
  <si>
    <t>Ridgewood Local</t>
  </si>
  <si>
    <t>Ripley-Union-Lewis-Huntington Local</t>
  </si>
  <si>
    <t>Rittman Exempted Village</t>
  </si>
  <si>
    <t>River Valley Local</t>
  </si>
  <si>
    <t>River View Local</t>
  </si>
  <si>
    <t>Riverdale Local</t>
  </si>
  <si>
    <t>Riverside Local</t>
  </si>
  <si>
    <t>Rock Hill Local</t>
  </si>
  <si>
    <t>Rocky River City</t>
  </si>
  <si>
    <t>Rolling Hills Local</t>
  </si>
  <si>
    <t>Rootstown Local</t>
  </si>
  <si>
    <t>Ross Local</t>
  </si>
  <si>
    <t>Rossford Exempted Village</t>
  </si>
  <si>
    <t>Russia Local</t>
  </si>
  <si>
    <t>Salem City</t>
  </si>
  <si>
    <t>Sandusky City</t>
  </si>
  <si>
    <t>Sandy Valley Local</t>
  </si>
  <si>
    <t>Scioto Valley Local</t>
  </si>
  <si>
    <t>Sebring Local</t>
  </si>
  <si>
    <t>Seneca East Local</t>
  </si>
  <si>
    <t>Shadyside Local</t>
  </si>
  <si>
    <t>Shawnee Local</t>
  </si>
  <si>
    <t>Sheffield-Sheffield Lake City</t>
  </si>
  <si>
    <t>Shelby City</t>
  </si>
  <si>
    <t>Sidney City</t>
  </si>
  <si>
    <t>Solon City</t>
  </si>
  <si>
    <t>South Central Local</t>
  </si>
  <si>
    <t>South Euclid-Lyndhurst City</t>
  </si>
  <si>
    <t>South Range Local</t>
  </si>
  <si>
    <t>Southeast Local</t>
  </si>
  <si>
    <t>Southeastern Local</t>
  </si>
  <si>
    <t>Southern Local</t>
  </si>
  <si>
    <t>Southington Local</t>
  </si>
  <si>
    <t>Southwest Licking Local</t>
  </si>
  <si>
    <t>South-Western City</t>
  </si>
  <si>
    <t>Spencerville Local</t>
  </si>
  <si>
    <t>Springboro Community City</t>
  </si>
  <si>
    <t>Springfield Local</t>
  </si>
  <si>
    <t>St Bernard-Elmwood Place City</t>
  </si>
  <si>
    <t>St Clairsville-Richland City</t>
  </si>
  <si>
    <t>St Henry Consolidated Local</t>
  </si>
  <si>
    <t>St Marys City</t>
  </si>
  <si>
    <t>Steubenville City</t>
  </si>
  <si>
    <t>Stow-Munroe Falls City School District</t>
  </si>
  <si>
    <t>Strasburg-Franklin Local</t>
  </si>
  <si>
    <t>Streetsboro City</t>
  </si>
  <si>
    <t>Strongsville City</t>
  </si>
  <si>
    <t>Stryker Local</t>
  </si>
  <si>
    <t>Swanton Local</t>
  </si>
  <si>
    <t>Switzerland of Ohio Local</t>
  </si>
  <si>
    <t>Monroe</t>
  </si>
  <si>
    <t>Sylvania Schools</t>
  </si>
  <si>
    <t>Talawanda City</t>
  </si>
  <si>
    <t>Teays Valley Local</t>
  </si>
  <si>
    <t>Tipp City Exempted Village</t>
  </si>
  <si>
    <t>Toledo City</t>
  </si>
  <si>
    <t>Toronto City</t>
  </si>
  <si>
    <t>Triad Local</t>
  </si>
  <si>
    <t>Tri-County North Local</t>
  </si>
  <si>
    <t>Trimble Local</t>
  </si>
  <si>
    <t>Tri-Village Local</t>
  </si>
  <si>
    <t>Triway Local</t>
  </si>
  <si>
    <t>Trotwood-Madison City</t>
  </si>
  <si>
    <t>Troy City</t>
  </si>
  <si>
    <t>Tuscarawas Valley Local</t>
  </si>
  <si>
    <t>Tuslaw Local</t>
  </si>
  <si>
    <t>Twin Valley Community Local</t>
  </si>
  <si>
    <t>Twinsburg City</t>
  </si>
  <si>
    <t>Union Local</t>
  </si>
  <si>
    <t>Union-Scioto Local</t>
  </si>
  <si>
    <t>United Local</t>
  </si>
  <si>
    <t>Upper Arlington City</t>
  </si>
  <si>
    <t>Upper Sandusky Exempted Village</t>
  </si>
  <si>
    <t>Upper Scioto Valley Local</t>
  </si>
  <si>
    <t>Van Buren Local</t>
  </si>
  <si>
    <t>Van Wert City</t>
  </si>
  <si>
    <t>Vandalia-Butler City</t>
  </si>
  <si>
    <t>Vanlue Local</t>
  </si>
  <si>
    <t>Vermilion Local</t>
  </si>
  <si>
    <t>Versailles Exempted Village</t>
  </si>
  <si>
    <t>Vinton County Local</t>
  </si>
  <si>
    <t>Vinton</t>
  </si>
  <si>
    <t>Walnut Township Local</t>
  </si>
  <si>
    <t>Wapakoneta City</t>
  </si>
  <si>
    <t>Warren City</t>
  </si>
  <si>
    <t>Warren Local</t>
  </si>
  <si>
    <t>Warrensville Heights City</t>
  </si>
  <si>
    <t>Washington Court House City</t>
  </si>
  <si>
    <t>Waterloo Local</t>
  </si>
  <si>
    <t>Wauseon Exempted Village</t>
  </si>
  <si>
    <t>Wayne Local</t>
  </si>
  <si>
    <t>Wayne Trace Local</t>
  </si>
  <si>
    <t>Waynesfield-Goshen Local</t>
  </si>
  <si>
    <t>Weathersfield Local</t>
  </si>
  <si>
    <t>Wellington Exempted Village</t>
  </si>
  <si>
    <t>West Branch Local</t>
  </si>
  <si>
    <t>West Carrollton City</t>
  </si>
  <si>
    <t>West Clermont Local</t>
  </si>
  <si>
    <t>West Geauga Local</t>
  </si>
  <si>
    <t>West Holmes Local</t>
  </si>
  <si>
    <t>West Liberty-Salem Local</t>
  </si>
  <si>
    <t>Western Brown Local</t>
  </si>
  <si>
    <t>Western Reserve Local</t>
  </si>
  <si>
    <t>Westerville City</t>
  </si>
  <si>
    <t>Westfall Local</t>
  </si>
  <si>
    <t>Westlake City</t>
  </si>
  <si>
    <t>Wheelersburg Local</t>
  </si>
  <si>
    <t>Whitehall City</t>
  </si>
  <si>
    <t>Wickliffe City</t>
  </si>
  <si>
    <t>Williamsburg Local</t>
  </si>
  <si>
    <t>Willoughby-Eastlake City</t>
  </si>
  <si>
    <t>Wilmington City</t>
  </si>
  <si>
    <t>Windham Exempted Village</t>
  </si>
  <si>
    <t>Winton Woods City</t>
  </si>
  <si>
    <t>Wolf Creek Local</t>
  </si>
  <si>
    <t>Woodridge Local</t>
  </si>
  <si>
    <t>Wooster City</t>
  </si>
  <si>
    <t>Worthington City</t>
  </si>
  <si>
    <t>Wynford Local</t>
  </si>
  <si>
    <t>Wyoming City</t>
  </si>
  <si>
    <t>Yellow Springs Exempted Village</t>
  </si>
  <si>
    <t>Youngstown City</t>
  </si>
  <si>
    <t>Zane Trace Local</t>
  </si>
  <si>
    <t>Zanesville City</t>
  </si>
  <si>
    <t>FY06</t>
  </si>
  <si>
    <t>FY07</t>
  </si>
  <si>
    <t>FY08</t>
  </si>
  <si>
    <t>FY09</t>
  </si>
  <si>
    <t>FY10</t>
  </si>
  <si>
    <t>FY11</t>
  </si>
  <si>
    <t>FY12</t>
  </si>
  <si>
    <t>FY13</t>
  </si>
  <si>
    <t>FY14</t>
  </si>
  <si>
    <t>FY15</t>
  </si>
  <si>
    <t>FY16</t>
  </si>
  <si>
    <t>FY17</t>
  </si>
  <si>
    <t>FY</t>
  </si>
  <si>
    <t>FY18</t>
  </si>
  <si>
    <t>&lt;10</t>
  </si>
  <si>
    <t>Cloverleaf Local</t>
  </si>
  <si>
    <t>Ironton City School District</t>
  </si>
  <si>
    <t>Lordstown Local</t>
  </si>
  <si>
    <t>Ottawa-Glandorf Local</t>
  </si>
  <si>
    <t>Symmes Valley Local</t>
  </si>
  <si>
    <t>West Muskingum Local</t>
  </si>
  <si>
    <t>Belpre City</t>
  </si>
  <si>
    <t>Cincinnati Public Schools</t>
  </si>
  <si>
    <t>Kenton City</t>
  </si>
  <si>
    <t>Lebanon City</t>
  </si>
  <si>
    <t>Mariemont City</t>
  </si>
  <si>
    <t>Nelsonville-York City</t>
  </si>
  <si>
    <t>Eastern Local School District</t>
  </si>
  <si>
    <t>Tecumseh Local</t>
  </si>
  <si>
    <t>Blanchester Local</t>
  </si>
  <si>
    <t>Marion Local</t>
  </si>
  <si>
    <t>New Lebanon Local School District</t>
  </si>
  <si>
    <t>Minford Local</t>
  </si>
  <si>
    <t>Fairlawn Local</t>
  </si>
  <si>
    <t>Copley-Fairlawn City</t>
  </si>
  <si>
    <t>Mathews Local</t>
  </si>
  <si>
    <t>Northwood Local Schools</t>
  </si>
  <si>
    <t>FY19</t>
  </si>
  <si>
    <t>Source:</t>
  </si>
  <si>
    <t>General:</t>
  </si>
  <si>
    <t>EMIS</t>
  </si>
  <si>
    <t>Updated:</t>
  </si>
  <si>
    <t>Count of home schooled resident students.</t>
  </si>
  <si>
    <t>FY20</t>
  </si>
  <si>
    <t>Bellaire Local</t>
  </si>
  <si>
    <t>Celina City</t>
  </si>
  <si>
    <t>Kent City</t>
  </si>
  <si>
    <t>Lakewood City</t>
  </si>
  <si>
    <t>Tiffin City Schools</t>
  </si>
  <si>
    <t>Willard City</t>
  </si>
  <si>
    <t>Clyde-Green Springs Exempted Village</t>
  </si>
  <si>
    <t>Leetonia Exempted Village School District</t>
  </si>
  <si>
    <t>New Bremen Local</t>
  </si>
  <si>
    <t>Clark-Shawnee Local</t>
  </si>
  <si>
    <t>Berne Union Local</t>
  </si>
  <si>
    <t>Miami East Local</t>
  </si>
  <si>
    <t>Genoa Area Local</t>
  </si>
  <si>
    <t>Western Local</t>
  </si>
  <si>
    <t>Leipsic Local</t>
  </si>
  <si>
    <t>Woodmore Local</t>
  </si>
  <si>
    <t>Valley Local</t>
  </si>
  <si>
    <t>Osnaburg Local</t>
  </si>
  <si>
    <t>Coventry Local</t>
  </si>
  <si>
    <t>Howland Local</t>
  </si>
  <si>
    <t>FY21</t>
  </si>
  <si>
    <t>Cuyahoga Falls City</t>
  </si>
  <si>
    <t>East Liverpool City</t>
  </si>
  <si>
    <t>Lockland Local</t>
  </si>
  <si>
    <t>Martins Ferry City</t>
  </si>
  <si>
    <t>Princeton City</t>
  </si>
  <si>
    <t>Shaker Heights City</t>
  </si>
  <si>
    <t>Springfield City School District</t>
  </si>
  <si>
    <t>Struthers City</t>
  </si>
  <si>
    <t>Sycamore Community City</t>
  </si>
  <si>
    <t>Wellsville Local</t>
  </si>
  <si>
    <t>Xenia Community City</t>
  </si>
  <si>
    <t>Bridgeport Exempted Village</t>
  </si>
  <si>
    <t>Carrollton Exempted Village</t>
  </si>
  <si>
    <t>Hillsdale Local</t>
  </si>
  <si>
    <t>Pymatuning Valley Local</t>
  </si>
  <si>
    <t>Federal Hocking Local</t>
  </si>
  <si>
    <t>Bethel-Tate Local</t>
  </si>
  <si>
    <t>Felicity-Franklin Local</t>
  </si>
  <si>
    <t>Kelleys Island Local</t>
  </si>
  <si>
    <t>North Fork Local</t>
  </si>
  <si>
    <t>Jefferson Township Local</t>
  </si>
  <si>
    <t>Benton Carroll Salem Local</t>
  </si>
  <si>
    <t>Middle Bass Local</t>
  </si>
  <si>
    <t>Waverly City</t>
  </si>
  <si>
    <t>Washington-Nile Local</t>
  </si>
  <si>
    <t>Mogadore Local</t>
  </si>
  <si>
    <t>Liberty Local</t>
  </si>
  <si>
    <t>Maplewood Local</t>
  </si>
  <si>
    <t>Kings Local</t>
  </si>
  <si>
    <t xml:space="preserve">Bellefontaine City </t>
  </si>
  <si>
    <t>Brooklyn City</t>
  </si>
  <si>
    <t>Coshocton City</t>
  </si>
  <si>
    <t>Euclid City</t>
  </si>
  <si>
    <t xml:space="preserve">Fairborn City </t>
  </si>
  <si>
    <t xml:space="preserve">Gallipolis City </t>
  </si>
  <si>
    <t xml:space="preserve">Greenville City </t>
  </si>
  <si>
    <t>Mt Healthy City</t>
  </si>
  <si>
    <t>North Royalton City</t>
  </si>
  <si>
    <t xml:space="preserve">Norwood City </t>
  </si>
  <si>
    <t>Tallmadge City</t>
  </si>
  <si>
    <t>Urbana City</t>
  </si>
  <si>
    <t xml:space="preserve">Wadsworth City </t>
  </si>
  <si>
    <t xml:space="preserve">Wellston City </t>
  </si>
  <si>
    <t>Chagrin Falls Exempted Village</t>
  </si>
  <si>
    <t>Fairport Harbor Exempted Village</t>
  </si>
  <si>
    <t xml:space="preserve">Orange City </t>
  </si>
  <si>
    <t xml:space="preserve">Arcanum-Butler Local </t>
  </si>
  <si>
    <t xml:space="preserve">Ayersville Local </t>
  </si>
  <si>
    <t xml:space="preserve">Central Local </t>
  </si>
  <si>
    <t xml:space="preserve">Northwest Local </t>
  </si>
  <si>
    <t xml:space="preserve">Oak Hills Local </t>
  </si>
  <si>
    <t>Southwest Local</t>
  </si>
  <si>
    <t xml:space="preserve">East Holmes Local </t>
  </si>
  <si>
    <t>New London Local</t>
  </si>
  <si>
    <t xml:space="preserve">Buckeye Local </t>
  </si>
  <si>
    <t xml:space="preserve">Danville Local </t>
  </si>
  <si>
    <t xml:space="preserve">Madison Local </t>
  </si>
  <si>
    <t xml:space="preserve">Fairland Local </t>
  </si>
  <si>
    <t>South Point Local</t>
  </si>
  <si>
    <t xml:space="preserve">Washington Local </t>
  </si>
  <si>
    <t>Jefferson Local</t>
  </si>
  <si>
    <t xml:space="preserve">Ridgedale Local </t>
  </si>
  <si>
    <t>Valley View Local</t>
  </si>
  <si>
    <t>Huber Heights City</t>
  </si>
  <si>
    <t>East Muskingum Local</t>
  </si>
  <si>
    <t xml:space="preserve">Franklin Local </t>
  </si>
  <si>
    <t xml:space="preserve">Tri-Valley Local </t>
  </si>
  <si>
    <t>North Bass Local</t>
  </si>
  <si>
    <t>Plymouth-Shiloh Local</t>
  </si>
  <si>
    <t>Revere Local</t>
  </si>
  <si>
    <t xml:space="preserve">Brookfield Local </t>
  </si>
  <si>
    <t>Chippewa Local</t>
  </si>
  <si>
    <t>College Corner Local</t>
  </si>
  <si>
    <t xml:space="preserve">Three Rivers Local 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</si>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</sst>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37" fontId="0" fillId="0" borderId="0" xfId="1" applyNumberFormat="1" applyFont="1" applyAlignment="1">
      <alignment horizontal="center"/>
    </xf>
    <xf numFmtId="164" fontId="0" fillId="0" borderId="0" xfId="1" applyNumberFormat="1" applyFont="1"/>
    <xf numFmtId="14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0" borderId="0" xfId="5"/>
    <xf numFmtId="164" fontId="1" fillId="0" borderId="0" xfId="1" applyNumberFormat="1" applyFont="1"/>
    <xf numFmtId="0" fontId="1" fillId="0" borderId="0" xfId="5" applyFont="1" applyAlignment="1">
      <alignment horizontal="right"/>
    </xf>
  </cellXfs>
  <cellStyles count="7">
    <cellStyle name="Comma" xfId="1" builtinId="3"/>
    <cellStyle name="Normal" xfId="0" builtinId="0"/>
    <cellStyle name="Normal 2" xfId="2" xr:uid="{B45D15FC-830D-48CB-889F-A95166DB51C2}"/>
    <cellStyle name="Normal 3" xfId="3" xr:uid="{7D5BDF99-D8DC-4FF9-B579-E73DB0BA7679}"/>
    <cellStyle name="Normal 4" xfId="4" xr:uid="{ABE7FBCA-9397-49E7-9326-8D4E57E365DF}"/>
    <cellStyle name="Normal 5" xfId="5" xr:uid="{463AA4EF-078F-43BC-A641-EF966A473A8C}"/>
    <cellStyle name="Normal 6" xfId="6" xr:uid="{88A1E243-BA46-49E8-AA83-A01609DFCC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10.1640625" bestFit="1" customWidth="1"/>
    <col min="2" max="2" width="9.6640625" bestFit="1" customWidth="1"/>
    <col min="4" max="4" width="9.33203125" customWidth="1"/>
  </cols>
  <sheetData>
    <row r="1" spans="1:13" ht="15" customHeight="1" x14ac:dyDescent="0.2">
      <c r="A1" t="s">
        <v>603</v>
      </c>
      <c r="B1" s="6">
        <v>44454</v>
      </c>
    </row>
    <row r="3" spans="1:13" x14ac:dyDescent="0.2">
      <c r="A3" t="s">
        <v>600</v>
      </c>
      <c r="B3" t="s">
        <v>602</v>
      </c>
    </row>
    <row r="5" spans="1:13" x14ac:dyDescent="0.2">
      <c r="A5" t="s">
        <v>601</v>
      </c>
      <c r="B5" t="s">
        <v>604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x14ac:dyDescent="0.2"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">
      <c r="A8" s="8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"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2:13" x14ac:dyDescent="0.2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2:13" x14ac:dyDescent="0.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2:13" x14ac:dyDescent="0.2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2:13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tabSelected="1" topLeftCell="D1" workbookViewId="0">
      <selection activeCell="I5" sqref="I5"/>
    </sheetView>
  </sheetViews>
  <sheetFormatPr baseColWidth="10" defaultColWidth="8.83203125" defaultRowHeight="15" x14ac:dyDescent="0.2"/>
  <cols>
    <col min="1" max="12" width="10.6640625" style="3" bestFit="1" customWidth="1"/>
    <col min="13" max="13" width="10.1640625" bestFit="1" customWidth="1"/>
    <col min="14" max="14" width="10.6640625" bestFit="1" customWidth="1"/>
    <col min="15" max="16" width="9.83203125" bestFit="1" customWidth="1"/>
  </cols>
  <sheetData>
    <row r="1" spans="1:16" ht="35.25" customHeight="1" x14ac:dyDescent="0.2">
      <c r="A1" s="2" t="s">
        <v>562</v>
      </c>
      <c r="B1" s="2" t="s">
        <v>563</v>
      </c>
      <c r="C1" s="2" t="s">
        <v>564</v>
      </c>
      <c r="D1" s="2" t="s">
        <v>565</v>
      </c>
      <c r="E1" s="2" t="s">
        <v>566</v>
      </c>
      <c r="F1" s="2" t="s">
        <v>567</v>
      </c>
      <c r="G1" s="2" t="s">
        <v>568</v>
      </c>
      <c r="H1" s="2" t="s">
        <v>569</v>
      </c>
      <c r="I1" s="2" t="s">
        <v>570</v>
      </c>
      <c r="J1" s="2" t="s">
        <v>571</v>
      </c>
      <c r="K1" s="2" t="s">
        <v>572</v>
      </c>
      <c r="L1" s="2" t="s">
        <v>573</v>
      </c>
      <c r="M1" s="2" t="s">
        <v>575</v>
      </c>
      <c r="N1" s="2" t="s">
        <v>599</v>
      </c>
      <c r="O1" s="2" t="s">
        <v>605</v>
      </c>
      <c r="P1" s="2" t="s">
        <v>626</v>
      </c>
    </row>
    <row r="2" spans="1:16" x14ac:dyDescent="0.2">
      <c r="A2" s="4">
        <v>25937</v>
      </c>
      <c r="B2" s="4">
        <v>23020</v>
      </c>
      <c r="C2" s="4">
        <v>24000</v>
      </c>
      <c r="D2" s="4">
        <v>23728</v>
      </c>
      <c r="E2" s="4">
        <v>23597</v>
      </c>
      <c r="F2" s="4">
        <v>21762</v>
      </c>
      <c r="G2" s="4">
        <v>20091</v>
      </c>
      <c r="H2" s="4">
        <v>24242</v>
      </c>
      <c r="I2" s="4">
        <v>25862</v>
      </c>
      <c r="J2" s="4">
        <v>27236</v>
      </c>
      <c r="K2" s="4">
        <v>28629</v>
      </c>
      <c r="L2" s="4">
        <v>30491</v>
      </c>
      <c r="M2" s="4">
        <v>30923</v>
      </c>
      <c r="N2" s="5">
        <v>32887</v>
      </c>
      <c r="O2" s="5">
        <v>33328</v>
      </c>
      <c r="P2" s="10">
        <v>51502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2"/>
  <sheetViews>
    <sheetView topLeftCell="A593" workbookViewId="0">
      <selection activeCell="I7" sqref="I7"/>
    </sheetView>
  </sheetViews>
  <sheetFormatPr baseColWidth="10" defaultColWidth="8.83203125" defaultRowHeight="15" x14ac:dyDescent="0.2"/>
  <cols>
    <col min="1" max="1" width="9.1640625" style="3"/>
    <col min="3" max="3" width="41.1640625" bestFit="1" customWidth="1"/>
    <col min="4" max="4" width="11.83203125" bestFit="1" customWidth="1"/>
    <col min="5" max="5" width="16.33203125" style="3" customWidth="1"/>
    <col min="9" max="9" width="9" customWidth="1"/>
  </cols>
  <sheetData>
    <row r="1" spans="1:5" ht="54.75" customHeight="1" x14ac:dyDescent="0.2">
      <c r="A1" s="2" t="s">
        <v>574</v>
      </c>
      <c r="B1" s="2" t="s">
        <v>0</v>
      </c>
      <c r="C1" s="2" t="s">
        <v>1</v>
      </c>
      <c r="D1" s="2" t="s">
        <v>2</v>
      </c>
      <c r="E1" s="1" t="s">
        <v>3</v>
      </c>
    </row>
    <row r="2" spans="1:5" x14ac:dyDescent="0.2">
      <c r="A2" s="3">
        <v>2021</v>
      </c>
      <c r="B2" t="str">
        <f>"043489"</f>
        <v>043489</v>
      </c>
      <c r="C2" t="s">
        <v>10</v>
      </c>
      <c r="D2" t="s">
        <v>11</v>
      </c>
      <c r="E2" s="9">
        <v>373</v>
      </c>
    </row>
    <row r="3" spans="1:5" x14ac:dyDescent="0.2">
      <c r="A3" s="3">
        <v>2021</v>
      </c>
      <c r="B3" t="str">
        <f>"043497"</f>
        <v>043497</v>
      </c>
      <c r="C3" t="s">
        <v>16</v>
      </c>
      <c r="D3" t="s">
        <v>17</v>
      </c>
      <c r="E3" s="9">
        <v>70</v>
      </c>
    </row>
    <row r="4" spans="1:5" x14ac:dyDescent="0.2">
      <c r="A4" s="3">
        <v>2021</v>
      </c>
      <c r="B4" t="str">
        <f>"043505"</f>
        <v>043505</v>
      </c>
      <c r="C4" t="s">
        <v>35</v>
      </c>
      <c r="D4" t="s">
        <v>36</v>
      </c>
      <c r="E4" s="9">
        <v>179</v>
      </c>
    </row>
    <row r="5" spans="1:5" x14ac:dyDescent="0.2">
      <c r="A5" s="3">
        <v>2021</v>
      </c>
      <c r="B5" t="str">
        <f>"043513"</f>
        <v>043513</v>
      </c>
      <c r="C5" t="s">
        <v>37</v>
      </c>
      <c r="D5" t="s">
        <v>38</v>
      </c>
      <c r="E5" s="9">
        <v>75</v>
      </c>
    </row>
    <row r="6" spans="1:5" x14ac:dyDescent="0.2">
      <c r="A6" s="3">
        <v>2021</v>
      </c>
      <c r="B6" t="str">
        <f>"043521"</f>
        <v>043521</v>
      </c>
      <c r="C6" t="s">
        <v>39</v>
      </c>
      <c r="D6" t="s">
        <v>13</v>
      </c>
      <c r="E6" s="9">
        <v>117</v>
      </c>
    </row>
    <row r="7" spans="1:5" x14ac:dyDescent="0.2">
      <c r="A7" s="3">
        <v>2021</v>
      </c>
      <c r="B7" t="str">
        <f>"043539"</f>
        <v>043539</v>
      </c>
      <c r="C7" t="s">
        <v>47</v>
      </c>
      <c r="D7" t="s">
        <v>11</v>
      </c>
      <c r="E7" s="9">
        <v>105</v>
      </c>
    </row>
    <row r="8" spans="1:5" x14ac:dyDescent="0.2">
      <c r="A8" s="3">
        <v>2021</v>
      </c>
      <c r="B8" t="str">
        <f>"043547"</f>
        <v>043547</v>
      </c>
      <c r="C8" t="s">
        <v>53</v>
      </c>
      <c r="D8" t="s">
        <v>54</v>
      </c>
      <c r="E8" s="9">
        <v>88</v>
      </c>
    </row>
    <row r="9" spans="1:5" x14ac:dyDescent="0.2">
      <c r="A9" s="3">
        <v>2021</v>
      </c>
      <c r="B9" t="str">
        <f>"043554"</f>
        <v>043554</v>
      </c>
      <c r="C9" t="s">
        <v>55</v>
      </c>
      <c r="D9" t="s">
        <v>54</v>
      </c>
      <c r="E9" s="11" t="s">
        <v>576</v>
      </c>
    </row>
    <row r="10" spans="1:5" x14ac:dyDescent="0.2">
      <c r="A10" s="3">
        <v>2021</v>
      </c>
      <c r="B10" t="str">
        <f>"043562"</f>
        <v>043562</v>
      </c>
      <c r="C10" t="s">
        <v>60</v>
      </c>
      <c r="D10" t="s">
        <v>54</v>
      </c>
      <c r="E10" s="9">
        <v>67</v>
      </c>
    </row>
    <row r="11" spans="1:5" x14ac:dyDescent="0.2">
      <c r="A11" s="3">
        <v>2021</v>
      </c>
      <c r="B11" t="str">
        <f>"043570"</f>
        <v>043570</v>
      </c>
      <c r="C11" t="s">
        <v>606</v>
      </c>
      <c r="D11" t="s">
        <v>49</v>
      </c>
      <c r="E11" s="9">
        <v>13</v>
      </c>
    </row>
    <row r="12" spans="1:5" x14ac:dyDescent="0.2">
      <c r="A12" s="3">
        <v>2021</v>
      </c>
      <c r="B12" t="str">
        <f>"043588"</f>
        <v>043588</v>
      </c>
      <c r="C12" t="s">
        <v>656</v>
      </c>
      <c r="D12" t="s">
        <v>62</v>
      </c>
      <c r="E12" s="9">
        <v>57</v>
      </c>
    </row>
    <row r="13" spans="1:5" x14ac:dyDescent="0.2">
      <c r="A13" s="3">
        <v>2021</v>
      </c>
      <c r="B13" t="str">
        <f>"043596"</f>
        <v>043596</v>
      </c>
      <c r="C13" t="s">
        <v>63</v>
      </c>
      <c r="D13" t="s">
        <v>64</v>
      </c>
      <c r="E13" s="9">
        <v>63</v>
      </c>
    </row>
    <row r="14" spans="1:5" x14ac:dyDescent="0.2">
      <c r="A14" s="3">
        <v>2021</v>
      </c>
      <c r="B14" t="str">
        <f>"043604"</f>
        <v>043604</v>
      </c>
      <c r="C14" t="s">
        <v>583</v>
      </c>
      <c r="D14" t="s">
        <v>65</v>
      </c>
      <c r="E14" s="9">
        <v>27</v>
      </c>
    </row>
    <row r="15" spans="1:5" x14ac:dyDescent="0.2">
      <c r="A15" s="3">
        <v>2021</v>
      </c>
      <c r="B15" t="str">
        <f>"043612"</f>
        <v>043612</v>
      </c>
      <c r="C15" t="s">
        <v>67</v>
      </c>
      <c r="D15" t="s">
        <v>54</v>
      </c>
      <c r="E15" s="9">
        <v>130</v>
      </c>
    </row>
    <row r="16" spans="1:5" x14ac:dyDescent="0.2">
      <c r="A16" s="3">
        <v>2021</v>
      </c>
      <c r="B16" t="str">
        <f>"043620"</f>
        <v>043620</v>
      </c>
      <c r="C16" t="s">
        <v>72</v>
      </c>
      <c r="D16" t="s">
        <v>73</v>
      </c>
      <c r="E16" s="9">
        <v>41</v>
      </c>
    </row>
    <row r="17" spans="1:5" x14ac:dyDescent="0.2">
      <c r="A17" s="3">
        <v>2021</v>
      </c>
      <c r="B17" t="str">
        <f>"043638"</f>
        <v>043638</v>
      </c>
      <c r="C17" t="s">
        <v>86</v>
      </c>
      <c r="D17" t="s">
        <v>87</v>
      </c>
      <c r="E17" s="9">
        <v>0</v>
      </c>
    </row>
    <row r="18" spans="1:5" x14ac:dyDescent="0.2">
      <c r="A18" s="3">
        <v>2021</v>
      </c>
      <c r="B18" t="str">
        <f>"043646"</f>
        <v>043646</v>
      </c>
      <c r="C18" t="s">
        <v>89</v>
      </c>
      <c r="D18" t="s">
        <v>54</v>
      </c>
      <c r="E18" s="9">
        <v>87</v>
      </c>
    </row>
    <row r="19" spans="1:5" x14ac:dyDescent="0.2">
      <c r="A19" s="3">
        <v>2021</v>
      </c>
      <c r="B19" t="str">
        <f>"043653"</f>
        <v>043653</v>
      </c>
      <c r="C19" t="s">
        <v>657</v>
      </c>
      <c r="D19" t="s">
        <v>54</v>
      </c>
      <c r="E19" s="11" t="s">
        <v>701</v>
      </c>
    </row>
    <row r="20" spans="1:5" x14ac:dyDescent="0.2">
      <c r="A20" s="3">
        <v>2021</v>
      </c>
      <c r="B20" t="str">
        <f>"043661"</f>
        <v>043661</v>
      </c>
      <c r="C20" t="s">
        <v>97</v>
      </c>
      <c r="D20" t="s">
        <v>77</v>
      </c>
      <c r="E20" s="9">
        <v>112</v>
      </c>
    </row>
    <row r="21" spans="1:5" x14ac:dyDescent="0.2">
      <c r="A21" s="3">
        <v>2021</v>
      </c>
      <c r="B21" t="str">
        <f>"043679"</f>
        <v>043679</v>
      </c>
      <c r="C21" t="s">
        <v>98</v>
      </c>
      <c r="D21" t="s">
        <v>99</v>
      </c>
      <c r="E21" s="9">
        <v>89</v>
      </c>
    </row>
    <row r="22" spans="1:5" x14ac:dyDescent="0.2">
      <c r="A22" s="3">
        <v>2021</v>
      </c>
      <c r="B22" t="str">
        <f>"043687"</f>
        <v>043687</v>
      </c>
      <c r="C22" t="s">
        <v>105</v>
      </c>
      <c r="D22" t="s">
        <v>101</v>
      </c>
      <c r="E22" s="9">
        <v>0</v>
      </c>
    </row>
    <row r="23" spans="1:5" x14ac:dyDescent="0.2">
      <c r="A23" s="3">
        <v>2021</v>
      </c>
      <c r="B23" t="str">
        <f>"043695"</f>
        <v>043695</v>
      </c>
      <c r="C23" t="s">
        <v>108</v>
      </c>
      <c r="D23" t="s">
        <v>109</v>
      </c>
      <c r="E23" s="9">
        <v>40</v>
      </c>
    </row>
    <row r="24" spans="1:5" x14ac:dyDescent="0.2">
      <c r="A24" s="3">
        <v>2021</v>
      </c>
      <c r="B24" t="str">
        <f>"043703"</f>
        <v>043703</v>
      </c>
      <c r="C24" t="s">
        <v>110</v>
      </c>
      <c r="D24" t="s">
        <v>43</v>
      </c>
      <c r="E24" s="11" t="s">
        <v>576</v>
      </c>
    </row>
    <row r="25" spans="1:5" x14ac:dyDescent="0.2">
      <c r="A25" s="3">
        <v>2021</v>
      </c>
      <c r="B25" t="str">
        <f>"043711"</f>
        <v>043711</v>
      </c>
      <c r="C25" t="s">
        <v>113</v>
      </c>
      <c r="D25" t="s">
        <v>17</v>
      </c>
      <c r="E25" s="9">
        <v>150</v>
      </c>
    </row>
    <row r="26" spans="1:5" x14ac:dyDescent="0.2">
      <c r="A26" s="3">
        <v>2021</v>
      </c>
      <c r="B26" t="str">
        <f>"043729"</f>
        <v>043729</v>
      </c>
      <c r="C26" t="s">
        <v>607</v>
      </c>
      <c r="D26" t="s">
        <v>123</v>
      </c>
      <c r="E26" s="9">
        <v>117</v>
      </c>
    </row>
    <row r="27" spans="1:5" x14ac:dyDescent="0.2">
      <c r="A27" s="3">
        <v>2021</v>
      </c>
      <c r="B27" t="str">
        <f>"043737"</f>
        <v>043737</v>
      </c>
      <c r="C27" t="s">
        <v>126</v>
      </c>
      <c r="D27" t="s">
        <v>94</v>
      </c>
      <c r="E27" s="9">
        <v>406</v>
      </c>
    </row>
    <row r="28" spans="1:5" x14ac:dyDescent="0.2">
      <c r="A28" s="3">
        <v>2021</v>
      </c>
      <c r="B28" t="str">
        <f>"043745"</f>
        <v>043745</v>
      </c>
      <c r="C28" t="s">
        <v>131</v>
      </c>
      <c r="D28" t="s">
        <v>9</v>
      </c>
      <c r="E28" s="9">
        <v>64</v>
      </c>
    </row>
    <row r="29" spans="1:5" x14ac:dyDescent="0.2">
      <c r="A29" s="3">
        <v>2021</v>
      </c>
      <c r="B29" t="str">
        <f>"043752"</f>
        <v>043752</v>
      </c>
      <c r="C29" t="s">
        <v>584</v>
      </c>
      <c r="D29" t="s">
        <v>175</v>
      </c>
      <c r="E29" s="9">
        <v>0</v>
      </c>
    </row>
    <row r="30" spans="1:5" x14ac:dyDescent="0.2">
      <c r="A30" s="3">
        <v>2021</v>
      </c>
      <c r="B30" t="str">
        <f>"043760"</f>
        <v>043760</v>
      </c>
      <c r="C30" t="s">
        <v>133</v>
      </c>
      <c r="D30" t="s">
        <v>134</v>
      </c>
      <c r="E30" s="9">
        <v>67</v>
      </c>
    </row>
    <row r="31" spans="1:5" x14ac:dyDescent="0.2">
      <c r="A31" s="3">
        <v>2021</v>
      </c>
      <c r="B31" t="str">
        <f>"043778"</f>
        <v>043778</v>
      </c>
      <c r="C31" t="s">
        <v>137</v>
      </c>
      <c r="D31" t="s">
        <v>138</v>
      </c>
      <c r="E31" s="9">
        <v>39</v>
      </c>
    </row>
    <row r="32" spans="1:5" x14ac:dyDescent="0.2">
      <c r="A32" s="3">
        <v>2021</v>
      </c>
      <c r="B32" t="str">
        <f>"043786"</f>
        <v>043786</v>
      </c>
      <c r="C32" t="s">
        <v>144</v>
      </c>
      <c r="D32" t="s">
        <v>54</v>
      </c>
      <c r="E32" s="9">
        <v>326</v>
      </c>
    </row>
    <row r="33" spans="1:5" x14ac:dyDescent="0.2">
      <c r="A33" s="3">
        <v>2021</v>
      </c>
      <c r="B33" t="str">
        <f>"043794"</f>
        <v>043794</v>
      </c>
      <c r="C33" t="s">
        <v>143</v>
      </c>
      <c r="D33" t="s">
        <v>54</v>
      </c>
      <c r="E33" s="9">
        <v>185</v>
      </c>
    </row>
    <row r="34" spans="1:5" x14ac:dyDescent="0.2">
      <c r="A34" s="3">
        <v>2021</v>
      </c>
      <c r="B34" t="str">
        <f>"043802"</f>
        <v>043802</v>
      </c>
      <c r="C34" t="s">
        <v>152</v>
      </c>
      <c r="D34" t="s">
        <v>73</v>
      </c>
      <c r="E34" s="9">
        <v>1352</v>
      </c>
    </row>
    <row r="35" spans="1:5" x14ac:dyDescent="0.2">
      <c r="A35" s="3">
        <v>2021</v>
      </c>
      <c r="B35" t="str">
        <f>"043810"</f>
        <v>043810</v>
      </c>
      <c r="C35" t="s">
        <v>155</v>
      </c>
      <c r="D35" t="s">
        <v>38</v>
      </c>
      <c r="E35" s="9">
        <v>73</v>
      </c>
    </row>
    <row r="36" spans="1:5" x14ac:dyDescent="0.2">
      <c r="A36" s="3">
        <v>2021</v>
      </c>
      <c r="B36" t="str">
        <f>"043828"</f>
        <v>043828</v>
      </c>
      <c r="C36" t="s">
        <v>658</v>
      </c>
      <c r="D36" t="s">
        <v>160</v>
      </c>
      <c r="E36" s="11" t="s">
        <v>701</v>
      </c>
    </row>
    <row r="37" spans="1:5" x14ac:dyDescent="0.2">
      <c r="A37" s="3">
        <v>2021</v>
      </c>
      <c r="B37" t="str">
        <f>"043836"</f>
        <v>043836</v>
      </c>
      <c r="C37" t="s">
        <v>627</v>
      </c>
      <c r="D37" t="s">
        <v>11</v>
      </c>
      <c r="E37" s="9">
        <v>183</v>
      </c>
    </row>
    <row r="38" spans="1:5" x14ac:dyDescent="0.2">
      <c r="A38" s="3">
        <v>2021</v>
      </c>
      <c r="B38" t="str">
        <f>"043844"</f>
        <v>043844</v>
      </c>
      <c r="C38" t="s">
        <v>173</v>
      </c>
      <c r="D38" t="s">
        <v>94</v>
      </c>
      <c r="E38" s="9">
        <v>329</v>
      </c>
    </row>
    <row r="39" spans="1:5" x14ac:dyDescent="0.2">
      <c r="A39" s="3">
        <v>2021</v>
      </c>
      <c r="B39" t="str">
        <f>"043851"</f>
        <v>043851</v>
      </c>
      <c r="C39" t="s">
        <v>174</v>
      </c>
      <c r="D39" t="s">
        <v>175</v>
      </c>
      <c r="E39" s="9">
        <v>43</v>
      </c>
    </row>
    <row r="40" spans="1:5" x14ac:dyDescent="0.2">
      <c r="A40" s="3">
        <v>2021</v>
      </c>
      <c r="B40" t="str">
        <f>"043869"</f>
        <v>043869</v>
      </c>
      <c r="C40" t="s">
        <v>176</v>
      </c>
      <c r="D40" t="s">
        <v>46</v>
      </c>
      <c r="E40" s="9">
        <v>0</v>
      </c>
    </row>
    <row r="41" spans="1:5" x14ac:dyDescent="0.2">
      <c r="A41" s="3">
        <v>2021</v>
      </c>
      <c r="B41" t="str">
        <f>"043877"</f>
        <v>043877</v>
      </c>
      <c r="C41" t="s">
        <v>177</v>
      </c>
      <c r="D41" t="s">
        <v>75</v>
      </c>
      <c r="E41" s="9">
        <v>343</v>
      </c>
    </row>
    <row r="42" spans="1:5" x14ac:dyDescent="0.2">
      <c r="A42" s="3">
        <v>2021</v>
      </c>
      <c r="B42" t="str">
        <f>"043885"</f>
        <v>043885</v>
      </c>
      <c r="C42" t="s">
        <v>178</v>
      </c>
      <c r="D42" t="s">
        <v>15</v>
      </c>
      <c r="E42" s="9">
        <v>43</v>
      </c>
    </row>
    <row r="43" spans="1:5" x14ac:dyDescent="0.2">
      <c r="A43" s="3">
        <v>2021</v>
      </c>
      <c r="B43" t="str">
        <f>"043893"</f>
        <v>043893</v>
      </c>
      <c r="C43" t="s">
        <v>179</v>
      </c>
      <c r="D43" t="s">
        <v>138</v>
      </c>
      <c r="E43" s="9">
        <v>100</v>
      </c>
    </row>
    <row r="44" spans="1:5" x14ac:dyDescent="0.2">
      <c r="A44" s="3">
        <v>2021</v>
      </c>
      <c r="B44" t="str">
        <f>"043901"</f>
        <v>043901</v>
      </c>
      <c r="C44" t="s">
        <v>181</v>
      </c>
      <c r="D44" t="s">
        <v>54</v>
      </c>
      <c r="E44" s="9">
        <v>0</v>
      </c>
    </row>
    <row r="45" spans="1:5" x14ac:dyDescent="0.2">
      <c r="A45" s="3">
        <v>2021</v>
      </c>
      <c r="B45" t="str">
        <f>"043919"</f>
        <v>043919</v>
      </c>
      <c r="C45" t="s">
        <v>628</v>
      </c>
      <c r="D45" t="s">
        <v>57</v>
      </c>
      <c r="E45" s="9">
        <v>23</v>
      </c>
    </row>
    <row r="46" spans="1:5" x14ac:dyDescent="0.2">
      <c r="A46" s="3">
        <v>2021</v>
      </c>
      <c r="B46" t="str">
        <f>"043927"</f>
        <v>043927</v>
      </c>
      <c r="C46" t="s">
        <v>187</v>
      </c>
      <c r="D46" t="s">
        <v>57</v>
      </c>
      <c r="E46" s="9">
        <v>60</v>
      </c>
    </row>
    <row r="47" spans="1:5" x14ac:dyDescent="0.2">
      <c r="A47" s="3">
        <v>2021</v>
      </c>
      <c r="B47" t="str">
        <f>"043935"</f>
        <v>043935</v>
      </c>
      <c r="C47" t="s">
        <v>193</v>
      </c>
      <c r="D47" t="s">
        <v>194</v>
      </c>
      <c r="E47" s="9">
        <v>156</v>
      </c>
    </row>
    <row r="48" spans="1:5" x14ac:dyDescent="0.2">
      <c r="A48" s="3">
        <v>2021</v>
      </c>
      <c r="B48" t="str">
        <f>"043943"</f>
        <v>043943</v>
      </c>
      <c r="C48" t="s">
        <v>206</v>
      </c>
      <c r="D48" t="s">
        <v>21</v>
      </c>
      <c r="E48" s="9">
        <v>128</v>
      </c>
    </row>
    <row r="49" spans="1:5" x14ac:dyDescent="0.2">
      <c r="A49" s="3">
        <v>2021</v>
      </c>
      <c r="B49" t="str">
        <f>"043950"</f>
        <v>043950</v>
      </c>
      <c r="C49" t="s">
        <v>659</v>
      </c>
      <c r="D49" t="s">
        <v>54</v>
      </c>
      <c r="E49" s="11" t="s">
        <v>701</v>
      </c>
    </row>
    <row r="50" spans="1:5" x14ac:dyDescent="0.2">
      <c r="A50" s="3">
        <v>2021</v>
      </c>
      <c r="B50" t="str">
        <f>"043968"</f>
        <v>043968</v>
      </c>
      <c r="C50" t="s">
        <v>660</v>
      </c>
      <c r="D50" t="s">
        <v>59</v>
      </c>
      <c r="E50" s="9">
        <v>332</v>
      </c>
    </row>
    <row r="51" spans="1:5" x14ac:dyDescent="0.2">
      <c r="A51" s="3">
        <v>2021</v>
      </c>
      <c r="B51" t="str">
        <f>"043976"</f>
        <v>043976</v>
      </c>
      <c r="C51" t="s">
        <v>214</v>
      </c>
      <c r="D51" t="s">
        <v>54</v>
      </c>
      <c r="E51" s="9">
        <v>0</v>
      </c>
    </row>
    <row r="52" spans="1:5" x14ac:dyDescent="0.2">
      <c r="A52" s="3">
        <v>2021</v>
      </c>
      <c r="B52" t="str">
        <f>"043984"</f>
        <v>043984</v>
      </c>
      <c r="C52" t="s">
        <v>218</v>
      </c>
      <c r="D52" t="s">
        <v>31</v>
      </c>
      <c r="E52" s="9">
        <v>200</v>
      </c>
    </row>
    <row r="53" spans="1:5" x14ac:dyDescent="0.2">
      <c r="A53" s="3">
        <v>2021</v>
      </c>
      <c r="B53" t="str">
        <f>"043992"</f>
        <v>043992</v>
      </c>
      <c r="C53" t="s">
        <v>225</v>
      </c>
      <c r="D53" t="s">
        <v>226</v>
      </c>
      <c r="E53" s="9">
        <v>23</v>
      </c>
    </row>
    <row r="54" spans="1:5" x14ac:dyDescent="0.2">
      <c r="A54" s="3">
        <v>2021</v>
      </c>
      <c r="B54" t="str">
        <f>"044008"</f>
        <v>044008</v>
      </c>
      <c r="C54" t="s">
        <v>228</v>
      </c>
      <c r="D54" t="s">
        <v>121</v>
      </c>
      <c r="E54" s="9">
        <v>177</v>
      </c>
    </row>
    <row r="55" spans="1:5" x14ac:dyDescent="0.2">
      <c r="A55" s="3">
        <v>2021</v>
      </c>
      <c r="B55" t="str">
        <f>"044016"</f>
        <v>044016</v>
      </c>
      <c r="C55" t="s">
        <v>231</v>
      </c>
      <c r="D55" t="s">
        <v>147</v>
      </c>
      <c r="E55" s="9">
        <v>112</v>
      </c>
    </row>
    <row r="56" spans="1:5" x14ac:dyDescent="0.2">
      <c r="A56" s="3">
        <v>2021</v>
      </c>
      <c r="B56" t="str">
        <f>"044024"</f>
        <v>044024</v>
      </c>
      <c r="C56" t="s">
        <v>234</v>
      </c>
      <c r="D56" t="s">
        <v>101</v>
      </c>
      <c r="E56" s="9">
        <v>62</v>
      </c>
    </row>
    <row r="57" spans="1:5" x14ac:dyDescent="0.2">
      <c r="A57" s="3">
        <v>2021</v>
      </c>
      <c r="B57" t="str">
        <f>"044032"</f>
        <v>044032</v>
      </c>
      <c r="C57" t="s">
        <v>661</v>
      </c>
      <c r="D57" t="s">
        <v>236</v>
      </c>
      <c r="E57" s="9">
        <v>77</v>
      </c>
    </row>
    <row r="58" spans="1:5" x14ac:dyDescent="0.2">
      <c r="A58" s="3">
        <v>2021</v>
      </c>
      <c r="B58" t="str">
        <f>"044040"</f>
        <v>044040</v>
      </c>
      <c r="C58" t="s">
        <v>238</v>
      </c>
      <c r="D58" t="s">
        <v>54</v>
      </c>
      <c r="E58" s="9">
        <v>31</v>
      </c>
    </row>
    <row r="59" spans="1:5" x14ac:dyDescent="0.2">
      <c r="A59" s="3">
        <v>2021</v>
      </c>
      <c r="B59" t="str">
        <f>"044057"</f>
        <v>044057</v>
      </c>
      <c r="C59" t="s">
        <v>239</v>
      </c>
      <c r="D59" t="s">
        <v>38</v>
      </c>
      <c r="E59" s="9">
        <v>86</v>
      </c>
    </row>
    <row r="60" spans="1:5" x14ac:dyDescent="0.2">
      <c r="A60" s="3">
        <v>2021</v>
      </c>
      <c r="B60" t="str">
        <f>"044065"</f>
        <v>044065</v>
      </c>
      <c r="C60" t="s">
        <v>242</v>
      </c>
      <c r="D60" t="s">
        <v>80</v>
      </c>
      <c r="E60" s="9">
        <v>22</v>
      </c>
    </row>
    <row r="61" spans="1:5" x14ac:dyDescent="0.2">
      <c r="A61" s="3">
        <v>2021</v>
      </c>
      <c r="B61" t="str">
        <f>"044073"</f>
        <v>044073</v>
      </c>
      <c r="C61" t="s">
        <v>247</v>
      </c>
      <c r="D61" t="s">
        <v>73</v>
      </c>
      <c r="E61" s="9">
        <v>16</v>
      </c>
    </row>
    <row r="62" spans="1:5" x14ac:dyDescent="0.2">
      <c r="A62" s="3">
        <v>2021</v>
      </c>
      <c r="B62" t="str">
        <f>"044081"</f>
        <v>044081</v>
      </c>
      <c r="C62" t="s">
        <v>551</v>
      </c>
      <c r="D62" t="s">
        <v>175</v>
      </c>
      <c r="E62" s="9">
        <v>129</v>
      </c>
    </row>
    <row r="63" spans="1:5" x14ac:dyDescent="0.2">
      <c r="A63" s="3">
        <v>2021</v>
      </c>
      <c r="B63" t="str">
        <f>"044099"</f>
        <v>044099</v>
      </c>
      <c r="C63" t="s">
        <v>662</v>
      </c>
      <c r="D63" t="s">
        <v>25</v>
      </c>
      <c r="E63" s="9">
        <v>175</v>
      </c>
    </row>
    <row r="64" spans="1:5" x14ac:dyDescent="0.2">
      <c r="A64" s="3">
        <v>2021</v>
      </c>
      <c r="B64" t="str">
        <f>"044107"</f>
        <v>044107</v>
      </c>
      <c r="C64" t="s">
        <v>255</v>
      </c>
      <c r="D64" t="s">
        <v>197</v>
      </c>
      <c r="E64" s="9">
        <v>248</v>
      </c>
    </row>
    <row r="65" spans="1:5" x14ac:dyDescent="0.2">
      <c r="A65" s="3">
        <v>2021</v>
      </c>
      <c r="B65" t="str">
        <f>"044115"</f>
        <v>044115</v>
      </c>
      <c r="C65" t="s">
        <v>260</v>
      </c>
      <c r="D65" t="s">
        <v>249</v>
      </c>
      <c r="E65" s="9">
        <v>46</v>
      </c>
    </row>
    <row r="66" spans="1:5" x14ac:dyDescent="0.2">
      <c r="A66" s="3">
        <v>2021</v>
      </c>
      <c r="B66" t="str">
        <f>"044123"</f>
        <v>044123</v>
      </c>
      <c r="C66" t="s">
        <v>264</v>
      </c>
      <c r="D66" t="s">
        <v>91</v>
      </c>
      <c r="E66" s="9">
        <v>153</v>
      </c>
    </row>
    <row r="67" spans="1:5" x14ac:dyDescent="0.2">
      <c r="A67" s="3">
        <v>2021</v>
      </c>
      <c r="B67" t="str">
        <f>"044131"</f>
        <v>044131</v>
      </c>
      <c r="C67" t="s">
        <v>270</v>
      </c>
      <c r="D67" t="s">
        <v>200</v>
      </c>
      <c r="E67" s="9">
        <v>38</v>
      </c>
    </row>
    <row r="68" spans="1:5" x14ac:dyDescent="0.2">
      <c r="A68" s="3">
        <v>2021</v>
      </c>
      <c r="B68" t="str">
        <f>"044149"</f>
        <v>044149</v>
      </c>
      <c r="C68" t="s">
        <v>578</v>
      </c>
      <c r="D68" t="s">
        <v>130</v>
      </c>
      <c r="E68" s="9">
        <v>15</v>
      </c>
    </row>
    <row r="69" spans="1:5" x14ac:dyDescent="0.2">
      <c r="A69" s="3">
        <v>2021</v>
      </c>
      <c r="B69" t="str">
        <f>"044156"</f>
        <v>044156</v>
      </c>
      <c r="C69" t="s">
        <v>277</v>
      </c>
      <c r="D69" t="s">
        <v>278</v>
      </c>
      <c r="E69" s="9">
        <v>81</v>
      </c>
    </row>
    <row r="70" spans="1:5" x14ac:dyDescent="0.2">
      <c r="A70" s="3">
        <v>2021</v>
      </c>
      <c r="B70" t="str">
        <f>"044164"</f>
        <v>044164</v>
      </c>
      <c r="C70" t="s">
        <v>608</v>
      </c>
      <c r="D70" t="s">
        <v>41</v>
      </c>
      <c r="E70" s="9">
        <v>74</v>
      </c>
    </row>
    <row r="71" spans="1:5" x14ac:dyDescent="0.2">
      <c r="A71" s="3">
        <v>2021</v>
      </c>
      <c r="B71" t="str">
        <f>"044172"</f>
        <v>044172</v>
      </c>
      <c r="C71" t="s">
        <v>585</v>
      </c>
      <c r="D71" t="s">
        <v>5</v>
      </c>
      <c r="E71" s="9">
        <v>67</v>
      </c>
    </row>
    <row r="72" spans="1:5" x14ac:dyDescent="0.2">
      <c r="A72" s="3">
        <v>2021</v>
      </c>
      <c r="B72" t="str">
        <f>"044180"</f>
        <v>044180</v>
      </c>
      <c r="C72" t="s">
        <v>290</v>
      </c>
      <c r="D72" t="s">
        <v>94</v>
      </c>
      <c r="E72" s="9">
        <v>301</v>
      </c>
    </row>
    <row r="73" spans="1:5" x14ac:dyDescent="0.2">
      <c r="A73" s="3">
        <v>2021</v>
      </c>
      <c r="B73" t="str">
        <f>"044198"</f>
        <v>044198</v>
      </c>
      <c r="C73" t="s">
        <v>609</v>
      </c>
      <c r="D73" t="s">
        <v>54</v>
      </c>
      <c r="E73" s="9">
        <v>127</v>
      </c>
    </row>
    <row r="74" spans="1:5" x14ac:dyDescent="0.2">
      <c r="A74" s="3">
        <v>2021</v>
      </c>
      <c r="B74" t="str">
        <f>"044206"</f>
        <v>044206</v>
      </c>
      <c r="C74" t="s">
        <v>299</v>
      </c>
      <c r="D74" t="s">
        <v>19</v>
      </c>
      <c r="E74" s="9">
        <v>280</v>
      </c>
    </row>
    <row r="75" spans="1:5" x14ac:dyDescent="0.2">
      <c r="A75" s="3">
        <v>2021</v>
      </c>
      <c r="B75" t="str">
        <f>"044214"</f>
        <v>044214</v>
      </c>
      <c r="C75" t="s">
        <v>586</v>
      </c>
      <c r="D75" t="s">
        <v>121</v>
      </c>
      <c r="E75" s="9">
        <v>391</v>
      </c>
    </row>
    <row r="76" spans="1:5" x14ac:dyDescent="0.2">
      <c r="A76" s="3">
        <v>2021</v>
      </c>
      <c r="B76" t="str">
        <f>"044222"</f>
        <v>044222</v>
      </c>
      <c r="C76" t="s">
        <v>306</v>
      </c>
      <c r="D76" t="s">
        <v>15</v>
      </c>
      <c r="E76" s="9">
        <v>874</v>
      </c>
    </row>
    <row r="77" spans="1:5" x14ac:dyDescent="0.2">
      <c r="A77" s="3">
        <v>2021</v>
      </c>
      <c r="B77" t="str">
        <f>"044230"</f>
        <v>044230</v>
      </c>
      <c r="C77" t="s">
        <v>629</v>
      </c>
      <c r="D77" t="s">
        <v>175</v>
      </c>
      <c r="E77" s="9">
        <v>0</v>
      </c>
    </row>
    <row r="78" spans="1:5" x14ac:dyDescent="0.2">
      <c r="A78" s="3">
        <v>2021</v>
      </c>
      <c r="B78" t="str">
        <f>"044248"</f>
        <v>044248</v>
      </c>
      <c r="C78" t="s">
        <v>311</v>
      </c>
      <c r="D78" t="s">
        <v>312</v>
      </c>
      <c r="E78" s="9">
        <v>59</v>
      </c>
    </row>
    <row r="79" spans="1:5" x14ac:dyDescent="0.2">
      <c r="A79" s="3">
        <v>2021</v>
      </c>
      <c r="B79" t="str">
        <f>"044255"</f>
        <v>044255</v>
      </c>
      <c r="C79" t="s">
        <v>313</v>
      </c>
      <c r="D79" t="s">
        <v>283</v>
      </c>
      <c r="E79" s="9">
        <v>85</v>
      </c>
    </row>
    <row r="80" spans="1:5" x14ac:dyDescent="0.2">
      <c r="A80" s="3">
        <v>2021</v>
      </c>
      <c r="B80" t="str">
        <f>"044263"</f>
        <v>044263</v>
      </c>
      <c r="C80" t="s">
        <v>314</v>
      </c>
      <c r="D80" t="s">
        <v>21</v>
      </c>
      <c r="E80" s="9">
        <v>105</v>
      </c>
    </row>
    <row r="81" spans="1:5" x14ac:dyDescent="0.2">
      <c r="A81" s="3">
        <v>2021</v>
      </c>
      <c r="B81" t="str">
        <f>"044271"</f>
        <v>044271</v>
      </c>
      <c r="C81" t="s">
        <v>317</v>
      </c>
      <c r="D81" t="s">
        <v>175</v>
      </c>
      <c r="E81" s="9">
        <v>163</v>
      </c>
    </row>
    <row r="82" spans="1:5" x14ac:dyDescent="0.2">
      <c r="A82" s="3">
        <v>2021</v>
      </c>
      <c r="B82" t="str">
        <f>"044289"</f>
        <v>044289</v>
      </c>
      <c r="C82" t="s">
        <v>322</v>
      </c>
      <c r="D82" t="s">
        <v>175</v>
      </c>
      <c r="E82" s="9">
        <v>56</v>
      </c>
    </row>
    <row r="83" spans="1:5" x14ac:dyDescent="0.2">
      <c r="A83" s="3">
        <v>2021</v>
      </c>
      <c r="B83" t="str">
        <f>"044297"</f>
        <v>044297</v>
      </c>
      <c r="C83" t="s">
        <v>326</v>
      </c>
      <c r="D83" t="s">
        <v>140</v>
      </c>
      <c r="E83" s="9">
        <v>202</v>
      </c>
    </row>
    <row r="84" spans="1:5" x14ac:dyDescent="0.2">
      <c r="A84" s="3">
        <v>2021</v>
      </c>
      <c r="B84" t="str">
        <f>"044305"</f>
        <v>044305</v>
      </c>
      <c r="C84" t="s">
        <v>327</v>
      </c>
      <c r="D84" t="s">
        <v>54</v>
      </c>
      <c r="E84" s="9">
        <v>37</v>
      </c>
    </row>
    <row r="85" spans="1:5" x14ac:dyDescent="0.2">
      <c r="A85" s="3">
        <v>2021</v>
      </c>
      <c r="B85" t="str">
        <f>"044313"</f>
        <v>044313</v>
      </c>
      <c r="C85" t="s">
        <v>587</v>
      </c>
      <c r="D85" t="s">
        <v>175</v>
      </c>
      <c r="E85" s="9">
        <v>20</v>
      </c>
    </row>
    <row r="86" spans="1:5" x14ac:dyDescent="0.2">
      <c r="A86" s="3">
        <v>2021</v>
      </c>
      <c r="B86" t="str">
        <f>"044321"</f>
        <v>044321</v>
      </c>
      <c r="C86" t="s">
        <v>330</v>
      </c>
      <c r="D86" t="s">
        <v>65</v>
      </c>
      <c r="E86" s="9">
        <v>136</v>
      </c>
    </row>
    <row r="87" spans="1:5" x14ac:dyDescent="0.2">
      <c r="A87" s="3">
        <v>2021</v>
      </c>
      <c r="B87" t="str">
        <f>"044339"</f>
        <v>044339</v>
      </c>
      <c r="C87" t="s">
        <v>331</v>
      </c>
      <c r="D87" t="s">
        <v>203</v>
      </c>
      <c r="E87" s="9">
        <v>49</v>
      </c>
    </row>
    <row r="88" spans="1:5" x14ac:dyDescent="0.2">
      <c r="A88" s="3">
        <v>2021</v>
      </c>
      <c r="B88" t="str">
        <f>"044347"</f>
        <v>044347</v>
      </c>
      <c r="C88" t="s">
        <v>630</v>
      </c>
      <c r="D88" t="s">
        <v>49</v>
      </c>
      <c r="E88" s="9">
        <v>30</v>
      </c>
    </row>
    <row r="89" spans="1:5" x14ac:dyDescent="0.2">
      <c r="A89" s="3">
        <v>2021</v>
      </c>
      <c r="B89" t="str">
        <f>"044354"</f>
        <v>044354</v>
      </c>
      <c r="C89" t="s">
        <v>335</v>
      </c>
      <c r="D89" t="s">
        <v>17</v>
      </c>
      <c r="E89" s="9">
        <v>91</v>
      </c>
    </row>
    <row r="90" spans="1:5" x14ac:dyDescent="0.2">
      <c r="A90" s="3">
        <v>2021</v>
      </c>
      <c r="B90" t="str">
        <f>"044362"</f>
        <v>044362</v>
      </c>
      <c r="C90" t="s">
        <v>336</v>
      </c>
      <c r="D90" t="s">
        <v>27</v>
      </c>
      <c r="E90" s="9">
        <v>37</v>
      </c>
    </row>
    <row r="91" spans="1:5" x14ac:dyDescent="0.2">
      <c r="A91" s="3">
        <v>2021</v>
      </c>
      <c r="B91" t="str">
        <f>"044370"</f>
        <v>044370</v>
      </c>
      <c r="C91" t="s">
        <v>337</v>
      </c>
      <c r="D91" t="s">
        <v>54</v>
      </c>
      <c r="E91" s="9">
        <v>55</v>
      </c>
    </row>
    <row r="92" spans="1:5" x14ac:dyDescent="0.2">
      <c r="A92" s="3">
        <v>2021</v>
      </c>
      <c r="B92" t="str">
        <f>"044388"</f>
        <v>044388</v>
      </c>
      <c r="C92" t="s">
        <v>342</v>
      </c>
      <c r="D92" t="s">
        <v>77</v>
      </c>
      <c r="E92" s="9">
        <v>294</v>
      </c>
    </row>
    <row r="93" spans="1:5" x14ac:dyDescent="0.2">
      <c r="A93" s="3">
        <v>2021</v>
      </c>
      <c r="B93" t="str">
        <f>"044396"</f>
        <v>044396</v>
      </c>
      <c r="C93" t="s">
        <v>347</v>
      </c>
      <c r="D93" t="s">
        <v>94</v>
      </c>
      <c r="E93" s="9">
        <v>123</v>
      </c>
    </row>
    <row r="94" spans="1:5" x14ac:dyDescent="0.2">
      <c r="A94" s="3">
        <v>2021</v>
      </c>
      <c r="B94" t="str">
        <f>"044404"</f>
        <v>044404</v>
      </c>
      <c r="C94" t="s">
        <v>348</v>
      </c>
      <c r="D94" t="s">
        <v>197</v>
      </c>
      <c r="E94" s="9">
        <v>153</v>
      </c>
    </row>
    <row r="95" spans="1:5" x14ac:dyDescent="0.2">
      <c r="A95" s="3">
        <v>2021</v>
      </c>
      <c r="B95" t="str">
        <f>"044412"</f>
        <v>044412</v>
      </c>
      <c r="C95" t="s">
        <v>663</v>
      </c>
      <c r="D95" t="s">
        <v>175</v>
      </c>
      <c r="E95" s="11" t="s">
        <v>701</v>
      </c>
    </row>
    <row r="96" spans="1:5" x14ac:dyDescent="0.2">
      <c r="A96" s="3">
        <v>2021</v>
      </c>
      <c r="B96" t="str">
        <f>"044420"</f>
        <v>044420</v>
      </c>
      <c r="C96" t="s">
        <v>365</v>
      </c>
      <c r="D96" t="s">
        <v>125</v>
      </c>
      <c r="E96" s="9">
        <v>267</v>
      </c>
    </row>
    <row r="97" spans="1:5" x14ac:dyDescent="0.2">
      <c r="A97" s="3">
        <v>2021</v>
      </c>
      <c r="B97" t="str">
        <f>"044438"</f>
        <v>044438</v>
      </c>
      <c r="C97" t="s">
        <v>366</v>
      </c>
      <c r="D97" t="s">
        <v>227</v>
      </c>
      <c r="E97" s="9">
        <v>67</v>
      </c>
    </row>
    <row r="98" spans="1:5" x14ac:dyDescent="0.2">
      <c r="A98" s="3">
        <v>2021</v>
      </c>
      <c r="B98" t="str">
        <f>"044446"</f>
        <v>044446</v>
      </c>
      <c r="C98" t="s">
        <v>588</v>
      </c>
      <c r="D98" t="s">
        <v>13</v>
      </c>
      <c r="E98" s="9">
        <v>23</v>
      </c>
    </row>
    <row r="99" spans="1:5" x14ac:dyDescent="0.2">
      <c r="A99" s="3">
        <v>2021</v>
      </c>
      <c r="B99" t="str">
        <f>"044453"</f>
        <v>044453</v>
      </c>
      <c r="C99" t="s">
        <v>376</v>
      </c>
      <c r="D99" t="s">
        <v>249</v>
      </c>
      <c r="E99" s="9">
        <v>352</v>
      </c>
    </row>
    <row r="100" spans="1:5" x14ac:dyDescent="0.2">
      <c r="A100" s="3">
        <v>2021</v>
      </c>
      <c r="B100" t="str">
        <f>"044461"</f>
        <v>044461</v>
      </c>
      <c r="C100" t="s">
        <v>369</v>
      </c>
      <c r="D100" t="s">
        <v>82</v>
      </c>
      <c r="E100" s="11" t="s">
        <v>576</v>
      </c>
    </row>
    <row r="101" spans="1:5" x14ac:dyDescent="0.2">
      <c r="A101" s="3">
        <v>2021</v>
      </c>
      <c r="B101" t="str">
        <f>"044479"</f>
        <v>044479</v>
      </c>
      <c r="C101" t="s">
        <v>371</v>
      </c>
      <c r="D101" t="s">
        <v>167</v>
      </c>
      <c r="E101" s="9">
        <v>56</v>
      </c>
    </row>
    <row r="102" spans="1:5" x14ac:dyDescent="0.2">
      <c r="A102" s="3">
        <v>2021</v>
      </c>
      <c r="B102" t="str">
        <f>"044487"</f>
        <v>044487</v>
      </c>
      <c r="C102" t="s">
        <v>373</v>
      </c>
      <c r="D102" t="s">
        <v>138</v>
      </c>
      <c r="E102" s="9">
        <v>95</v>
      </c>
    </row>
    <row r="103" spans="1:5" x14ac:dyDescent="0.2">
      <c r="A103" s="3">
        <v>2021</v>
      </c>
      <c r="B103" t="str">
        <f>"044495"</f>
        <v>044495</v>
      </c>
      <c r="C103" t="s">
        <v>380</v>
      </c>
      <c r="D103" t="s">
        <v>80</v>
      </c>
      <c r="E103" s="9">
        <v>51</v>
      </c>
    </row>
    <row r="104" spans="1:5" x14ac:dyDescent="0.2">
      <c r="A104" s="3">
        <v>2021</v>
      </c>
      <c r="B104" t="str">
        <f>"044503"</f>
        <v>044503</v>
      </c>
      <c r="C104" t="s">
        <v>384</v>
      </c>
      <c r="D104" t="s">
        <v>17</v>
      </c>
      <c r="E104" s="9">
        <v>149</v>
      </c>
    </row>
    <row r="105" spans="1:5" x14ac:dyDescent="0.2">
      <c r="A105" s="3">
        <v>2021</v>
      </c>
      <c r="B105" t="str">
        <f>"044511"</f>
        <v>044511</v>
      </c>
      <c r="C105" t="s">
        <v>386</v>
      </c>
      <c r="D105" t="s">
        <v>175</v>
      </c>
      <c r="E105" s="9">
        <v>45</v>
      </c>
    </row>
    <row r="106" spans="1:5" x14ac:dyDescent="0.2">
      <c r="A106" s="3">
        <v>2021</v>
      </c>
      <c r="B106" t="str">
        <f>"044529"</f>
        <v>044529</v>
      </c>
      <c r="C106" t="s">
        <v>387</v>
      </c>
      <c r="D106" t="s">
        <v>54</v>
      </c>
      <c r="E106" s="9">
        <v>84</v>
      </c>
    </row>
    <row r="107" spans="1:5" x14ac:dyDescent="0.2">
      <c r="A107" s="3">
        <v>2021</v>
      </c>
      <c r="B107" t="str">
        <f>"044537"</f>
        <v>044537</v>
      </c>
      <c r="C107" t="s">
        <v>388</v>
      </c>
      <c r="D107" t="s">
        <v>21</v>
      </c>
      <c r="E107" s="9">
        <v>109</v>
      </c>
    </row>
    <row r="108" spans="1:5" x14ac:dyDescent="0.2">
      <c r="A108" s="3">
        <v>2021</v>
      </c>
      <c r="B108" t="str">
        <f>"044545"</f>
        <v>044545</v>
      </c>
      <c r="C108" t="s">
        <v>664</v>
      </c>
      <c r="D108" t="s">
        <v>54</v>
      </c>
      <c r="E108" s="11" t="s">
        <v>701</v>
      </c>
    </row>
    <row r="109" spans="1:5" x14ac:dyDescent="0.2">
      <c r="A109" s="3">
        <v>2021</v>
      </c>
      <c r="B109" t="str">
        <f>"044552"</f>
        <v>044552</v>
      </c>
      <c r="C109" t="s">
        <v>397</v>
      </c>
      <c r="D109" t="s">
        <v>11</v>
      </c>
      <c r="E109" s="9">
        <v>134</v>
      </c>
    </row>
    <row r="110" spans="1:5" x14ac:dyDescent="0.2">
      <c r="A110" s="3">
        <v>2021</v>
      </c>
      <c r="B110" t="str">
        <f>"044560"</f>
        <v>044560</v>
      </c>
      <c r="C110" t="s">
        <v>398</v>
      </c>
      <c r="D110" t="s">
        <v>64</v>
      </c>
      <c r="E110" s="9">
        <v>102</v>
      </c>
    </row>
    <row r="111" spans="1:5" x14ac:dyDescent="0.2">
      <c r="A111" s="3">
        <v>2021</v>
      </c>
      <c r="B111" t="str">
        <f>"044578"</f>
        <v>044578</v>
      </c>
      <c r="C111" t="s">
        <v>665</v>
      </c>
      <c r="D111" t="s">
        <v>175</v>
      </c>
      <c r="E111" s="9">
        <v>47</v>
      </c>
    </row>
    <row r="112" spans="1:5" x14ac:dyDescent="0.2">
      <c r="A112" s="3">
        <v>2021</v>
      </c>
      <c r="B112" t="str">
        <f>"044586"</f>
        <v>044586</v>
      </c>
      <c r="C112" t="s">
        <v>401</v>
      </c>
      <c r="D112" t="s">
        <v>94</v>
      </c>
      <c r="E112" s="9">
        <v>141</v>
      </c>
    </row>
    <row r="113" spans="1:5" x14ac:dyDescent="0.2">
      <c r="A113" s="3">
        <v>2021</v>
      </c>
      <c r="B113" t="str">
        <f>"044594"</f>
        <v>044594</v>
      </c>
      <c r="C113" t="s">
        <v>402</v>
      </c>
      <c r="D113" t="s">
        <v>21</v>
      </c>
      <c r="E113" s="9">
        <v>0</v>
      </c>
    </row>
    <row r="114" spans="1:5" x14ac:dyDescent="0.2">
      <c r="A114" s="3">
        <v>2021</v>
      </c>
      <c r="B114" t="str">
        <f>"044602"</f>
        <v>044602</v>
      </c>
      <c r="C114" t="s">
        <v>407</v>
      </c>
      <c r="D114" t="s">
        <v>27</v>
      </c>
      <c r="E114" s="9">
        <v>91</v>
      </c>
    </row>
    <row r="115" spans="1:5" x14ac:dyDescent="0.2">
      <c r="A115" s="3">
        <v>2021</v>
      </c>
      <c r="B115" t="str">
        <f>"044610"</f>
        <v>044610</v>
      </c>
      <c r="C115" t="s">
        <v>408</v>
      </c>
      <c r="D115" t="s">
        <v>132</v>
      </c>
      <c r="E115" s="9">
        <v>95</v>
      </c>
    </row>
    <row r="116" spans="1:5" x14ac:dyDescent="0.2">
      <c r="A116" s="3">
        <v>2021</v>
      </c>
      <c r="B116" t="str">
        <f>"044628"</f>
        <v>044628</v>
      </c>
      <c r="C116" t="s">
        <v>412</v>
      </c>
      <c r="D116" t="s">
        <v>293</v>
      </c>
      <c r="E116" s="9">
        <v>24</v>
      </c>
    </row>
    <row r="117" spans="1:5" x14ac:dyDescent="0.2">
      <c r="A117" s="3">
        <v>2021</v>
      </c>
      <c r="B117" t="str">
        <f>"044636"</f>
        <v>044636</v>
      </c>
      <c r="C117" t="s">
        <v>416</v>
      </c>
      <c r="D117" t="s">
        <v>54</v>
      </c>
      <c r="E117" s="9">
        <v>167</v>
      </c>
    </row>
    <row r="118" spans="1:5" x14ac:dyDescent="0.2">
      <c r="A118" s="3">
        <v>2021</v>
      </c>
      <c r="B118" t="str">
        <f>"044644"</f>
        <v>044644</v>
      </c>
      <c r="C118" t="s">
        <v>425</v>
      </c>
      <c r="D118" t="s">
        <v>71</v>
      </c>
      <c r="E118" s="9">
        <v>114</v>
      </c>
    </row>
    <row r="119" spans="1:5" x14ac:dyDescent="0.2">
      <c r="A119" s="3">
        <v>2021</v>
      </c>
      <c r="B119" t="str">
        <f>"044651"</f>
        <v>044651</v>
      </c>
      <c r="C119" t="s">
        <v>429</v>
      </c>
      <c r="D119" t="s">
        <v>171</v>
      </c>
      <c r="E119" s="9">
        <v>24</v>
      </c>
    </row>
    <row r="120" spans="1:5" x14ac:dyDescent="0.2">
      <c r="A120" s="3">
        <v>2021</v>
      </c>
      <c r="B120" t="str">
        <f>"044669"</f>
        <v>044669</v>
      </c>
      <c r="C120" t="s">
        <v>430</v>
      </c>
      <c r="D120" t="s">
        <v>82</v>
      </c>
      <c r="E120" s="9">
        <v>45</v>
      </c>
    </row>
    <row r="121" spans="1:5" x14ac:dyDescent="0.2">
      <c r="A121" s="3">
        <v>2021</v>
      </c>
      <c r="B121" t="str">
        <f>"044677"</f>
        <v>044677</v>
      </c>
      <c r="C121" t="s">
        <v>631</v>
      </c>
      <c r="D121" t="s">
        <v>175</v>
      </c>
      <c r="E121" s="9">
        <v>106</v>
      </c>
    </row>
    <row r="122" spans="1:5" x14ac:dyDescent="0.2">
      <c r="A122" s="3">
        <v>2021</v>
      </c>
      <c r="B122" t="str">
        <f>"044685"</f>
        <v>044685</v>
      </c>
      <c r="C122" t="s">
        <v>433</v>
      </c>
      <c r="D122" t="s">
        <v>41</v>
      </c>
      <c r="E122" s="9">
        <v>51</v>
      </c>
    </row>
    <row r="123" spans="1:5" x14ac:dyDescent="0.2">
      <c r="A123" s="3">
        <v>2021</v>
      </c>
      <c r="B123" t="str">
        <f>"044693"</f>
        <v>044693</v>
      </c>
      <c r="C123" t="s">
        <v>434</v>
      </c>
      <c r="D123" t="s">
        <v>175</v>
      </c>
      <c r="E123" s="9">
        <v>17</v>
      </c>
    </row>
    <row r="124" spans="1:5" x14ac:dyDescent="0.2">
      <c r="A124" s="3">
        <v>2021</v>
      </c>
      <c r="B124" t="str">
        <f>"044701"</f>
        <v>044701</v>
      </c>
      <c r="C124" t="s">
        <v>446</v>
      </c>
      <c r="D124" t="s">
        <v>54</v>
      </c>
      <c r="E124" s="9">
        <v>30</v>
      </c>
    </row>
    <row r="125" spans="1:5" x14ac:dyDescent="0.2">
      <c r="A125" s="3">
        <v>2021</v>
      </c>
      <c r="B125" t="str">
        <f>"044719"</f>
        <v>044719</v>
      </c>
      <c r="C125" t="s">
        <v>476</v>
      </c>
      <c r="D125" t="s">
        <v>175</v>
      </c>
      <c r="E125" s="9">
        <v>19</v>
      </c>
    </row>
    <row r="126" spans="1:5" x14ac:dyDescent="0.2">
      <c r="A126" s="3">
        <v>2021</v>
      </c>
      <c r="B126" t="str">
        <f>"044727"</f>
        <v>044727</v>
      </c>
      <c r="C126" t="s">
        <v>479</v>
      </c>
      <c r="D126" t="s">
        <v>356</v>
      </c>
      <c r="E126" s="9">
        <v>50</v>
      </c>
    </row>
    <row r="127" spans="1:5" x14ac:dyDescent="0.2">
      <c r="A127" s="3">
        <v>2021</v>
      </c>
      <c r="B127" t="str">
        <f>"044735"</f>
        <v>044735</v>
      </c>
      <c r="C127" t="s">
        <v>452</v>
      </c>
      <c r="D127" t="s">
        <v>57</v>
      </c>
      <c r="E127" s="9">
        <v>56</v>
      </c>
    </row>
    <row r="128" spans="1:5" x14ac:dyDescent="0.2">
      <c r="A128" s="3">
        <v>2021</v>
      </c>
      <c r="B128" t="str">
        <f>"044743"</f>
        <v>044743</v>
      </c>
      <c r="C128" t="s">
        <v>453</v>
      </c>
      <c r="D128" t="s">
        <v>200</v>
      </c>
      <c r="E128" s="9">
        <v>51</v>
      </c>
    </row>
    <row r="129" spans="1:5" x14ac:dyDescent="0.2">
      <c r="A129" s="3">
        <v>2021</v>
      </c>
      <c r="B129" t="str">
        <f>"044750"</f>
        <v>044750</v>
      </c>
      <c r="C129" t="s">
        <v>632</v>
      </c>
      <c r="D129" t="s">
        <v>54</v>
      </c>
      <c r="E129" s="9">
        <v>24</v>
      </c>
    </row>
    <row r="130" spans="1:5" x14ac:dyDescent="0.2">
      <c r="A130" s="3">
        <v>2021</v>
      </c>
      <c r="B130" t="str">
        <f>"044768"</f>
        <v>044768</v>
      </c>
      <c r="C130" t="s">
        <v>460</v>
      </c>
      <c r="D130" t="s">
        <v>21</v>
      </c>
      <c r="E130" s="9">
        <v>41</v>
      </c>
    </row>
    <row r="131" spans="1:5" x14ac:dyDescent="0.2">
      <c r="A131" s="3">
        <v>2021</v>
      </c>
      <c r="B131" t="str">
        <f>"044776"</f>
        <v>044776</v>
      </c>
      <c r="C131" t="s">
        <v>461</v>
      </c>
      <c r="D131" t="s">
        <v>140</v>
      </c>
      <c r="E131" s="9">
        <v>70</v>
      </c>
    </row>
    <row r="132" spans="1:5" x14ac:dyDescent="0.2">
      <c r="A132" s="3">
        <v>2021</v>
      </c>
      <c r="B132" t="str">
        <f>"044784"</f>
        <v>044784</v>
      </c>
      <c r="C132" t="s">
        <v>462</v>
      </c>
      <c r="D132" t="s">
        <v>23</v>
      </c>
      <c r="E132" s="9">
        <v>86</v>
      </c>
    </row>
    <row r="133" spans="1:5" x14ac:dyDescent="0.2">
      <c r="A133" s="3">
        <v>2021</v>
      </c>
      <c r="B133" t="str">
        <f>"044792"</f>
        <v>044792</v>
      </c>
      <c r="C133" t="s">
        <v>465</v>
      </c>
      <c r="D133" t="s">
        <v>54</v>
      </c>
      <c r="E133" s="9">
        <v>89</v>
      </c>
    </row>
    <row r="134" spans="1:5" x14ac:dyDescent="0.2">
      <c r="A134" s="3">
        <v>2021</v>
      </c>
      <c r="B134" t="str">
        <f>"044800"</f>
        <v>044800</v>
      </c>
      <c r="C134" t="s">
        <v>472</v>
      </c>
      <c r="D134" t="s">
        <v>73</v>
      </c>
      <c r="E134" s="9">
        <v>761</v>
      </c>
    </row>
    <row r="135" spans="1:5" x14ac:dyDescent="0.2">
      <c r="A135" s="3">
        <v>2021</v>
      </c>
      <c r="B135" t="str">
        <f>"044818"</f>
        <v>044818</v>
      </c>
      <c r="C135" t="s">
        <v>633</v>
      </c>
      <c r="D135" t="s">
        <v>135</v>
      </c>
      <c r="E135" s="9">
        <v>215</v>
      </c>
    </row>
    <row r="136" spans="1:5" x14ac:dyDescent="0.2">
      <c r="A136" s="3">
        <v>2021</v>
      </c>
      <c r="B136" t="str">
        <f>"044826"</f>
        <v>044826</v>
      </c>
      <c r="C136" t="s">
        <v>480</v>
      </c>
      <c r="D136" t="s">
        <v>103</v>
      </c>
      <c r="E136" s="9">
        <v>72</v>
      </c>
    </row>
    <row r="137" spans="1:5" x14ac:dyDescent="0.2">
      <c r="A137" s="3">
        <v>2021</v>
      </c>
      <c r="B137" t="str">
        <f>"044834"</f>
        <v>044834</v>
      </c>
      <c r="C137" t="s">
        <v>481</v>
      </c>
      <c r="D137" t="s">
        <v>11</v>
      </c>
      <c r="E137" s="9">
        <v>142</v>
      </c>
    </row>
    <row r="138" spans="1:5" x14ac:dyDescent="0.2">
      <c r="A138" s="3">
        <v>2021</v>
      </c>
      <c r="B138" t="str">
        <f>"044842"</f>
        <v>044842</v>
      </c>
      <c r="C138" t="s">
        <v>484</v>
      </c>
      <c r="D138" t="s">
        <v>54</v>
      </c>
      <c r="E138" s="9">
        <v>125</v>
      </c>
    </row>
    <row r="139" spans="1:5" x14ac:dyDescent="0.2">
      <c r="A139" s="3">
        <v>2021</v>
      </c>
      <c r="B139" t="str">
        <f>"044859"</f>
        <v>044859</v>
      </c>
      <c r="C139" t="s">
        <v>634</v>
      </c>
      <c r="D139" t="s">
        <v>43</v>
      </c>
      <c r="E139" s="9">
        <v>14</v>
      </c>
    </row>
    <row r="140" spans="1:5" x14ac:dyDescent="0.2">
      <c r="A140" s="3">
        <v>2021</v>
      </c>
      <c r="B140" t="str">
        <f>"044867"</f>
        <v>044867</v>
      </c>
      <c r="C140" t="s">
        <v>635</v>
      </c>
      <c r="D140" t="s">
        <v>175</v>
      </c>
      <c r="E140" s="9">
        <v>147</v>
      </c>
    </row>
    <row r="141" spans="1:5" x14ac:dyDescent="0.2">
      <c r="A141" s="3">
        <v>2021</v>
      </c>
      <c r="B141" t="str">
        <f>"044875"</f>
        <v>044875</v>
      </c>
      <c r="C141" t="s">
        <v>489</v>
      </c>
      <c r="D141" t="s">
        <v>27</v>
      </c>
      <c r="E141" s="9">
        <v>216</v>
      </c>
    </row>
    <row r="142" spans="1:5" x14ac:dyDescent="0.2">
      <c r="A142" s="3">
        <v>2021</v>
      </c>
      <c r="B142" t="str">
        <f>"044883"</f>
        <v>044883</v>
      </c>
      <c r="C142" t="s">
        <v>666</v>
      </c>
      <c r="D142" t="s">
        <v>11</v>
      </c>
      <c r="E142" s="11" t="s">
        <v>701</v>
      </c>
    </row>
    <row r="143" spans="1:5" x14ac:dyDescent="0.2">
      <c r="A143" s="3">
        <v>2021</v>
      </c>
      <c r="B143" t="str">
        <f>"044891"</f>
        <v>044891</v>
      </c>
      <c r="C143" t="s">
        <v>610</v>
      </c>
      <c r="D143" t="s">
        <v>226</v>
      </c>
      <c r="E143" s="9">
        <v>44</v>
      </c>
    </row>
    <row r="144" spans="1:5" x14ac:dyDescent="0.2">
      <c r="A144" s="3">
        <v>2021</v>
      </c>
      <c r="B144" t="str">
        <f>"044909"</f>
        <v>044909</v>
      </c>
      <c r="C144" t="s">
        <v>493</v>
      </c>
      <c r="D144" t="s">
        <v>27</v>
      </c>
      <c r="E144" s="9">
        <v>427</v>
      </c>
    </row>
    <row r="145" spans="1:5" x14ac:dyDescent="0.2">
      <c r="A145" s="3">
        <v>2021</v>
      </c>
      <c r="B145" t="str">
        <f>"044917"</f>
        <v>044917</v>
      </c>
      <c r="C145" t="s">
        <v>494</v>
      </c>
      <c r="D145" t="s">
        <v>103</v>
      </c>
      <c r="E145" s="11" t="s">
        <v>576</v>
      </c>
    </row>
    <row r="146" spans="1:5" x14ac:dyDescent="0.2">
      <c r="A146" s="3">
        <v>2021</v>
      </c>
      <c r="B146" t="str">
        <f>"044925"</f>
        <v>044925</v>
      </c>
      <c r="C146" t="s">
        <v>501</v>
      </c>
      <c r="D146" t="s">
        <v>71</v>
      </c>
      <c r="E146" s="9">
        <v>257</v>
      </c>
    </row>
    <row r="147" spans="1:5" x14ac:dyDescent="0.2">
      <c r="A147" s="3">
        <v>2021</v>
      </c>
      <c r="B147" t="str">
        <f>"044933"</f>
        <v>044933</v>
      </c>
      <c r="C147" t="s">
        <v>509</v>
      </c>
      <c r="D147" t="s">
        <v>73</v>
      </c>
      <c r="E147" s="9">
        <v>140</v>
      </c>
    </row>
    <row r="148" spans="1:5" x14ac:dyDescent="0.2">
      <c r="A148" s="3">
        <v>2021</v>
      </c>
      <c r="B148" t="str">
        <f>"044941"</f>
        <v>044941</v>
      </c>
      <c r="C148" t="s">
        <v>667</v>
      </c>
      <c r="D148" t="s">
        <v>245</v>
      </c>
      <c r="E148" s="11" t="s">
        <v>701</v>
      </c>
    </row>
    <row r="149" spans="1:5" x14ac:dyDescent="0.2">
      <c r="A149" s="3">
        <v>2021</v>
      </c>
      <c r="B149" t="str">
        <f>"044958"</f>
        <v>044958</v>
      </c>
      <c r="C149" t="s">
        <v>514</v>
      </c>
      <c r="D149" t="s">
        <v>94</v>
      </c>
      <c r="E149" s="9">
        <v>169</v>
      </c>
    </row>
    <row r="150" spans="1:5" x14ac:dyDescent="0.2">
      <c r="A150" s="3">
        <v>2021</v>
      </c>
      <c r="B150" t="str">
        <f>"044966"</f>
        <v>044966</v>
      </c>
      <c r="C150" t="s">
        <v>513</v>
      </c>
      <c r="D150" t="s">
        <v>164</v>
      </c>
      <c r="E150" s="9">
        <v>102</v>
      </c>
    </row>
    <row r="151" spans="1:5" x14ac:dyDescent="0.2">
      <c r="A151" s="3">
        <v>2021</v>
      </c>
      <c r="B151" t="str">
        <f>"044974"</f>
        <v>044974</v>
      </c>
      <c r="C151" t="s">
        <v>668</v>
      </c>
      <c r="D151" t="s">
        <v>77</v>
      </c>
      <c r="E151" s="9">
        <v>216</v>
      </c>
    </row>
    <row r="152" spans="1:5" x14ac:dyDescent="0.2">
      <c r="A152" s="3">
        <v>2021</v>
      </c>
      <c r="B152" t="str">
        <f>"044982"</f>
        <v>044982</v>
      </c>
      <c r="C152" t="s">
        <v>521</v>
      </c>
      <c r="D152" t="s">
        <v>356</v>
      </c>
      <c r="E152" s="9">
        <v>78</v>
      </c>
    </row>
    <row r="153" spans="1:5" x14ac:dyDescent="0.2">
      <c r="A153" s="3">
        <v>2021</v>
      </c>
      <c r="B153" t="str">
        <f>"044990"</f>
        <v>044990</v>
      </c>
      <c r="C153" t="s">
        <v>522</v>
      </c>
      <c r="D153" t="s">
        <v>80</v>
      </c>
      <c r="E153" s="9">
        <v>52</v>
      </c>
    </row>
    <row r="154" spans="1:5" x14ac:dyDescent="0.2">
      <c r="A154" s="3">
        <v>2021</v>
      </c>
      <c r="B154" t="str">
        <f>"045005"</f>
        <v>045005</v>
      </c>
      <c r="C154" t="s">
        <v>524</v>
      </c>
      <c r="D154" t="s">
        <v>54</v>
      </c>
      <c r="E154" s="11" t="s">
        <v>576</v>
      </c>
    </row>
    <row r="155" spans="1:5" x14ac:dyDescent="0.2">
      <c r="A155" s="3">
        <v>2021</v>
      </c>
      <c r="B155" t="str">
        <f>"045013"</f>
        <v>045013</v>
      </c>
      <c r="C155" t="s">
        <v>525</v>
      </c>
      <c r="D155" t="s">
        <v>346</v>
      </c>
      <c r="E155" s="9">
        <v>46</v>
      </c>
    </row>
    <row r="156" spans="1:5" x14ac:dyDescent="0.2">
      <c r="A156" s="3">
        <v>2021</v>
      </c>
      <c r="B156" t="str">
        <f>"045021"</f>
        <v>045021</v>
      </c>
      <c r="C156" t="s">
        <v>669</v>
      </c>
      <c r="D156" t="s">
        <v>278</v>
      </c>
      <c r="E156" s="9">
        <v>52</v>
      </c>
    </row>
    <row r="157" spans="1:5" x14ac:dyDescent="0.2">
      <c r="A157" s="3">
        <v>2021</v>
      </c>
      <c r="B157" t="str">
        <f>"045039"</f>
        <v>045039</v>
      </c>
      <c r="C157" t="s">
        <v>636</v>
      </c>
      <c r="D157" t="s">
        <v>57</v>
      </c>
      <c r="E157" s="9">
        <v>0</v>
      </c>
    </row>
    <row r="158" spans="1:5" x14ac:dyDescent="0.2">
      <c r="A158" s="3">
        <v>2021</v>
      </c>
      <c r="B158" t="str">
        <f>"045047"</f>
        <v>045047</v>
      </c>
      <c r="C158" t="s">
        <v>541</v>
      </c>
      <c r="D158" t="s">
        <v>73</v>
      </c>
      <c r="E158" s="9">
        <v>565</v>
      </c>
    </row>
    <row r="159" spans="1:5" x14ac:dyDescent="0.2">
      <c r="A159" s="3">
        <v>2021</v>
      </c>
      <c r="B159" t="str">
        <f>"045054"</f>
        <v>045054</v>
      </c>
      <c r="C159" t="s">
        <v>534</v>
      </c>
      <c r="D159" t="s">
        <v>94</v>
      </c>
      <c r="E159" s="9">
        <v>136</v>
      </c>
    </row>
    <row r="160" spans="1:5" x14ac:dyDescent="0.2">
      <c r="A160" s="3">
        <v>2021</v>
      </c>
      <c r="B160" t="str">
        <f>"045062"</f>
        <v>045062</v>
      </c>
      <c r="C160" t="s">
        <v>543</v>
      </c>
      <c r="D160" t="s">
        <v>54</v>
      </c>
      <c r="E160" s="9">
        <v>66</v>
      </c>
    </row>
    <row r="161" spans="1:5" x14ac:dyDescent="0.2">
      <c r="A161" s="3">
        <v>2021</v>
      </c>
      <c r="B161" t="str">
        <f>"045070"</f>
        <v>045070</v>
      </c>
      <c r="C161" t="s">
        <v>545</v>
      </c>
      <c r="D161" t="s">
        <v>73</v>
      </c>
      <c r="E161" s="9">
        <v>37</v>
      </c>
    </row>
    <row r="162" spans="1:5" x14ac:dyDescent="0.2">
      <c r="A162" s="3">
        <v>2021</v>
      </c>
      <c r="B162" t="str">
        <f>"045088"</f>
        <v>045088</v>
      </c>
      <c r="C162" t="s">
        <v>546</v>
      </c>
      <c r="D162" t="s">
        <v>293</v>
      </c>
      <c r="E162" s="9">
        <v>37</v>
      </c>
    </row>
    <row r="163" spans="1:5" x14ac:dyDescent="0.2">
      <c r="A163" s="3">
        <v>2021</v>
      </c>
      <c r="B163" t="str">
        <f>"045096"</f>
        <v>045096</v>
      </c>
      <c r="C163" t="s">
        <v>611</v>
      </c>
      <c r="D163" t="s">
        <v>64</v>
      </c>
      <c r="E163" s="9">
        <v>68</v>
      </c>
    </row>
    <row r="164" spans="1:5" x14ac:dyDescent="0.2">
      <c r="A164" s="3">
        <v>2021</v>
      </c>
      <c r="B164" t="str">
        <f>"045104"</f>
        <v>045104</v>
      </c>
      <c r="C164" t="s">
        <v>548</v>
      </c>
      <c r="D164" t="s">
        <v>293</v>
      </c>
      <c r="E164" s="9">
        <v>142</v>
      </c>
    </row>
    <row r="165" spans="1:5" x14ac:dyDescent="0.2">
      <c r="A165" s="3">
        <v>2021</v>
      </c>
      <c r="B165" t="str">
        <f>"045112"</f>
        <v>045112</v>
      </c>
      <c r="C165" t="s">
        <v>549</v>
      </c>
      <c r="D165" t="s">
        <v>146</v>
      </c>
      <c r="E165" s="9">
        <v>139</v>
      </c>
    </row>
    <row r="166" spans="1:5" x14ac:dyDescent="0.2">
      <c r="A166" s="3">
        <v>2021</v>
      </c>
      <c r="B166" t="str">
        <f>"045120"</f>
        <v>045120</v>
      </c>
      <c r="C166" t="s">
        <v>554</v>
      </c>
      <c r="D166" t="s">
        <v>132</v>
      </c>
      <c r="E166" s="9">
        <v>137</v>
      </c>
    </row>
    <row r="167" spans="1:5" x14ac:dyDescent="0.2">
      <c r="A167" s="3">
        <v>2021</v>
      </c>
      <c r="B167" t="str">
        <f>"045138"</f>
        <v>045138</v>
      </c>
      <c r="C167" t="s">
        <v>555</v>
      </c>
      <c r="D167" t="s">
        <v>73</v>
      </c>
      <c r="E167" s="9">
        <v>338</v>
      </c>
    </row>
    <row r="168" spans="1:5" x14ac:dyDescent="0.2">
      <c r="A168" s="3">
        <v>2021</v>
      </c>
      <c r="B168" t="str">
        <f>"045146"</f>
        <v>045146</v>
      </c>
      <c r="C168" t="s">
        <v>557</v>
      </c>
      <c r="D168" t="s">
        <v>175</v>
      </c>
      <c r="E168" s="9">
        <v>42</v>
      </c>
    </row>
    <row r="169" spans="1:5" x14ac:dyDescent="0.2">
      <c r="A169" s="3">
        <v>2021</v>
      </c>
      <c r="B169" t="str">
        <f>"045153"</f>
        <v>045153</v>
      </c>
      <c r="C169" t="s">
        <v>637</v>
      </c>
      <c r="D169" t="s">
        <v>59</v>
      </c>
      <c r="E169" s="9">
        <v>418</v>
      </c>
    </row>
    <row r="170" spans="1:5" x14ac:dyDescent="0.2">
      <c r="A170" s="3">
        <v>2021</v>
      </c>
      <c r="B170" t="str">
        <f>"045161"</f>
        <v>045161</v>
      </c>
      <c r="C170" t="s">
        <v>559</v>
      </c>
      <c r="D170" t="s">
        <v>43</v>
      </c>
      <c r="E170" s="9">
        <v>58</v>
      </c>
    </row>
    <row r="171" spans="1:5" x14ac:dyDescent="0.2">
      <c r="A171" s="3">
        <v>2021</v>
      </c>
      <c r="B171" t="str">
        <f>"045179"</f>
        <v>045179</v>
      </c>
      <c r="C171" t="s">
        <v>561</v>
      </c>
      <c r="D171" t="s">
        <v>186</v>
      </c>
      <c r="E171" s="9">
        <v>89</v>
      </c>
    </row>
    <row r="172" spans="1:5" x14ac:dyDescent="0.2">
      <c r="A172" s="3">
        <v>2021</v>
      </c>
      <c r="B172" t="str">
        <f>"045187"</f>
        <v>045187</v>
      </c>
      <c r="C172" t="s">
        <v>4</v>
      </c>
      <c r="D172" t="s">
        <v>5</v>
      </c>
      <c r="E172" s="9">
        <v>45</v>
      </c>
    </row>
    <row r="173" spans="1:5" x14ac:dyDescent="0.2">
      <c r="A173" s="3">
        <v>2021</v>
      </c>
      <c r="B173" t="str">
        <f>"045195"</f>
        <v>045195</v>
      </c>
      <c r="C173" t="s">
        <v>20</v>
      </c>
      <c r="D173" t="s">
        <v>21</v>
      </c>
      <c r="E173" s="9">
        <v>84</v>
      </c>
    </row>
    <row r="174" spans="1:5" x14ac:dyDescent="0.2">
      <c r="A174" s="3">
        <v>2021</v>
      </c>
      <c r="B174" t="str">
        <f>"045203"</f>
        <v>045203</v>
      </c>
      <c r="C174" t="s">
        <v>48</v>
      </c>
      <c r="D174" t="s">
        <v>49</v>
      </c>
      <c r="E174" s="9">
        <v>15</v>
      </c>
    </row>
    <row r="175" spans="1:5" x14ac:dyDescent="0.2">
      <c r="A175" s="3">
        <v>2021</v>
      </c>
      <c r="B175" t="str">
        <f>"045211"</f>
        <v>045211</v>
      </c>
      <c r="C175" t="s">
        <v>83</v>
      </c>
      <c r="D175" t="s">
        <v>15</v>
      </c>
      <c r="E175" s="9">
        <v>69</v>
      </c>
    </row>
    <row r="176" spans="1:5" x14ac:dyDescent="0.2">
      <c r="A176" s="3">
        <v>2021</v>
      </c>
      <c r="B176" t="str">
        <f>"045229"</f>
        <v>045229</v>
      </c>
      <c r="C176" t="s">
        <v>88</v>
      </c>
      <c r="D176" t="s">
        <v>71</v>
      </c>
      <c r="E176" s="9">
        <v>35</v>
      </c>
    </row>
    <row r="177" spans="1:5" x14ac:dyDescent="0.2">
      <c r="A177" s="3">
        <v>2021</v>
      </c>
      <c r="B177" t="str">
        <f>"045237"</f>
        <v>045237</v>
      </c>
      <c r="C177" t="s">
        <v>638</v>
      </c>
      <c r="D177" t="s">
        <v>49</v>
      </c>
      <c r="E177" s="9">
        <v>20</v>
      </c>
    </row>
    <row r="178" spans="1:5" x14ac:dyDescent="0.2">
      <c r="A178" s="3">
        <v>2021</v>
      </c>
      <c r="B178" t="str">
        <f>"045245"</f>
        <v>045245</v>
      </c>
      <c r="C178" t="s">
        <v>259</v>
      </c>
      <c r="D178" t="s">
        <v>157</v>
      </c>
      <c r="E178" s="9">
        <v>82</v>
      </c>
    </row>
    <row r="179" spans="1:5" x14ac:dyDescent="0.2">
      <c r="A179" s="3">
        <v>2021</v>
      </c>
      <c r="B179" t="str">
        <f>"045252"</f>
        <v>045252</v>
      </c>
      <c r="C179" t="s">
        <v>106</v>
      </c>
      <c r="D179" t="s">
        <v>107</v>
      </c>
      <c r="E179" s="9">
        <v>27</v>
      </c>
    </row>
    <row r="180" spans="1:5" x14ac:dyDescent="0.2">
      <c r="A180" s="3">
        <v>2021</v>
      </c>
      <c r="B180" t="str">
        <f>"045260"</f>
        <v>045260</v>
      </c>
      <c r="C180" t="s">
        <v>118</v>
      </c>
      <c r="D180" t="s">
        <v>119</v>
      </c>
      <c r="E180" s="9">
        <v>18</v>
      </c>
    </row>
    <row r="181" spans="1:5" x14ac:dyDescent="0.2">
      <c r="A181" s="3">
        <v>2021</v>
      </c>
      <c r="B181" t="str">
        <f>"045278"</f>
        <v>045278</v>
      </c>
      <c r="C181" t="s">
        <v>639</v>
      </c>
      <c r="D181" t="s">
        <v>96</v>
      </c>
      <c r="E181" s="9">
        <v>104</v>
      </c>
    </row>
    <row r="182" spans="1:5" x14ac:dyDescent="0.2">
      <c r="A182" s="3">
        <v>2021</v>
      </c>
      <c r="B182" t="str">
        <f>"045286"</f>
        <v>045286</v>
      </c>
      <c r="C182" t="s">
        <v>670</v>
      </c>
      <c r="D182" t="s">
        <v>54</v>
      </c>
      <c r="E182" s="11" t="s">
        <v>701</v>
      </c>
    </row>
    <row r="183" spans="1:5" x14ac:dyDescent="0.2">
      <c r="A183" s="3">
        <v>2021</v>
      </c>
      <c r="B183" t="str">
        <f>"045294"</f>
        <v>045294</v>
      </c>
      <c r="C183" t="s">
        <v>129</v>
      </c>
      <c r="D183" t="s">
        <v>130</v>
      </c>
      <c r="E183" s="9">
        <v>43</v>
      </c>
    </row>
    <row r="184" spans="1:5" x14ac:dyDescent="0.2">
      <c r="A184" s="3">
        <v>2021</v>
      </c>
      <c r="B184" t="str">
        <f>"045302"</f>
        <v>045302</v>
      </c>
      <c r="C184" t="s">
        <v>612</v>
      </c>
      <c r="D184" t="s">
        <v>147</v>
      </c>
      <c r="E184" s="9">
        <v>79</v>
      </c>
    </row>
    <row r="185" spans="1:5" x14ac:dyDescent="0.2">
      <c r="A185" s="3">
        <v>2021</v>
      </c>
      <c r="B185" t="str">
        <f>"045310"</f>
        <v>045310</v>
      </c>
      <c r="C185" t="s">
        <v>148</v>
      </c>
      <c r="D185" t="s">
        <v>123</v>
      </c>
      <c r="E185" s="9">
        <v>19</v>
      </c>
    </row>
    <row r="186" spans="1:5" x14ac:dyDescent="0.2">
      <c r="A186" s="3">
        <v>2021</v>
      </c>
      <c r="B186" t="str">
        <f>"045328"</f>
        <v>045328</v>
      </c>
      <c r="C186" t="s">
        <v>151</v>
      </c>
      <c r="D186" t="s">
        <v>57</v>
      </c>
      <c r="E186" s="9">
        <v>51</v>
      </c>
    </row>
    <row r="187" spans="1:5" x14ac:dyDescent="0.2">
      <c r="A187" s="3">
        <v>2021</v>
      </c>
      <c r="B187" t="str">
        <f>"045336"</f>
        <v>045336</v>
      </c>
      <c r="C187" t="s">
        <v>161</v>
      </c>
      <c r="D187" t="s">
        <v>71</v>
      </c>
      <c r="E187" s="9">
        <v>101</v>
      </c>
    </row>
    <row r="188" spans="1:5" x14ac:dyDescent="0.2">
      <c r="A188" s="3">
        <v>2021</v>
      </c>
      <c r="B188" t="str">
        <f>"045344"</f>
        <v>045344</v>
      </c>
      <c r="C188" t="s">
        <v>162</v>
      </c>
      <c r="D188" t="s">
        <v>101</v>
      </c>
      <c r="E188" s="9">
        <v>10</v>
      </c>
    </row>
    <row r="189" spans="1:5" x14ac:dyDescent="0.2">
      <c r="A189" s="3">
        <v>2021</v>
      </c>
      <c r="B189" t="str">
        <f>"045351"</f>
        <v>045351</v>
      </c>
      <c r="C189" t="s">
        <v>166</v>
      </c>
      <c r="D189" t="s">
        <v>167</v>
      </c>
      <c r="E189" s="9">
        <v>18</v>
      </c>
    </row>
    <row r="190" spans="1:5" x14ac:dyDescent="0.2">
      <c r="A190" s="3">
        <v>2021</v>
      </c>
      <c r="B190" t="str">
        <f>"045369"</f>
        <v>045369</v>
      </c>
      <c r="C190" t="s">
        <v>671</v>
      </c>
      <c r="D190" t="s">
        <v>293</v>
      </c>
      <c r="E190" s="11" t="s">
        <v>701</v>
      </c>
    </row>
    <row r="191" spans="1:5" x14ac:dyDescent="0.2">
      <c r="A191" s="3">
        <v>2021</v>
      </c>
      <c r="B191" t="str">
        <f>"045377"</f>
        <v>045377</v>
      </c>
      <c r="C191" t="s">
        <v>240</v>
      </c>
      <c r="D191" t="s">
        <v>190</v>
      </c>
      <c r="E191" s="9">
        <v>24</v>
      </c>
    </row>
    <row r="192" spans="1:5" x14ac:dyDescent="0.2">
      <c r="A192" s="3">
        <v>2021</v>
      </c>
      <c r="B192" t="str">
        <f>"045385"</f>
        <v>045385</v>
      </c>
      <c r="C192" t="s">
        <v>241</v>
      </c>
      <c r="D192" t="s">
        <v>147</v>
      </c>
      <c r="E192" s="9">
        <v>40</v>
      </c>
    </row>
    <row r="193" spans="1:5" x14ac:dyDescent="0.2">
      <c r="A193" s="3">
        <v>2021</v>
      </c>
      <c r="B193" t="str">
        <f>"045393"</f>
        <v>045393</v>
      </c>
      <c r="C193" t="s">
        <v>248</v>
      </c>
      <c r="D193" t="s">
        <v>249</v>
      </c>
      <c r="E193" s="9">
        <v>158</v>
      </c>
    </row>
    <row r="194" spans="1:5" x14ac:dyDescent="0.2">
      <c r="A194" s="3">
        <v>2021</v>
      </c>
      <c r="B194" t="str">
        <f>"045401"</f>
        <v>045401</v>
      </c>
      <c r="C194" t="s">
        <v>252</v>
      </c>
      <c r="D194" t="s">
        <v>91</v>
      </c>
      <c r="E194" s="9">
        <v>55</v>
      </c>
    </row>
    <row r="195" spans="1:5" x14ac:dyDescent="0.2">
      <c r="A195" s="3">
        <v>2021</v>
      </c>
      <c r="B195" t="str">
        <f>"045419"</f>
        <v>045419</v>
      </c>
      <c r="C195" t="s">
        <v>261</v>
      </c>
      <c r="D195" t="s">
        <v>46</v>
      </c>
      <c r="E195" s="9">
        <v>63</v>
      </c>
    </row>
    <row r="196" spans="1:5" x14ac:dyDescent="0.2">
      <c r="A196" s="3">
        <v>2021</v>
      </c>
      <c r="B196" t="str">
        <f>"045427"</f>
        <v>045427</v>
      </c>
      <c r="C196" t="s">
        <v>267</v>
      </c>
      <c r="D196" t="s">
        <v>80</v>
      </c>
      <c r="E196" s="9">
        <v>25</v>
      </c>
    </row>
    <row r="197" spans="1:5" x14ac:dyDescent="0.2">
      <c r="A197" s="3">
        <v>2021</v>
      </c>
      <c r="B197" t="str">
        <f>"045435"</f>
        <v>045435</v>
      </c>
      <c r="C197" t="s">
        <v>273</v>
      </c>
      <c r="D197" t="s">
        <v>175</v>
      </c>
      <c r="E197" s="9">
        <v>37</v>
      </c>
    </row>
    <row r="198" spans="1:5" x14ac:dyDescent="0.2">
      <c r="A198" s="3">
        <v>2021</v>
      </c>
      <c r="B198" t="str">
        <f>"045443"</f>
        <v>045443</v>
      </c>
      <c r="C198" t="s">
        <v>613</v>
      </c>
      <c r="D198" t="s">
        <v>57</v>
      </c>
      <c r="E198" s="9">
        <v>33</v>
      </c>
    </row>
    <row r="199" spans="1:5" x14ac:dyDescent="0.2">
      <c r="A199" s="3">
        <v>2021</v>
      </c>
      <c r="B199" t="str">
        <f>"045450"</f>
        <v>045450</v>
      </c>
      <c r="C199" t="s">
        <v>308</v>
      </c>
      <c r="D199" t="s">
        <v>57</v>
      </c>
      <c r="E199" s="9">
        <v>48</v>
      </c>
    </row>
    <row r="200" spans="1:5" x14ac:dyDescent="0.2">
      <c r="A200" s="3">
        <v>2021</v>
      </c>
      <c r="B200" t="str">
        <f>"045468"</f>
        <v>045468</v>
      </c>
      <c r="C200" t="s">
        <v>315</v>
      </c>
      <c r="D200" t="s">
        <v>36</v>
      </c>
      <c r="E200" s="9">
        <v>73</v>
      </c>
    </row>
    <row r="201" spans="1:5" x14ac:dyDescent="0.2">
      <c r="A201" s="3">
        <v>2021</v>
      </c>
      <c r="B201" t="str">
        <f>"045476"</f>
        <v>045476</v>
      </c>
      <c r="C201" t="s">
        <v>333</v>
      </c>
      <c r="D201" t="s">
        <v>209</v>
      </c>
      <c r="E201" s="9">
        <v>275</v>
      </c>
    </row>
    <row r="202" spans="1:5" x14ac:dyDescent="0.2">
      <c r="A202" s="3">
        <v>2021</v>
      </c>
      <c r="B202" t="str">
        <f>"045484"</f>
        <v>045484</v>
      </c>
      <c r="C202" t="s">
        <v>341</v>
      </c>
      <c r="D202" t="s">
        <v>245</v>
      </c>
      <c r="E202" s="9">
        <v>64</v>
      </c>
    </row>
    <row r="203" spans="1:5" x14ac:dyDescent="0.2">
      <c r="A203" s="3">
        <v>2021</v>
      </c>
      <c r="B203" t="str">
        <f>"045492"</f>
        <v>045492</v>
      </c>
      <c r="C203" t="s">
        <v>344</v>
      </c>
      <c r="D203" t="s">
        <v>293</v>
      </c>
      <c r="E203" s="9">
        <v>185</v>
      </c>
    </row>
    <row r="204" spans="1:5" x14ac:dyDescent="0.2">
      <c r="A204" s="3">
        <v>2021</v>
      </c>
      <c r="B204" t="str">
        <f>"045500"</f>
        <v>045500</v>
      </c>
      <c r="C204" t="s">
        <v>350</v>
      </c>
      <c r="D204" t="s">
        <v>51</v>
      </c>
      <c r="E204" s="9">
        <v>353</v>
      </c>
    </row>
    <row r="205" spans="1:5" x14ac:dyDescent="0.2">
      <c r="A205" s="3">
        <v>2021</v>
      </c>
      <c r="B205" t="str">
        <f>"045518"</f>
        <v>045518</v>
      </c>
      <c r="C205" t="s">
        <v>353</v>
      </c>
      <c r="D205" t="s">
        <v>71</v>
      </c>
      <c r="E205" s="9">
        <v>112</v>
      </c>
    </row>
    <row r="206" spans="1:5" x14ac:dyDescent="0.2">
      <c r="A206" s="3">
        <v>2021</v>
      </c>
      <c r="B206" t="str">
        <f>"045526"</f>
        <v>045526</v>
      </c>
      <c r="C206" t="s">
        <v>361</v>
      </c>
      <c r="D206" t="s">
        <v>99</v>
      </c>
      <c r="E206" s="9">
        <v>45</v>
      </c>
    </row>
    <row r="207" spans="1:5" x14ac:dyDescent="0.2">
      <c r="A207" s="3">
        <v>2021</v>
      </c>
      <c r="B207" t="str">
        <f>"045534"</f>
        <v>045534</v>
      </c>
      <c r="C207" t="s">
        <v>364</v>
      </c>
      <c r="D207" t="s">
        <v>117</v>
      </c>
      <c r="E207" s="9">
        <v>0</v>
      </c>
    </row>
    <row r="208" spans="1:5" x14ac:dyDescent="0.2">
      <c r="A208" s="3">
        <v>2021</v>
      </c>
      <c r="B208" t="str">
        <f>"045542"</f>
        <v>045542</v>
      </c>
      <c r="C208" t="s">
        <v>377</v>
      </c>
      <c r="D208" t="s">
        <v>138</v>
      </c>
      <c r="E208" s="9">
        <v>27</v>
      </c>
    </row>
    <row r="209" spans="1:5" x14ac:dyDescent="0.2">
      <c r="A209" s="3">
        <v>2021</v>
      </c>
      <c r="B209" t="str">
        <f>"045559"</f>
        <v>045559</v>
      </c>
      <c r="C209" t="s">
        <v>374</v>
      </c>
      <c r="D209" t="s">
        <v>51</v>
      </c>
      <c r="E209" s="9">
        <v>102</v>
      </c>
    </row>
    <row r="210" spans="1:5" x14ac:dyDescent="0.2">
      <c r="A210" s="3">
        <v>2021</v>
      </c>
      <c r="B210" t="str">
        <f>"045567"</f>
        <v>045567</v>
      </c>
      <c r="C210" t="s">
        <v>378</v>
      </c>
      <c r="D210" t="s">
        <v>80</v>
      </c>
      <c r="E210" s="9">
        <v>17</v>
      </c>
    </row>
    <row r="211" spans="1:5" x14ac:dyDescent="0.2">
      <c r="A211" s="3">
        <v>2021</v>
      </c>
      <c r="B211" t="str">
        <f>"045575"</f>
        <v>045575</v>
      </c>
      <c r="C211" t="s">
        <v>418</v>
      </c>
      <c r="D211" t="s">
        <v>29</v>
      </c>
      <c r="E211" s="9">
        <v>87</v>
      </c>
    </row>
    <row r="212" spans="1:5" x14ac:dyDescent="0.2">
      <c r="A212" s="3">
        <v>2021</v>
      </c>
      <c r="B212" t="str">
        <f>"045583"</f>
        <v>045583</v>
      </c>
      <c r="C212" t="s">
        <v>421</v>
      </c>
      <c r="D212" t="s">
        <v>87</v>
      </c>
      <c r="E212" s="9">
        <v>134</v>
      </c>
    </row>
    <row r="213" spans="1:5" x14ac:dyDescent="0.2">
      <c r="A213" s="3">
        <v>2021</v>
      </c>
      <c r="B213" t="str">
        <f>"045591"</f>
        <v>045591</v>
      </c>
      <c r="C213" t="s">
        <v>440</v>
      </c>
      <c r="D213" t="s">
        <v>132</v>
      </c>
      <c r="E213" s="9">
        <v>30</v>
      </c>
    </row>
    <row r="214" spans="1:5" x14ac:dyDescent="0.2">
      <c r="A214" s="3">
        <v>2021</v>
      </c>
      <c r="B214" t="str">
        <f>"045609"</f>
        <v>045609</v>
      </c>
      <c r="C214" t="s">
        <v>450</v>
      </c>
      <c r="D214" t="s">
        <v>87</v>
      </c>
      <c r="E214" s="9">
        <v>49</v>
      </c>
    </row>
    <row r="215" spans="1:5" x14ac:dyDescent="0.2">
      <c r="A215" s="3">
        <v>2021</v>
      </c>
      <c r="B215" t="str">
        <f>"045617"</f>
        <v>045617</v>
      </c>
      <c r="C215" t="s">
        <v>492</v>
      </c>
      <c r="D215" t="s">
        <v>71</v>
      </c>
      <c r="E215" s="9">
        <v>0</v>
      </c>
    </row>
    <row r="216" spans="1:5" x14ac:dyDescent="0.2">
      <c r="A216" s="3">
        <v>2021</v>
      </c>
      <c r="B216" t="str">
        <f>"045625"</f>
        <v>045625</v>
      </c>
      <c r="C216" t="s">
        <v>510</v>
      </c>
      <c r="D216" t="s">
        <v>119</v>
      </c>
      <c r="E216" s="9">
        <v>60</v>
      </c>
    </row>
    <row r="217" spans="1:5" x14ac:dyDescent="0.2">
      <c r="A217" s="3">
        <v>2021</v>
      </c>
      <c r="B217" t="str">
        <f>"045633"</f>
        <v>045633</v>
      </c>
      <c r="C217" t="s">
        <v>517</v>
      </c>
      <c r="D217" t="s">
        <v>25</v>
      </c>
      <c r="E217" s="9">
        <v>43</v>
      </c>
    </row>
    <row r="218" spans="1:5" x14ac:dyDescent="0.2">
      <c r="A218" s="3">
        <v>2021</v>
      </c>
      <c r="B218" t="str">
        <f>"045641"</f>
        <v>045641</v>
      </c>
      <c r="C218" t="s">
        <v>527</v>
      </c>
      <c r="D218" t="s">
        <v>33</v>
      </c>
      <c r="E218" s="9">
        <v>80</v>
      </c>
    </row>
    <row r="219" spans="1:5" x14ac:dyDescent="0.2">
      <c r="A219" s="3">
        <v>2021</v>
      </c>
      <c r="B219" t="str">
        <f>"045658"</f>
        <v>045658</v>
      </c>
      <c r="C219" t="s">
        <v>532</v>
      </c>
      <c r="D219" t="s">
        <v>21</v>
      </c>
      <c r="E219" s="9">
        <v>59</v>
      </c>
    </row>
    <row r="220" spans="1:5" x14ac:dyDescent="0.2">
      <c r="A220" s="3">
        <v>2021</v>
      </c>
      <c r="B220" t="str">
        <f>"045666"</f>
        <v>045666</v>
      </c>
      <c r="C220" t="s">
        <v>550</v>
      </c>
      <c r="D220" t="s">
        <v>41</v>
      </c>
      <c r="E220" s="11" t="s">
        <v>576</v>
      </c>
    </row>
    <row r="221" spans="1:5" x14ac:dyDescent="0.2">
      <c r="A221" s="3">
        <v>2021</v>
      </c>
      <c r="B221" t="str">
        <f>"045674"</f>
        <v>045674</v>
      </c>
      <c r="C221" t="s">
        <v>558</v>
      </c>
      <c r="D221" t="s">
        <v>59</v>
      </c>
      <c r="E221" s="9">
        <v>42</v>
      </c>
    </row>
    <row r="222" spans="1:5" x14ac:dyDescent="0.2">
      <c r="A222" s="3">
        <v>2021</v>
      </c>
      <c r="B222" t="str">
        <f>"045757"</f>
        <v>045757</v>
      </c>
      <c r="C222" t="s">
        <v>14</v>
      </c>
      <c r="D222" t="s">
        <v>15</v>
      </c>
      <c r="E222" s="9">
        <v>44</v>
      </c>
    </row>
    <row r="223" spans="1:5" x14ac:dyDescent="0.2">
      <c r="A223" s="3">
        <v>2021</v>
      </c>
      <c r="B223" t="str">
        <f>"045765"</f>
        <v>045765</v>
      </c>
      <c r="C223" t="s">
        <v>52</v>
      </c>
      <c r="D223" t="s">
        <v>15</v>
      </c>
      <c r="E223" s="9">
        <v>41</v>
      </c>
    </row>
    <row r="224" spans="1:5" x14ac:dyDescent="0.2">
      <c r="A224" s="3">
        <v>2021</v>
      </c>
      <c r="B224" t="str">
        <f>"045773"</f>
        <v>045773</v>
      </c>
      <c r="C224" t="s">
        <v>204</v>
      </c>
      <c r="D224" t="s">
        <v>15</v>
      </c>
      <c r="E224" s="9">
        <v>157</v>
      </c>
    </row>
    <row r="225" spans="1:5" x14ac:dyDescent="0.2">
      <c r="A225" s="3">
        <v>2021</v>
      </c>
      <c r="B225" t="str">
        <f>"045781"</f>
        <v>045781</v>
      </c>
      <c r="C225" t="s">
        <v>420</v>
      </c>
      <c r="D225" t="s">
        <v>15</v>
      </c>
      <c r="E225" s="9">
        <v>15</v>
      </c>
    </row>
    <row r="226" spans="1:5" x14ac:dyDescent="0.2">
      <c r="A226" s="3">
        <v>2021</v>
      </c>
      <c r="B226" t="str">
        <f>"045799"</f>
        <v>045799</v>
      </c>
      <c r="C226" t="s">
        <v>459</v>
      </c>
      <c r="D226" t="s">
        <v>15</v>
      </c>
      <c r="E226" s="9">
        <v>101</v>
      </c>
    </row>
    <row r="227" spans="1:5" x14ac:dyDescent="0.2">
      <c r="A227" s="3">
        <v>2021</v>
      </c>
      <c r="B227" t="str">
        <f>"045807"</f>
        <v>045807</v>
      </c>
      <c r="C227" t="s">
        <v>473</v>
      </c>
      <c r="D227" t="s">
        <v>15</v>
      </c>
      <c r="E227" s="9">
        <v>54</v>
      </c>
    </row>
    <row r="228" spans="1:5" x14ac:dyDescent="0.2">
      <c r="A228" s="3">
        <v>2021</v>
      </c>
      <c r="B228" t="str">
        <f>"045823"</f>
        <v>045823</v>
      </c>
      <c r="C228" t="s">
        <v>640</v>
      </c>
      <c r="D228" t="s">
        <v>36</v>
      </c>
      <c r="E228" s="9">
        <v>82</v>
      </c>
    </row>
    <row r="229" spans="1:5" x14ac:dyDescent="0.2">
      <c r="A229" s="3">
        <v>2021</v>
      </c>
      <c r="B229" t="str">
        <f>"045831"</f>
        <v>045831</v>
      </c>
      <c r="C229" t="s">
        <v>328</v>
      </c>
      <c r="D229" t="s">
        <v>36</v>
      </c>
      <c r="E229" s="9">
        <v>80</v>
      </c>
    </row>
    <row r="230" spans="1:5" x14ac:dyDescent="0.2">
      <c r="A230" s="3">
        <v>2021</v>
      </c>
      <c r="B230" t="str">
        <f>"045856"</f>
        <v>045856</v>
      </c>
      <c r="C230" t="s">
        <v>102</v>
      </c>
      <c r="D230" t="s">
        <v>38</v>
      </c>
      <c r="E230" s="9">
        <v>44</v>
      </c>
    </row>
    <row r="231" spans="1:5" x14ac:dyDescent="0.2">
      <c r="A231" s="3">
        <v>2021</v>
      </c>
      <c r="B231" t="str">
        <f>"045864"</f>
        <v>045864</v>
      </c>
      <c r="C231" t="s">
        <v>246</v>
      </c>
      <c r="D231" t="s">
        <v>38</v>
      </c>
      <c r="E231" s="9">
        <v>90</v>
      </c>
    </row>
    <row r="232" spans="1:5" x14ac:dyDescent="0.2">
      <c r="A232" s="3">
        <v>2021</v>
      </c>
      <c r="B232" t="str">
        <f>"045872"</f>
        <v>045872</v>
      </c>
      <c r="C232" t="s">
        <v>282</v>
      </c>
      <c r="D232" t="s">
        <v>38</v>
      </c>
      <c r="E232" s="9">
        <v>100</v>
      </c>
    </row>
    <row r="233" spans="1:5" x14ac:dyDescent="0.2">
      <c r="A233" s="3">
        <v>2021</v>
      </c>
      <c r="B233" t="str">
        <f>"045880"</f>
        <v>045880</v>
      </c>
      <c r="C233" t="s">
        <v>641</v>
      </c>
      <c r="D233" t="s">
        <v>38</v>
      </c>
      <c r="E233" s="9">
        <v>25</v>
      </c>
    </row>
    <row r="234" spans="1:5" x14ac:dyDescent="0.2">
      <c r="A234" s="3">
        <v>2021</v>
      </c>
      <c r="B234" t="str">
        <f>"045906"</f>
        <v>045906</v>
      </c>
      <c r="C234" t="s">
        <v>12</v>
      </c>
      <c r="D234" t="s">
        <v>13</v>
      </c>
      <c r="E234" s="9">
        <v>97</v>
      </c>
    </row>
    <row r="235" spans="1:5" x14ac:dyDescent="0.2">
      <c r="A235" s="3">
        <v>2021</v>
      </c>
      <c r="B235" t="str">
        <f>"045914"</f>
        <v>045914</v>
      </c>
      <c r="C235" t="s">
        <v>642</v>
      </c>
      <c r="D235" t="s">
        <v>13</v>
      </c>
      <c r="E235" s="9">
        <v>38</v>
      </c>
    </row>
    <row r="236" spans="1:5" x14ac:dyDescent="0.2">
      <c r="A236" s="3">
        <v>2021</v>
      </c>
      <c r="B236" t="str">
        <f>"045922"</f>
        <v>045922</v>
      </c>
      <c r="C236" t="s">
        <v>497</v>
      </c>
      <c r="D236" t="s">
        <v>13</v>
      </c>
      <c r="E236" s="9">
        <v>11</v>
      </c>
    </row>
    <row r="237" spans="1:5" x14ac:dyDescent="0.2">
      <c r="A237" s="3">
        <v>2021</v>
      </c>
      <c r="B237" t="str">
        <f>"045948"</f>
        <v>045948</v>
      </c>
      <c r="C237" t="s">
        <v>355</v>
      </c>
      <c r="D237" t="s">
        <v>356</v>
      </c>
      <c r="E237" s="9">
        <v>21</v>
      </c>
    </row>
    <row r="238" spans="1:5" x14ac:dyDescent="0.2">
      <c r="A238" s="3">
        <v>2021</v>
      </c>
      <c r="B238" t="str">
        <f>"045955"</f>
        <v>045955</v>
      </c>
      <c r="C238" t="s">
        <v>614</v>
      </c>
      <c r="D238" t="s">
        <v>356</v>
      </c>
      <c r="E238" s="9">
        <v>19</v>
      </c>
    </row>
    <row r="239" spans="1:5" x14ac:dyDescent="0.2">
      <c r="A239" s="3">
        <v>2021</v>
      </c>
      <c r="B239" t="str">
        <f>"045963"</f>
        <v>045963</v>
      </c>
      <c r="C239" t="s">
        <v>370</v>
      </c>
      <c r="D239" t="s">
        <v>356</v>
      </c>
      <c r="E239" s="9">
        <v>12</v>
      </c>
    </row>
    <row r="240" spans="1:5" x14ac:dyDescent="0.2">
      <c r="A240" s="3">
        <v>2021</v>
      </c>
      <c r="B240" t="str">
        <f>"045971"</f>
        <v>045971</v>
      </c>
      <c r="C240" t="s">
        <v>530</v>
      </c>
      <c r="D240" t="s">
        <v>356</v>
      </c>
      <c r="E240" s="9">
        <v>28</v>
      </c>
    </row>
    <row r="241" spans="1:5" x14ac:dyDescent="0.2">
      <c r="A241" s="3">
        <v>2021</v>
      </c>
      <c r="B241" t="str">
        <f>"045997"</f>
        <v>045997</v>
      </c>
      <c r="C241" t="s">
        <v>477</v>
      </c>
      <c r="D241" t="s">
        <v>49</v>
      </c>
      <c r="E241" s="9">
        <v>63</v>
      </c>
    </row>
    <row r="242" spans="1:5" x14ac:dyDescent="0.2">
      <c r="A242" s="3">
        <v>2021</v>
      </c>
      <c r="B242" t="str">
        <f>"046003"</f>
        <v>046003</v>
      </c>
      <c r="C242" t="s">
        <v>458</v>
      </c>
      <c r="D242" t="s">
        <v>49</v>
      </c>
      <c r="E242" s="11" t="s">
        <v>576</v>
      </c>
    </row>
    <row r="243" spans="1:5" x14ac:dyDescent="0.2">
      <c r="A243" s="3">
        <v>2021</v>
      </c>
      <c r="B243" t="str">
        <f>"046011"</f>
        <v>046011</v>
      </c>
      <c r="C243" t="s">
        <v>506</v>
      </c>
      <c r="D243" t="s">
        <v>49</v>
      </c>
      <c r="E243" s="9">
        <v>64</v>
      </c>
    </row>
    <row r="244" spans="1:5" x14ac:dyDescent="0.2">
      <c r="A244" s="3">
        <v>2021</v>
      </c>
      <c r="B244" t="str">
        <f>"046037"</f>
        <v>046037</v>
      </c>
      <c r="C244" t="s">
        <v>589</v>
      </c>
      <c r="D244" t="s">
        <v>190</v>
      </c>
      <c r="E244" s="9">
        <v>55</v>
      </c>
    </row>
    <row r="245" spans="1:5" x14ac:dyDescent="0.2">
      <c r="A245" s="3">
        <v>2021</v>
      </c>
      <c r="B245" t="str">
        <f>"046045"</f>
        <v>046045</v>
      </c>
      <c r="C245" t="s">
        <v>216</v>
      </c>
      <c r="D245" t="s">
        <v>190</v>
      </c>
      <c r="E245" s="9">
        <v>56</v>
      </c>
    </row>
    <row r="246" spans="1:5" x14ac:dyDescent="0.2">
      <c r="A246" s="3">
        <v>2021</v>
      </c>
      <c r="B246" t="str">
        <f>"046060"</f>
        <v>046060</v>
      </c>
      <c r="C246" t="s">
        <v>539</v>
      </c>
      <c r="D246" t="s">
        <v>190</v>
      </c>
      <c r="E246" s="9">
        <v>57</v>
      </c>
    </row>
    <row r="247" spans="1:5" x14ac:dyDescent="0.2">
      <c r="A247" s="3">
        <v>2021</v>
      </c>
      <c r="B247" t="str">
        <f>"046078"</f>
        <v>046078</v>
      </c>
      <c r="C247" t="s">
        <v>439</v>
      </c>
      <c r="D247" t="s">
        <v>190</v>
      </c>
      <c r="E247" s="11" t="s">
        <v>576</v>
      </c>
    </row>
    <row r="248" spans="1:5" x14ac:dyDescent="0.2">
      <c r="A248" s="3">
        <v>2021</v>
      </c>
      <c r="B248" t="str">
        <f>"046094"</f>
        <v>046094</v>
      </c>
      <c r="C248" t="s">
        <v>196</v>
      </c>
      <c r="D248" t="s">
        <v>197</v>
      </c>
      <c r="E248" s="9">
        <v>90</v>
      </c>
    </row>
    <row r="249" spans="1:5" x14ac:dyDescent="0.2">
      <c r="A249" s="3">
        <v>2021</v>
      </c>
      <c r="B249" t="str">
        <f>"046102"</f>
        <v>046102</v>
      </c>
      <c r="C249" t="s">
        <v>210</v>
      </c>
      <c r="D249" t="s">
        <v>197</v>
      </c>
      <c r="E249" s="9">
        <v>309</v>
      </c>
    </row>
    <row r="250" spans="1:5" x14ac:dyDescent="0.2">
      <c r="A250" s="3">
        <v>2021</v>
      </c>
      <c r="B250" t="str">
        <f>"046110"</f>
        <v>046110</v>
      </c>
      <c r="C250" t="s">
        <v>298</v>
      </c>
      <c r="D250" t="s">
        <v>197</v>
      </c>
      <c r="E250" s="9">
        <v>679</v>
      </c>
    </row>
    <row r="251" spans="1:5" x14ac:dyDescent="0.2">
      <c r="A251" s="3">
        <v>2021</v>
      </c>
      <c r="B251" t="str">
        <f>"046128"</f>
        <v>046128</v>
      </c>
      <c r="C251" t="s">
        <v>323</v>
      </c>
      <c r="D251" t="s">
        <v>197</v>
      </c>
      <c r="E251" s="9">
        <v>52</v>
      </c>
    </row>
    <row r="252" spans="1:5" x14ac:dyDescent="0.2">
      <c r="A252" s="3">
        <v>2021</v>
      </c>
      <c r="B252" t="str">
        <f>"046136"</f>
        <v>046136</v>
      </c>
      <c r="C252" t="s">
        <v>372</v>
      </c>
      <c r="D252" t="s">
        <v>197</v>
      </c>
      <c r="E252" s="9">
        <v>18</v>
      </c>
    </row>
    <row r="253" spans="1:5" x14ac:dyDescent="0.2">
      <c r="A253" s="3">
        <v>2021</v>
      </c>
      <c r="B253" t="str">
        <f>"046144"</f>
        <v>046144</v>
      </c>
      <c r="C253" t="s">
        <v>449</v>
      </c>
      <c r="D253" t="s">
        <v>197</v>
      </c>
      <c r="E253" s="9">
        <v>79</v>
      </c>
    </row>
    <row r="254" spans="1:5" x14ac:dyDescent="0.2">
      <c r="A254" s="3">
        <v>2021</v>
      </c>
      <c r="B254" t="str">
        <f>"046151"</f>
        <v>046151</v>
      </c>
      <c r="C254" t="s">
        <v>490</v>
      </c>
      <c r="D254" t="s">
        <v>197</v>
      </c>
      <c r="E254" s="9">
        <v>209</v>
      </c>
    </row>
    <row r="255" spans="1:5" x14ac:dyDescent="0.2">
      <c r="A255" s="3">
        <v>2021</v>
      </c>
      <c r="B255" t="str">
        <f>"046177"</f>
        <v>046177</v>
      </c>
      <c r="C255" t="s">
        <v>95</v>
      </c>
      <c r="D255" t="s">
        <v>96</v>
      </c>
      <c r="E255" s="9">
        <v>13</v>
      </c>
    </row>
    <row r="256" spans="1:5" x14ac:dyDescent="0.2">
      <c r="A256" s="3">
        <v>2021</v>
      </c>
      <c r="B256" t="str">
        <f>"046193"</f>
        <v>046193</v>
      </c>
      <c r="C256" t="s">
        <v>244</v>
      </c>
      <c r="D256" t="s">
        <v>245</v>
      </c>
      <c r="E256" s="9">
        <v>141</v>
      </c>
    </row>
    <row r="257" spans="1:5" x14ac:dyDescent="0.2">
      <c r="A257" s="3">
        <v>2021</v>
      </c>
      <c r="B257" t="str">
        <f>"046201"</f>
        <v>046201</v>
      </c>
      <c r="C257" t="s">
        <v>495</v>
      </c>
      <c r="D257" t="s">
        <v>245</v>
      </c>
      <c r="E257" s="9">
        <v>53</v>
      </c>
    </row>
    <row r="258" spans="1:5" x14ac:dyDescent="0.2">
      <c r="A258" s="3">
        <v>2021</v>
      </c>
      <c r="B258" t="str">
        <f>"046219"</f>
        <v>046219</v>
      </c>
      <c r="C258" t="s">
        <v>538</v>
      </c>
      <c r="D258" t="s">
        <v>245</v>
      </c>
      <c r="E258" s="9">
        <v>65</v>
      </c>
    </row>
    <row r="259" spans="1:5" x14ac:dyDescent="0.2">
      <c r="A259" s="3">
        <v>2021</v>
      </c>
      <c r="B259" t="str">
        <f>"046235"</f>
        <v>046235</v>
      </c>
      <c r="C259" t="s">
        <v>253</v>
      </c>
      <c r="D259" t="s">
        <v>135</v>
      </c>
      <c r="E259" s="9">
        <v>84</v>
      </c>
    </row>
    <row r="260" spans="1:5" x14ac:dyDescent="0.2">
      <c r="A260" s="3">
        <v>2021</v>
      </c>
      <c r="B260" t="str">
        <f>"046243"</f>
        <v>046243</v>
      </c>
      <c r="C260" t="s">
        <v>590</v>
      </c>
      <c r="D260" t="s">
        <v>135</v>
      </c>
      <c r="E260" s="9">
        <v>178</v>
      </c>
    </row>
    <row r="261" spans="1:5" x14ac:dyDescent="0.2">
      <c r="A261" s="3">
        <v>2021</v>
      </c>
      <c r="B261" t="str">
        <f>"046250"</f>
        <v>046250</v>
      </c>
      <c r="C261" t="s">
        <v>390</v>
      </c>
      <c r="D261" t="s">
        <v>135</v>
      </c>
      <c r="E261" s="9">
        <v>125</v>
      </c>
    </row>
    <row r="262" spans="1:5" x14ac:dyDescent="0.2">
      <c r="A262" s="3">
        <v>2021</v>
      </c>
      <c r="B262" t="str">
        <f>"046268"</f>
        <v>046268</v>
      </c>
      <c r="C262" t="s">
        <v>396</v>
      </c>
      <c r="D262" t="s">
        <v>135</v>
      </c>
      <c r="E262" s="9">
        <v>122</v>
      </c>
    </row>
    <row r="263" spans="1:5" x14ac:dyDescent="0.2">
      <c r="A263" s="3">
        <v>2021</v>
      </c>
      <c r="B263" t="str">
        <f>"046276"</f>
        <v>046276</v>
      </c>
      <c r="C263" t="s">
        <v>468</v>
      </c>
      <c r="D263" t="s">
        <v>135</v>
      </c>
      <c r="E263" s="9">
        <v>29</v>
      </c>
    </row>
    <row r="264" spans="1:5" x14ac:dyDescent="0.2">
      <c r="A264" s="3">
        <v>2021</v>
      </c>
      <c r="B264" t="str">
        <f>"046284"</f>
        <v>046284</v>
      </c>
      <c r="C264" t="s">
        <v>615</v>
      </c>
      <c r="D264" t="s">
        <v>135</v>
      </c>
      <c r="E264" s="11" t="s">
        <v>576</v>
      </c>
    </row>
    <row r="265" spans="1:5" x14ac:dyDescent="0.2">
      <c r="A265" s="3">
        <v>2021</v>
      </c>
      <c r="B265" t="str">
        <f>"046300"</f>
        <v>046300</v>
      </c>
      <c r="C265" t="s">
        <v>50</v>
      </c>
      <c r="D265" t="s">
        <v>51</v>
      </c>
      <c r="E265" s="9">
        <v>88</v>
      </c>
    </row>
    <row r="266" spans="1:5" x14ac:dyDescent="0.2">
      <c r="A266" s="3">
        <v>2021</v>
      </c>
      <c r="B266" t="str">
        <f>"046318"</f>
        <v>046318</v>
      </c>
      <c r="C266" t="s">
        <v>643</v>
      </c>
      <c r="D266" t="s">
        <v>51</v>
      </c>
      <c r="E266" s="9">
        <v>65</v>
      </c>
    </row>
    <row r="267" spans="1:5" x14ac:dyDescent="0.2">
      <c r="A267" s="3">
        <v>2021</v>
      </c>
      <c r="B267" t="str">
        <f>"046326"</f>
        <v>046326</v>
      </c>
      <c r="C267" t="s">
        <v>142</v>
      </c>
      <c r="D267" t="s">
        <v>51</v>
      </c>
      <c r="E267" s="9">
        <v>139</v>
      </c>
    </row>
    <row r="268" spans="1:5" x14ac:dyDescent="0.2">
      <c r="A268" s="3">
        <v>2021</v>
      </c>
      <c r="B268" t="str">
        <f>"046334"</f>
        <v>046334</v>
      </c>
      <c r="C268" t="s">
        <v>644</v>
      </c>
      <c r="D268" t="s">
        <v>51</v>
      </c>
      <c r="E268" s="9">
        <v>51</v>
      </c>
    </row>
    <row r="269" spans="1:5" x14ac:dyDescent="0.2">
      <c r="A269" s="3">
        <v>2021</v>
      </c>
      <c r="B269" t="str">
        <f>"046342"</f>
        <v>046342</v>
      </c>
      <c r="C269" t="s">
        <v>243</v>
      </c>
      <c r="D269" t="s">
        <v>51</v>
      </c>
      <c r="E269" s="9">
        <v>154</v>
      </c>
    </row>
    <row r="270" spans="1:5" x14ac:dyDescent="0.2">
      <c r="A270" s="3">
        <v>2021</v>
      </c>
      <c r="B270" t="str">
        <f>"046359"</f>
        <v>046359</v>
      </c>
      <c r="C270" t="s">
        <v>535</v>
      </c>
      <c r="D270" t="s">
        <v>51</v>
      </c>
      <c r="E270" s="9">
        <v>449</v>
      </c>
    </row>
    <row r="271" spans="1:5" x14ac:dyDescent="0.2">
      <c r="A271" s="3">
        <v>2021</v>
      </c>
      <c r="B271" t="str">
        <f>"046367"</f>
        <v>046367</v>
      </c>
      <c r="C271" t="s">
        <v>547</v>
      </c>
      <c r="D271" t="s">
        <v>51</v>
      </c>
      <c r="E271" s="9">
        <v>39</v>
      </c>
    </row>
    <row r="272" spans="1:5" x14ac:dyDescent="0.2">
      <c r="A272" s="3">
        <v>2021</v>
      </c>
      <c r="B272" t="str">
        <f>"046383"</f>
        <v>046383</v>
      </c>
      <c r="C272" t="s">
        <v>591</v>
      </c>
      <c r="D272" t="s">
        <v>146</v>
      </c>
      <c r="E272" s="9">
        <v>50</v>
      </c>
    </row>
    <row r="273" spans="1:5" x14ac:dyDescent="0.2">
      <c r="A273" s="3">
        <v>2021</v>
      </c>
      <c r="B273" t="str">
        <f>"046391"</f>
        <v>046391</v>
      </c>
      <c r="C273" t="s">
        <v>145</v>
      </c>
      <c r="D273" t="s">
        <v>146</v>
      </c>
      <c r="E273" s="9">
        <v>110</v>
      </c>
    </row>
    <row r="274" spans="1:5" x14ac:dyDescent="0.2">
      <c r="A274" s="3">
        <v>2021</v>
      </c>
      <c r="B274" t="str">
        <f>"046409"</f>
        <v>046409</v>
      </c>
      <c r="C274" t="s">
        <v>182</v>
      </c>
      <c r="D274" t="s">
        <v>146</v>
      </c>
      <c r="E274" s="9">
        <v>50</v>
      </c>
    </row>
    <row r="275" spans="1:5" x14ac:dyDescent="0.2">
      <c r="A275" s="3">
        <v>2021</v>
      </c>
      <c r="B275" t="str">
        <f>"046425"</f>
        <v>046425</v>
      </c>
      <c r="C275" t="s">
        <v>56</v>
      </c>
      <c r="D275" t="s">
        <v>57</v>
      </c>
      <c r="E275" s="9">
        <v>59</v>
      </c>
    </row>
    <row r="276" spans="1:5" x14ac:dyDescent="0.2">
      <c r="A276" s="3">
        <v>2021</v>
      </c>
      <c r="B276" t="str">
        <f>"046433"</f>
        <v>046433</v>
      </c>
      <c r="C276" t="s">
        <v>163</v>
      </c>
      <c r="D276" t="s">
        <v>57</v>
      </c>
      <c r="E276" s="9">
        <v>50</v>
      </c>
    </row>
    <row r="277" spans="1:5" x14ac:dyDescent="0.2">
      <c r="A277" s="3">
        <v>2021</v>
      </c>
      <c r="B277" t="str">
        <f>"046441"</f>
        <v>046441</v>
      </c>
      <c r="C277" t="s">
        <v>469</v>
      </c>
      <c r="D277" t="s">
        <v>57</v>
      </c>
      <c r="E277" s="9">
        <v>18</v>
      </c>
    </row>
    <row r="278" spans="1:5" x14ac:dyDescent="0.2">
      <c r="A278" s="3">
        <v>2021</v>
      </c>
      <c r="B278" t="str">
        <f>"046458"</f>
        <v>046458</v>
      </c>
      <c r="C278" t="s">
        <v>508</v>
      </c>
      <c r="D278" t="s">
        <v>57</v>
      </c>
      <c r="E278" s="9">
        <v>43</v>
      </c>
    </row>
    <row r="279" spans="1:5" x14ac:dyDescent="0.2">
      <c r="A279" s="3">
        <v>2021</v>
      </c>
      <c r="B279" t="str">
        <f>"046474"</f>
        <v>046474</v>
      </c>
      <c r="C279" t="s">
        <v>438</v>
      </c>
      <c r="D279" t="s">
        <v>160</v>
      </c>
      <c r="E279" s="9">
        <v>44</v>
      </c>
    </row>
    <row r="280" spans="1:5" x14ac:dyDescent="0.2">
      <c r="A280" s="3">
        <v>2021</v>
      </c>
      <c r="B280" t="str">
        <f>"046482"</f>
        <v>046482</v>
      </c>
      <c r="C280" t="s">
        <v>442</v>
      </c>
      <c r="D280" t="s">
        <v>160</v>
      </c>
      <c r="E280" s="9">
        <v>173</v>
      </c>
    </row>
    <row r="281" spans="1:5" x14ac:dyDescent="0.2">
      <c r="A281" s="3">
        <v>2021</v>
      </c>
      <c r="B281" t="str">
        <f>"046508"</f>
        <v>046508</v>
      </c>
      <c r="C281" t="s">
        <v>100</v>
      </c>
      <c r="D281" t="s">
        <v>101</v>
      </c>
      <c r="E281" s="9">
        <v>16</v>
      </c>
    </row>
    <row r="282" spans="1:5" x14ac:dyDescent="0.2">
      <c r="A282" s="3">
        <v>2021</v>
      </c>
      <c r="B282" t="str">
        <f>"046516"</f>
        <v>046516</v>
      </c>
      <c r="C282" t="s">
        <v>149</v>
      </c>
      <c r="D282" t="s">
        <v>101</v>
      </c>
      <c r="E282" s="9">
        <v>40</v>
      </c>
    </row>
    <row r="283" spans="1:5" x14ac:dyDescent="0.2">
      <c r="A283" s="3">
        <v>2021</v>
      </c>
      <c r="B283" t="str">
        <f>"046524"</f>
        <v>046524</v>
      </c>
      <c r="C283" t="s">
        <v>556</v>
      </c>
      <c r="D283" t="s">
        <v>101</v>
      </c>
      <c r="E283" s="9">
        <v>52</v>
      </c>
    </row>
    <row r="284" spans="1:5" x14ac:dyDescent="0.2">
      <c r="A284" s="3">
        <v>2021</v>
      </c>
      <c r="B284" t="str">
        <f>"046557"</f>
        <v>046557</v>
      </c>
      <c r="C284" t="s">
        <v>168</v>
      </c>
      <c r="D284" t="s">
        <v>54</v>
      </c>
      <c r="E284" s="11" t="s">
        <v>576</v>
      </c>
    </row>
    <row r="285" spans="1:5" x14ac:dyDescent="0.2">
      <c r="A285" s="3">
        <v>2021</v>
      </c>
      <c r="B285" t="str">
        <f>"046565"</f>
        <v>046565</v>
      </c>
      <c r="C285" t="s">
        <v>271</v>
      </c>
      <c r="D285" t="s">
        <v>54</v>
      </c>
      <c r="E285" s="9">
        <v>25</v>
      </c>
    </row>
    <row r="286" spans="1:5" x14ac:dyDescent="0.2">
      <c r="A286" s="3">
        <v>2021</v>
      </c>
      <c r="B286" t="str">
        <f>"046573"</f>
        <v>046573</v>
      </c>
      <c r="C286" t="s">
        <v>405</v>
      </c>
      <c r="D286" t="s">
        <v>54</v>
      </c>
      <c r="E286" s="9">
        <v>64</v>
      </c>
    </row>
    <row r="287" spans="1:5" x14ac:dyDescent="0.2">
      <c r="A287" s="3">
        <v>2021</v>
      </c>
      <c r="B287" t="str">
        <f>"046581"</f>
        <v>046581</v>
      </c>
      <c r="C287" t="s">
        <v>672</v>
      </c>
      <c r="D287" t="s">
        <v>54</v>
      </c>
      <c r="E287" s="9">
        <v>34</v>
      </c>
    </row>
    <row r="288" spans="1:5" x14ac:dyDescent="0.2">
      <c r="A288" s="3">
        <v>2021</v>
      </c>
      <c r="B288" t="str">
        <f>"046599"</f>
        <v>046599</v>
      </c>
      <c r="C288" t="s">
        <v>436</v>
      </c>
      <c r="D288" t="s">
        <v>54</v>
      </c>
      <c r="E288" s="9">
        <v>16</v>
      </c>
    </row>
    <row r="289" spans="1:5" x14ac:dyDescent="0.2">
      <c r="A289" s="3">
        <v>2021</v>
      </c>
      <c r="B289" t="str">
        <f>"046607"</f>
        <v>046607</v>
      </c>
      <c r="C289" t="s">
        <v>463</v>
      </c>
      <c r="D289" t="s">
        <v>54</v>
      </c>
      <c r="E289" s="9">
        <v>67</v>
      </c>
    </row>
    <row r="290" spans="1:5" x14ac:dyDescent="0.2">
      <c r="A290" s="3">
        <v>2021</v>
      </c>
      <c r="B290" t="str">
        <f>"046623"</f>
        <v>046623</v>
      </c>
      <c r="C290" t="s">
        <v>24</v>
      </c>
      <c r="D290" t="s">
        <v>25</v>
      </c>
      <c r="E290" s="9">
        <v>22</v>
      </c>
    </row>
    <row r="291" spans="1:5" x14ac:dyDescent="0.2">
      <c r="A291" s="3">
        <v>2021</v>
      </c>
      <c r="B291" t="str">
        <f>"046631"</f>
        <v>046631</v>
      </c>
      <c r="C291" t="s">
        <v>673</v>
      </c>
      <c r="D291" t="s">
        <v>25</v>
      </c>
      <c r="E291" s="9">
        <v>55</v>
      </c>
    </row>
    <row r="292" spans="1:5" x14ac:dyDescent="0.2">
      <c r="A292" s="3">
        <v>2021</v>
      </c>
      <c r="B292" t="str">
        <f>"046649"</f>
        <v>046649</v>
      </c>
      <c r="C292" t="s">
        <v>229</v>
      </c>
      <c r="D292" t="s">
        <v>25</v>
      </c>
      <c r="E292" s="9">
        <v>87</v>
      </c>
    </row>
    <row r="293" spans="1:5" x14ac:dyDescent="0.2">
      <c r="A293" s="3">
        <v>2021</v>
      </c>
      <c r="B293" t="str">
        <f>"046672"</f>
        <v>046672</v>
      </c>
      <c r="C293" t="s">
        <v>357</v>
      </c>
      <c r="D293" t="s">
        <v>25</v>
      </c>
      <c r="E293" s="9">
        <v>29</v>
      </c>
    </row>
    <row r="294" spans="1:5" x14ac:dyDescent="0.2">
      <c r="A294" s="3">
        <v>2021</v>
      </c>
      <c r="B294" t="str">
        <f>"046680"</f>
        <v>046680</v>
      </c>
      <c r="C294" t="s">
        <v>498</v>
      </c>
      <c r="D294" t="s">
        <v>25</v>
      </c>
      <c r="E294" s="9">
        <v>56</v>
      </c>
    </row>
    <row r="295" spans="1:5" x14ac:dyDescent="0.2">
      <c r="A295" s="3">
        <v>2021</v>
      </c>
      <c r="B295" t="str">
        <f>"046706"</f>
        <v>046706</v>
      </c>
      <c r="C295" t="s">
        <v>674</v>
      </c>
      <c r="D295" t="s">
        <v>46</v>
      </c>
      <c r="E295" s="9">
        <v>21</v>
      </c>
    </row>
    <row r="296" spans="1:5" x14ac:dyDescent="0.2">
      <c r="A296" s="3">
        <v>2021</v>
      </c>
      <c r="B296" t="str">
        <f>"046714"</f>
        <v>046714</v>
      </c>
      <c r="C296" t="s">
        <v>675</v>
      </c>
      <c r="D296" t="s">
        <v>46</v>
      </c>
      <c r="E296" s="9">
        <v>81</v>
      </c>
    </row>
    <row r="297" spans="1:5" x14ac:dyDescent="0.2">
      <c r="A297" s="3">
        <v>2021</v>
      </c>
      <c r="B297" t="str">
        <f>"046722"</f>
        <v>046722</v>
      </c>
      <c r="C297" t="s">
        <v>390</v>
      </c>
      <c r="D297" t="s">
        <v>46</v>
      </c>
      <c r="E297" s="9">
        <v>61</v>
      </c>
    </row>
    <row r="298" spans="1:5" x14ac:dyDescent="0.2">
      <c r="A298" s="3">
        <v>2021</v>
      </c>
      <c r="B298" t="str">
        <f>"046748"</f>
        <v>046748</v>
      </c>
      <c r="C298" t="s">
        <v>74</v>
      </c>
      <c r="D298" t="s">
        <v>75</v>
      </c>
      <c r="E298" s="9">
        <v>203</v>
      </c>
    </row>
    <row r="299" spans="1:5" x14ac:dyDescent="0.2">
      <c r="A299" s="3">
        <v>2021</v>
      </c>
      <c r="B299" t="str">
        <f>"046755"</f>
        <v>046755</v>
      </c>
      <c r="C299" t="s">
        <v>104</v>
      </c>
      <c r="D299" t="s">
        <v>75</v>
      </c>
      <c r="E299" s="9">
        <v>0</v>
      </c>
    </row>
    <row r="300" spans="1:5" x14ac:dyDescent="0.2">
      <c r="A300" s="3">
        <v>2021</v>
      </c>
      <c r="B300" t="str">
        <f>"046763"</f>
        <v>046763</v>
      </c>
      <c r="C300" t="s">
        <v>404</v>
      </c>
      <c r="D300" t="s">
        <v>75</v>
      </c>
      <c r="E300" s="9">
        <v>441</v>
      </c>
    </row>
    <row r="301" spans="1:5" x14ac:dyDescent="0.2">
      <c r="A301" s="3">
        <v>2021</v>
      </c>
      <c r="B301" t="str">
        <f>"046789"</f>
        <v>046789</v>
      </c>
      <c r="C301" t="s">
        <v>199</v>
      </c>
      <c r="D301" t="s">
        <v>200</v>
      </c>
      <c r="E301" s="9">
        <v>70</v>
      </c>
    </row>
    <row r="302" spans="1:5" x14ac:dyDescent="0.2">
      <c r="A302" s="3">
        <v>2021</v>
      </c>
      <c r="B302" t="str">
        <f>"046797"</f>
        <v>046797</v>
      </c>
      <c r="C302" t="s">
        <v>645</v>
      </c>
      <c r="D302" t="s">
        <v>200</v>
      </c>
      <c r="E302" s="9">
        <v>0</v>
      </c>
    </row>
    <row r="303" spans="1:5" x14ac:dyDescent="0.2">
      <c r="A303" s="3">
        <v>2021</v>
      </c>
      <c r="B303" t="str">
        <f>"046805"</f>
        <v>046805</v>
      </c>
      <c r="C303" t="s">
        <v>329</v>
      </c>
      <c r="D303" t="s">
        <v>200</v>
      </c>
      <c r="E303" s="9">
        <v>24</v>
      </c>
    </row>
    <row r="304" spans="1:5" x14ac:dyDescent="0.2">
      <c r="A304" s="3">
        <v>2021</v>
      </c>
      <c r="B304" t="str">
        <f>"046813"</f>
        <v>046813</v>
      </c>
      <c r="C304" t="s">
        <v>419</v>
      </c>
      <c r="D304" t="s">
        <v>200</v>
      </c>
      <c r="E304" s="9">
        <v>59</v>
      </c>
    </row>
    <row r="305" spans="1:5" x14ac:dyDescent="0.2">
      <c r="A305" s="3">
        <v>2021</v>
      </c>
      <c r="B305" t="str">
        <f>"046821"</f>
        <v>046821</v>
      </c>
      <c r="C305" t="s">
        <v>516</v>
      </c>
      <c r="D305" t="s">
        <v>200</v>
      </c>
      <c r="E305" s="9">
        <v>61</v>
      </c>
    </row>
    <row r="306" spans="1:5" x14ac:dyDescent="0.2">
      <c r="A306" s="3">
        <v>2021</v>
      </c>
      <c r="B306" t="str">
        <f>"046847"</f>
        <v>046847</v>
      </c>
      <c r="C306" t="s">
        <v>18</v>
      </c>
      <c r="D306" t="s">
        <v>19</v>
      </c>
      <c r="E306" s="9">
        <v>74</v>
      </c>
    </row>
    <row r="307" spans="1:5" x14ac:dyDescent="0.2">
      <c r="A307" s="3">
        <v>2021</v>
      </c>
      <c r="B307" t="str">
        <f>"046854"</f>
        <v>046854</v>
      </c>
      <c r="C307" t="s">
        <v>616</v>
      </c>
      <c r="D307" t="s">
        <v>19</v>
      </c>
      <c r="E307" s="9">
        <v>41</v>
      </c>
    </row>
    <row r="308" spans="1:5" x14ac:dyDescent="0.2">
      <c r="A308" s="3">
        <v>2021</v>
      </c>
      <c r="B308" t="str">
        <f>"046862"</f>
        <v>046862</v>
      </c>
      <c r="C308" t="s">
        <v>78</v>
      </c>
      <c r="D308" t="s">
        <v>19</v>
      </c>
      <c r="E308" s="9">
        <v>133</v>
      </c>
    </row>
    <row r="309" spans="1:5" x14ac:dyDescent="0.2">
      <c r="A309" s="3">
        <v>2021</v>
      </c>
      <c r="B309" t="str">
        <f>"046870"</f>
        <v>046870</v>
      </c>
      <c r="C309" t="s">
        <v>212</v>
      </c>
      <c r="D309" t="s">
        <v>19</v>
      </c>
      <c r="E309" s="9">
        <v>98</v>
      </c>
    </row>
    <row r="310" spans="1:5" x14ac:dyDescent="0.2">
      <c r="A310" s="3">
        <v>2021</v>
      </c>
      <c r="B310" t="str">
        <f>"046888"</f>
        <v>046888</v>
      </c>
      <c r="C310" t="s">
        <v>302</v>
      </c>
      <c r="D310" t="s">
        <v>19</v>
      </c>
      <c r="E310" s="9">
        <v>57</v>
      </c>
    </row>
    <row r="311" spans="1:5" x14ac:dyDescent="0.2">
      <c r="A311" s="3">
        <v>2021</v>
      </c>
      <c r="B311" t="str">
        <f>"046896"</f>
        <v>046896</v>
      </c>
      <c r="C311" t="s">
        <v>423</v>
      </c>
      <c r="D311" t="s">
        <v>19</v>
      </c>
      <c r="E311" s="9">
        <v>263</v>
      </c>
    </row>
    <row r="312" spans="1:5" x14ac:dyDescent="0.2">
      <c r="A312" s="3">
        <v>2021</v>
      </c>
      <c r="B312" t="str">
        <f>"046904"</f>
        <v>046904</v>
      </c>
      <c r="C312" t="s">
        <v>520</v>
      </c>
      <c r="D312" t="s">
        <v>19</v>
      </c>
      <c r="E312" s="9">
        <v>20</v>
      </c>
    </row>
    <row r="313" spans="1:5" x14ac:dyDescent="0.2">
      <c r="A313" s="3">
        <v>2021</v>
      </c>
      <c r="B313" t="str">
        <f>"046920"</f>
        <v>046920</v>
      </c>
      <c r="C313" t="s">
        <v>345</v>
      </c>
      <c r="D313" t="s">
        <v>346</v>
      </c>
      <c r="E313" s="9">
        <v>86</v>
      </c>
    </row>
    <row r="314" spans="1:5" x14ac:dyDescent="0.2">
      <c r="A314" s="3">
        <v>2021</v>
      </c>
      <c r="B314" t="str">
        <f>"046946"</f>
        <v>046946</v>
      </c>
      <c r="C314" t="s">
        <v>111</v>
      </c>
      <c r="D314" t="s">
        <v>73</v>
      </c>
      <c r="E314" s="9">
        <v>69</v>
      </c>
    </row>
    <row r="315" spans="1:5" x14ac:dyDescent="0.2">
      <c r="A315" s="3">
        <v>2021</v>
      </c>
      <c r="B315" t="str">
        <f>"046953"</f>
        <v>046953</v>
      </c>
      <c r="C315" t="s">
        <v>256</v>
      </c>
      <c r="D315" t="s">
        <v>73</v>
      </c>
      <c r="E315" s="9">
        <v>61</v>
      </c>
    </row>
    <row r="316" spans="1:5" x14ac:dyDescent="0.2">
      <c r="A316" s="3">
        <v>2021</v>
      </c>
      <c r="B316" t="str">
        <f>"046961"</f>
        <v>046961</v>
      </c>
      <c r="C316" t="s">
        <v>233</v>
      </c>
      <c r="D316" t="s">
        <v>73</v>
      </c>
      <c r="E316" s="9">
        <v>227</v>
      </c>
    </row>
    <row r="317" spans="1:5" x14ac:dyDescent="0.2">
      <c r="A317" s="3">
        <v>2021</v>
      </c>
      <c r="B317" t="str">
        <f>"046979"</f>
        <v>046979</v>
      </c>
      <c r="C317" t="s">
        <v>254</v>
      </c>
      <c r="D317" t="s">
        <v>73</v>
      </c>
      <c r="E317" s="9">
        <v>176</v>
      </c>
    </row>
    <row r="318" spans="1:5" x14ac:dyDescent="0.2">
      <c r="A318" s="3">
        <v>2021</v>
      </c>
      <c r="B318" t="str">
        <f>"046995"</f>
        <v>046995</v>
      </c>
      <c r="C318" t="s">
        <v>368</v>
      </c>
      <c r="D318" t="s">
        <v>73</v>
      </c>
      <c r="E318" s="9">
        <v>66</v>
      </c>
    </row>
    <row r="319" spans="1:5" x14ac:dyDescent="0.2">
      <c r="A319" s="3">
        <v>2021</v>
      </c>
      <c r="B319" t="str">
        <f>"047001"</f>
        <v>047001</v>
      </c>
      <c r="C319" t="s">
        <v>435</v>
      </c>
      <c r="D319" t="s">
        <v>73</v>
      </c>
      <c r="E319" s="9">
        <v>179</v>
      </c>
    </row>
    <row r="320" spans="1:5" x14ac:dyDescent="0.2">
      <c r="A320" s="3">
        <v>2021</v>
      </c>
      <c r="B320" t="str">
        <f>"047019"</f>
        <v>047019</v>
      </c>
      <c r="C320" t="s">
        <v>263</v>
      </c>
      <c r="D320" t="s">
        <v>73</v>
      </c>
      <c r="E320" s="9">
        <v>352</v>
      </c>
    </row>
    <row r="321" spans="1:5" x14ac:dyDescent="0.2">
      <c r="A321" s="3">
        <v>2021</v>
      </c>
      <c r="B321" t="str">
        <f>"047027"</f>
        <v>047027</v>
      </c>
      <c r="C321" t="s">
        <v>180</v>
      </c>
      <c r="D321" t="s">
        <v>73</v>
      </c>
      <c r="E321" s="9">
        <v>303</v>
      </c>
    </row>
    <row r="322" spans="1:5" x14ac:dyDescent="0.2">
      <c r="A322" s="3">
        <v>2021</v>
      </c>
      <c r="B322" t="str">
        <f>"047043"</f>
        <v>047043</v>
      </c>
      <c r="C322" t="s">
        <v>32</v>
      </c>
      <c r="D322" t="s">
        <v>33</v>
      </c>
      <c r="E322" s="9">
        <v>73</v>
      </c>
    </row>
    <row r="323" spans="1:5" x14ac:dyDescent="0.2">
      <c r="A323" s="3">
        <v>2021</v>
      </c>
      <c r="B323" t="str">
        <f>"047050"</f>
        <v>047050</v>
      </c>
      <c r="C323" t="s">
        <v>207</v>
      </c>
      <c r="D323" t="s">
        <v>33</v>
      </c>
      <c r="E323" s="9">
        <v>69</v>
      </c>
    </row>
    <row r="324" spans="1:5" x14ac:dyDescent="0.2">
      <c r="A324" s="3">
        <v>2021</v>
      </c>
      <c r="B324" t="str">
        <f>"047068"</f>
        <v>047068</v>
      </c>
      <c r="C324" t="s">
        <v>215</v>
      </c>
      <c r="D324" t="s">
        <v>33</v>
      </c>
      <c r="E324" s="11" t="s">
        <v>576</v>
      </c>
    </row>
    <row r="325" spans="1:5" x14ac:dyDescent="0.2">
      <c r="A325" s="3">
        <v>2021</v>
      </c>
      <c r="B325" t="str">
        <f>"047076"</f>
        <v>047076</v>
      </c>
      <c r="C325" t="s">
        <v>422</v>
      </c>
      <c r="D325" t="s">
        <v>33</v>
      </c>
      <c r="E325" s="9">
        <v>13</v>
      </c>
    </row>
    <row r="326" spans="1:5" x14ac:dyDescent="0.2">
      <c r="A326" s="3">
        <v>2021</v>
      </c>
      <c r="B326" t="str">
        <f>"047084"</f>
        <v>047084</v>
      </c>
      <c r="C326" t="s">
        <v>424</v>
      </c>
      <c r="D326" t="s">
        <v>33</v>
      </c>
      <c r="E326" s="9">
        <v>74</v>
      </c>
    </row>
    <row r="327" spans="1:5" x14ac:dyDescent="0.2">
      <c r="A327" s="3">
        <v>2021</v>
      </c>
      <c r="B327" t="str">
        <f>"047092"</f>
        <v>047092</v>
      </c>
      <c r="C327" t="s">
        <v>486</v>
      </c>
      <c r="D327" t="s">
        <v>33</v>
      </c>
      <c r="E327" s="9">
        <v>61</v>
      </c>
    </row>
    <row r="328" spans="1:5" x14ac:dyDescent="0.2">
      <c r="A328" s="3">
        <v>2021</v>
      </c>
      <c r="B328" t="str">
        <f>"047167"</f>
        <v>047167</v>
      </c>
      <c r="C328" t="s">
        <v>68</v>
      </c>
      <c r="D328" t="s">
        <v>69</v>
      </c>
      <c r="E328" s="9">
        <v>168</v>
      </c>
    </row>
    <row r="329" spans="1:5" x14ac:dyDescent="0.2">
      <c r="A329" s="3">
        <v>2021</v>
      </c>
      <c r="B329" t="str">
        <f>"047175"</f>
        <v>047175</v>
      </c>
      <c r="C329" t="s">
        <v>115</v>
      </c>
      <c r="D329" t="s">
        <v>69</v>
      </c>
      <c r="E329" s="9">
        <v>133</v>
      </c>
    </row>
    <row r="330" spans="1:5" x14ac:dyDescent="0.2">
      <c r="A330" s="3">
        <v>2021</v>
      </c>
      <c r="B330" t="str">
        <f>"047183"</f>
        <v>047183</v>
      </c>
      <c r="C330" t="s">
        <v>128</v>
      </c>
      <c r="D330" t="s">
        <v>69</v>
      </c>
      <c r="E330" s="9">
        <v>227</v>
      </c>
    </row>
    <row r="331" spans="1:5" x14ac:dyDescent="0.2">
      <c r="A331" s="3">
        <v>2021</v>
      </c>
      <c r="B331" t="str">
        <f>"047191"</f>
        <v>047191</v>
      </c>
      <c r="C331" t="s">
        <v>289</v>
      </c>
      <c r="D331" t="s">
        <v>69</v>
      </c>
      <c r="E331" s="9">
        <v>91</v>
      </c>
    </row>
    <row r="332" spans="1:5" x14ac:dyDescent="0.2">
      <c r="A332" s="3">
        <v>2021</v>
      </c>
      <c r="B332" t="str">
        <f>"047225"</f>
        <v>047225</v>
      </c>
      <c r="C332" t="s">
        <v>536</v>
      </c>
      <c r="D332" t="s">
        <v>69</v>
      </c>
      <c r="E332" s="9">
        <v>117</v>
      </c>
    </row>
    <row r="333" spans="1:5" x14ac:dyDescent="0.2">
      <c r="A333" s="3">
        <v>2021</v>
      </c>
      <c r="B333" t="str">
        <f>"047241"</f>
        <v>047241</v>
      </c>
      <c r="C333" t="s">
        <v>58</v>
      </c>
      <c r="D333" t="s">
        <v>59</v>
      </c>
      <c r="E333" s="9">
        <v>648</v>
      </c>
    </row>
    <row r="334" spans="1:5" x14ac:dyDescent="0.2">
      <c r="A334" s="3">
        <v>2021</v>
      </c>
      <c r="B334" t="str">
        <f>"047258"</f>
        <v>047258</v>
      </c>
      <c r="C334" t="s">
        <v>122</v>
      </c>
      <c r="D334" t="s">
        <v>59</v>
      </c>
      <c r="E334" s="9">
        <v>143</v>
      </c>
    </row>
    <row r="335" spans="1:5" x14ac:dyDescent="0.2">
      <c r="A335" s="3">
        <v>2021</v>
      </c>
      <c r="B335" t="str">
        <f>"047266"</f>
        <v>047266</v>
      </c>
      <c r="C335" t="s">
        <v>251</v>
      </c>
      <c r="D335" t="s">
        <v>59</v>
      </c>
      <c r="E335" s="9">
        <v>92</v>
      </c>
    </row>
    <row r="336" spans="1:5" x14ac:dyDescent="0.2">
      <c r="A336" s="3">
        <v>2021</v>
      </c>
      <c r="B336" t="str">
        <f>"047274"</f>
        <v>047274</v>
      </c>
      <c r="C336" t="s">
        <v>61</v>
      </c>
      <c r="D336" t="s">
        <v>59</v>
      </c>
      <c r="E336" s="9">
        <v>196</v>
      </c>
    </row>
    <row r="337" spans="1:5" x14ac:dyDescent="0.2">
      <c r="A337" s="3">
        <v>2021</v>
      </c>
      <c r="B337" t="str">
        <f>"047308"</f>
        <v>047308</v>
      </c>
      <c r="C337" t="s">
        <v>447</v>
      </c>
      <c r="D337" t="s">
        <v>109</v>
      </c>
      <c r="E337" s="9">
        <v>20</v>
      </c>
    </row>
    <row r="338" spans="1:5" x14ac:dyDescent="0.2">
      <c r="A338" s="3">
        <v>2021</v>
      </c>
      <c r="B338" t="str">
        <f>"047332"</f>
        <v>047332</v>
      </c>
      <c r="C338" t="s">
        <v>219</v>
      </c>
      <c r="D338" t="s">
        <v>175</v>
      </c>
      <c r="E338" s="9">
        <v>67</v>
      </c>
    </row>
    <row r="339" spans="1:5" x14ac:dyDescent="0.2">
      <c r="A339" s="3">
        <v>2021</v>
      </c>
      <c r="B339" t="str">
        <f>"047340"</f>
        <v>047340</v>
      </c>
      <c r="C339" t="s">
        <v>221</v>
      </c>
      <c r="D339" t="s">
        <v>175</v>
      </c>
      <c r="E339" s="9">
        <v>217</v>
      </c>
    </row>
    <row r="340" spans="1:5" x14ac:dyDescent="0.2">
      <c r="A340" s="3">
        <v>2021</v>
      </c>
      <c r="B340" t="str">
        <f>"047365"</f>
        <v>047365</v>
      </c>
      <c r="C340" t="s">
        <v>676</v>
      </c>
      <c r="D340" t="s">
        <v>175</v>
      </c>
      <c r="E340" s="9">
        <v>236</v>
      </c>
    </row>
    <row r="341" spans="1:5" x14ac:dyDescent="0.2">
      <c r="A341" s="3">
        <v>2021</v>
      </c>
      <c r="B341" t="str">
        <f>"047373"</f>
        <v>047373</v>
      </c>
      <c r="C341" t="s">
        <v>677</v>
      </c>
      <c r="D341" t="s">
        <v>175</v>
      </c>
      <c r="E341" s="9">
        <v>160</v>
      </c>
    </row>
    <row r="342" spans="1:5" x14ac:dyDescent="0.2">
      <c r="A342" s="3">
        <v>2021</v>
      </c>
      <c r="B342" t="str">
        <f>"047381"</f>
        <v>047381</v>
      </c>
      <c r="C342" t="s">
        <v>678</v>
      </c>
      <c r="D342" t="s">
        <v>175</v>
      </c>
      <c r="E342" s="11" t="s">
        <v>701</v>
      </c>
    </row>
    <row r="343" spans="1:5" x14ac:dyDescent="0.2">
      <c r="A343" s="3">
        <v>2021</v>
      </c>
      <c r="B343" t="str">
        <f>"047415"</f>
        <v>047415</v>
      </c>
      <c r="C343" t="s">
        <v>30</v>
      </c>
      <c r="D343" t="s">
        <v>31</v>
      </c>
      <c r="E343" s="9">
        <v>21</v>
      </c>
    </row>
    <row r="344" spans="1:5" x14ac:dyDescent="0.2">
      <c r="A344" s="3">
        <v>2021</v>
      </c>
      <c r="B344" t="str">
        <f>"047423"</f>
        <v>047423</v>
      </c>
      <c r="C344" t="s">
        <v>34</v>
      </c>
      <c r="D344" t="s">
        <v>31</v>
      </c>
      <c r="E344" s="9">
        <v>51</v>
      </c>
    </row>
    <row r="345" spans="1:5" x14ac:dyDescent="0.2">
      <c r="A345" s="3">
        <v>2021</v>
      </c>
      <c r="B345" t="str">
        <f>"047431"</f>
        <v>047431</v>
      </c>
      <c r="C345" t="s">
        <v>159</v>
      </c>
      <c r="D345" t="s">
        <v>31</v>
      </c>
      <c r="E345" s="9">
        <v>45</v>
      </c>
    </row>
    <row r="346" spans="1:5" x14ac:dyDescent="0.2">
      <c r="A346" s="3">
        <v>2021</v>
      </c>
      <c r="B346" t="str">
        <f>"047449"</f>
        <v>047449</v>
      </c>
      <c r="C346" t="s">
        <v>303</v>
      </c>
      <c r="D346" t="s">
        <v>31</v>
      </c>
      <c r="E346" s="9">
        <v>51</v>
      </c>
    </row>
    <row r="347" spans="1:5" x14ac:dyDescent="0.2">
      <c r="A347" s="3">
        <v>2021</v>
      </c>
      <c r="B347" t="str">
        <f>"047456"</f>
        <v>047456</v>
      </c>
      <c r="C347" t="s">
        <v>339</v>
      </c>
      <c r="D347" t="s">
        <v>31</v>
      </c>
      <c r="E347" s="9">
        <v>26</v>
      </c>
    </row>
    <row r="348" spans="1:5" x14ac:dyDescent="0.2">
      <c r="A348" s="3">
        <v>2021</v>
      </c>
      <c r="B348" t="str">
        <f>"047464"</f>
        <v>047464</v>
      </c>
      <c r="C348" t="s">
        <v>512</v>
      </c>
      <c r="D348" t="s">
        <v>31</v>
      </c>
      <c r="E348" s="9">
        <v>27</v>
      </c>
    </row>
    <row r="349" spans="1:5" x14ac:dyDescent="0.2">
      <c r="A349" s="3">
        <v>2021</v>
      </c>
      <c r="B349" t="str">
        <f>"047472"</f>
        <v>047472</v>
      </c>
      <c r="C349" t="s">
        <v>515</v>
      </c>
      <c r="D349" t="s">
        <v>31</v>
      </c>
      <c r="E349" s="9">
        <v>20</v>
      </c>
    </row>
    <row r="350" spans="1:5" x14ac:dyDescent="0.2">
      <c r="A350" s="3">
        <v>2021</v>
      </c>
      <c r="B350" t="str">
        <f>"047498"</f>
        <v>047498</v>
      </c>
      <c r="C350" t="s">
        <v>257</v>
      </c>
      <c r="D350" t="s">
        <v>5</v>
      </c>
      <c r="E350" s="9">
        <v>12</v>
      </c>
    </row>
    <row r="351" spans="1:5" x14ac:dyDescent="0.2">
      <c r="A351" s="3">
        <v>2021</v>
      </c>
      <c r="B351" t="str">
        <f>"047506"</f>
        <v>047506</v>
      </c>
      <c r="C351" t="s">
        <v>437</v>
      </c>
      <c r="D351" t="s">
        <v>5</v>
      </c>
      <c r="E351" s="9">
        <v>30</v>
      </c>
    </row>
    <row r="352" spans="1:5" x14ac:dyDescent="0.2">
      <c r="A352" s="3">
        <v>2021</v>
      </c>
      <c r="B352" t="str">
        <f>"047514"</f>
        <v>047514</v>
      </c>
      <c r="C352" t="s">
        <v>443</v>
      </c>
      <c r="D352" t="s">
        <v>31</v>
      </c>
      <c r="E352" s="9">
        <v>63</v>
      </c>
    </row>
    <row r="353" spans="1:5" x14ac:dyDescent="0.2">
      <c r="A353" s="3">
        <v>2021</v>
      </c>
      <c r="B353" t="str">
        <f>"047522"</f>
        <v>047522</v>
      </c>
      <c r="C353" t="s">
        <v>511</v>
      </c>
      <c r="D353" t="s">
        <v>5</v>
      </c>
      <c r="E353" s="9">
        <v>33</v>
      </c>
    </row>
    <row r="354" spans="1:5" x14ac:dyDescent="0.2">
      <c r="A354" s="3">
        <v>2021</v>
      </c>
      <c r="B354" t="str">
        <f>"047548"</f>
        <v>047548</v>
      </c>
      <c r="C354" t="s">
        <v>156</v>
      </c>
      <c r="D354" t="s">
        <v>157</v>
      </c>
      <c r="E354" s="9">
        <v>27</v>
      </c>
    </row>
    <row r="355" spans="1:5" x14ac:dyDescent="0.2">
      <c r="A355" s="3">
        <v>2021</v>
      </c>
      <c r="B355" t="str">
        <f>"047571"</f>
        <v>047571</v>
      </c>
      <c r="C355" t="s">
        <v>265</v>
      </c>
      <c r="D355" t="s">
        <v>227</v>
      </c>
      <c r="E355" s="9">
        <v>29</v>
      </c>
    </row>
    <row r="356" spans="1:5" x14ac:dyDescent="0.2">
      <c r="A356" s="3">
        <v>2021</v>
      </c>
      <c r="B356" t="str">
        <f>"047589"</f>
        <v>047589</v>
      </c>
      <c r="C356" t="s">
        <v>301</v>
      </c>
      <c r="D356" t="s">
        <v>227</v>
      </c>
      <c r="E356" s="9">
        <v>39</v>
      </c>
    </row>
    <row r="357" spans="1:5" x14ac:dyDescent="0.2">
      <c r="A357" s="3">
        <v>2021</v>
      </c>
      <c r="B357" t="str">
        <f>"047597"</f>
        <v>047597</v>
      </c>
      <c r="C357" t="s">
        <v>417</v>
      </c>
      <c r="D357" t="s">
        <v>227</v>
      </c>
      <c r="E357" s="9">
        <v>25</v>
      </c>
    </row>
    <row r="358" spans="1:5" x14ac:dyDescent="0.2">
      <c r="A358" s="3">
        <v>2021</v>
      </c>
      <c r="B358" t="str">
        <f>"047613"</f>
        <v>047613</v>
      </c>
      <c r="C358" t="s">
        <v>90</v>
      </c>
      <c r="D358" t="s">
        <v>91</v>
      </c>
      <c r="E358" s="9">
        <v>32</v>
      </c>
    </row>
    <row r="359" spans="1:5" x14ac:dyDescent="0.2">
      <c r="A359" s="3">
        <v>2021</v>
      </c>
      <c r="B359" t="str">
        <f>"047621"</f>
        <v>047621</v>
      </c>
      <c r="C359" t="s">
        <v>211</v>
      </c>
      <c r="D359" t="s">
        <v>91</v>
      </c>
      <c r="E359" s="9">
        <v>13</v>
      </c>
    </row>
    <row r="360" spans="1:5" x14ac:dyDescent="0.2">
      <c r="A360" s="3">
        <v>2021</v>
      </c>
      <c r="B360" t="str">
        <f>"047639"</f>
        <v>047639</v>
      </c>
      <c r="C360" t="s">
        <v>320</v>
      </c>
      <c r="D360" t="s">
        <v>91</v>
      </c>
      <c r="E360" s="9">
        <v>49</v>
      </c>
    </row>
    <row r="361" spans="1:5" x14ac:dyDescent="0.2">
      <c r="A361" s="3">
        <v>2021</v>
      </c>
      <c r="B361" t="str">
        <f>"047688"</f>
        <v>047688</v>
      </c>
      <c r="C361" t="s">
        <v>679</v>
      </c>
      <c r="D361" t="s">
        <v>184</v>
      </c>
      <c r="E361" s="9">
        <v>151</v>
      </c>
    </row>
    <row r="362" spans="1:5" x14ac:dyDescent="0.2">
      <c r="A362" s="3">
        <v>2021</v>
      </c>
      <c r="B362" t="str">
        <f>"047696"</f>
        <v>047696</v>
      </c>
      <c r="C362" t="s">
        <v>537</v>
      </c>
      <c r="D362" t="s">
        <v>184</v>
      </c>
      <c r="E362" s="9">
        <v>251</v>
      </c>
    </row>
    <row r="363" spans="1:5" x14ac:dyDescent="0.2">
      <c r="A363" s="3">
        <v>2021</v>
      </c>
      <c r="B363" t="str">
        <f>"047712"</f>
        <v>047712</v>
      </c>
      <c r="C363" t="s">
        <v>360</v>
      </c>
      <c r="D363" t="s">
        <v>64</v>
      </c>
      <c r="E363" s="9">
        <v>19</v>
      </c>
    </row>
    <row r="364" spans="1:5" x14ac:dyDescent="0.2">
      <c r="A364" s="3">
        <v>2021</v>
      </c>
      <c r="B364" t="str">
        <f>"047720"</f>
        <v>047720</v>
      </c>
      <c r="C364" t="s">
        <v>680</v>
      </c>
      <c r="D364" t="s">
        <v>64</v>
      </c>
      <c r="E364" s="11" t="s">
        <v>701</v>
      </c>
    </row>
    <row r="365" spans="1:5" x14ac:dyDescent="0.2">
      <c r="A365" s="3">
        <v>2021</v>
      </c>
      <c r="B365" t="str">
        <f>"047738"</f>
        <v>047738</v>
      </c>
      <c r="C365" t="s">
        <v>464</v>
      </c>
      <c r="D365" t="s">
        <v>64</v>
      </c>
      <c r="E365" s="9">
        <v>37</v>
      </c>
    </row>
    <row r="366" spans="1:5" x14ac:dyDescent="0.2">
      <c r="A366" s="3">
        <v>2021</v>
      </c>
      <c r="B366" t="str">
        <f>"047746"</f>
        <v>047746</v>
      </c>
      <c r="C366" t="s">
        <v>540</v>
      </c>
      <c r="D366" t="s">
        <v>64</v>
      </c>
      <c r="E366" s="9">
        <v>57</v>
      </c>
    </row>
    <row r="367" spans="1:5" x14ac:dyDescent="0.2">
      <c r="A367" s="3">
        <v>2021</v>
      </c>
      <c r="B367" t="str">
        <f>"047761"</f>
        <v>047761</v>
      </c>
      <c r="C367" t="s">
        <v>400</v>
      </c>
      <c r="D367" t="s">
        <v>278</v>
      </c>
      <c r="E367" s="9">
        <v>27</v>
      </c>
    </row>
    <row r="368" spans="1:5" x14ac:dyDescent="0.2">
      <c r="A368" s="3">
        <v>2021</v>
      </c>
      <c r="B368" t="str">
        <f>"047787"</f>
        <v>047787</v>
      </c>
      <c r="C368" t="s">
        <v>681</v>
      </c>
      <c r="D368" t="s">
        <v>103</v>
      </c>
      <c r="E368" s="9">
        <v>35</v>
      </c>
    </row>
    <row r="369" spans="1:5" x14ac:dyDescent="0.2">
      <c r="A369" s="3">
        <v>2021</v>
      </c>
      <c r="B369" t="str">
        <f>"047795"</f>
        <v>047795</v>
      </c>
      <c r="C369" t="s">
        <v>198</v>
      </c>
      <c r="D369" t="s">
        <v>103</v>
      </c>
      <c r="E369" s="9">
        <v>68</v>
      </c>
    </row>
    <row r="370" spans="1:5" x14ac:dyDescent="0.2">
      <c r="A370" s="3">
        <v>2021</v>
      </c>
      <c r="B370" t="str">
        <f>"047803"</f>
        <v>047803</v>
      </c>
      <c r="C370" t="s">
        <v>272</v>
      </c>
      <c r="D370" t="s">
        <v>103</v>
      </c>
      <c r="E370" s="9">
        <v>35</v>
      </c>
    </row>
    <row r="371" spans="1:5" x14ac:dyDescent="0.2">
      <c r="A371" s="3">
        <v>2021</v>
      </c>
      <c r="B371" t="str">
        <f>"047829"</f>
        <v>047829</v>
      </c>
      <c r="C371" t="s">
        <v>124</v>
      </c>
      <c r="D371" t="s">
        <v>125</v>
      </c>
      <c r="E371" s="9">
        <v>52</v>
      </c>
    </row>
    <row r="372" spans="1:5" x14ac:dyDescent="0.2">
      <c r="A372" s="3">
        <v>2021</v>
      </c>
      <c r="B372" t="str">
        <f>"047837"</f>
        <v>047837</v>
      </c>
      <c r="C372" t="s">
        <v>682</v>
      </c>
      <c r="D372" t="s">
        <v>125</v>
      </c>
      <c r="E372" s="9">
        <v>54</v>
      </c>
    </row>
    <row r="373" spans="1:5" x14ac:dyDescent="0.2">
      <c r="A373" s="3">
        <v>2021</v>
      </c>
      <c r="B373" t="str">
        <f>"047845"</f>
        <v>047845</v>
      </c>
      <c r="C373" t="s">
        <v>185</v>
      </c>
      <c r="D373" t="s">
        <v>125</v>
      </c>
      <c r="E373" s="9">
        <v>98</v>
      </c>
    </row>
    <row r="374" spans="1:5" x14ac:dyDescent="0.2">
      <c r="A374" s="3">
        <v>2021</v>
      </c>
      <c r="B374" t="str">
        <f>"047852"</f>
        <v>047852</v>
      </c>
      <c r="C374" t="s">
        <v>230</v>
      </c>
      <c r="D374" t="s">
        <v>125</v>
      </c>
      <c r="E374" s="9">
        <v>55</v>
      </c>
    </row>
    <row r="375" spans="1:5" x14ac:dyDescent="0.2">
      <c r="A375" s="3">
        <v>2021</v>
      </c>
      <c r="B375" t="str">
        <f>"047878"</f>
        <v>047878</v>
      </c>
      <c r="C375" t="s">
        <v>292</v>
      </c>
      <c r="D375" t="s">
        <v>293</v>
      </c>
      <c r="E375" s="9">
        <v>20</v>
      </c>
    </row>
    <row r="376" spans="1:5" x14ac:dyDescent="0.2">
      <c r="A376" s="3">
        <v>2021</v>
      </c>
      <c r="B376" t="str">
        <f>"047886"</f>
        <v>047886</v>
      </c>
      <c r="C376" t="s">
        <v>683</v>
      </c>
      <c r="D376" t="s">
        <v>293</v>
      </c>
      <c r="E376" s="9">
        <v>110</v>
      </c>
    </row>
    <row r="377" spans="1:5" x14ac:dyDescent="0.2">
      <c r="A377" s="3">
        <v>2021</v>
      </c>
      <c r="B377" t="str">
        <f>"047894"</f>
        <v>047894</v>
      </c>
      <c r="C377" t="s">
        <v>444</v>
      </c>
      <c r="D377" t="s">
        <v>293</v>
      </c>
      <c r="E377" s="9">
        <v>151</v>
      </c>
    </row>
    <row r="378" spans="1:5" x14ac:dyDescent="0.2">
      <c r="A378" s="3">
        <v>2021</v>
      </c>
      <c r="B378" t="str">
        <f>"047902"</f>
        <v>047902</v>
      </c>
      <c r="C378" t="s">
        <v>420</v>
      </c>
      <c r="D378" t="s">
        <v>293</v>
      </c>
      <c r="E378" s="9">
        <v>34</v>
      </c>
    </row>
    <row r="379" spans="1:5" x14ac:dyDescent="0.2">
      <c r="A379" s="3">
        <v>2021</v>
      </c>
      <c r="B379" t="str">
        <f>"047928"</f>
        <v>047928</v>
      </c>
      <c r="C379" t="s">
        <v>172</v>
      </c>
      <c r="D379" t="s">
        <v>130</v>
      </c>
      <c r="E379" s="9">
        <v>26</v>
      </c>
    </row>
    <row r="380" spans="1:5" x14ac:dyDescent="0.2">
      <c r="A380" s="3">
        <v>2021</v>
      </c>
      <c r="B380" t="str">
        <f>"047936"</f>
        <v>047936</v>
      </c>
      <c r="C380" t="s">
        <v>684</v>
      </c>
      <c r="D380" t="s">
        <v>130</v>
      </c>
      <c r="E380" s="9">
        <v>60</v>
      </c>
    </row>
    <row r="381" spans="1:5" x14ac:dyDescent="0.2">
      <c r="A381" s="3">
        <v>2021</v>
      </c>
      <c r="B381" t="str">
        <f>"047944"</f>
        <v>047944</v>
      </c>
      <c r="C381" t="s">
        <v>445</v>
      </c>
      <c r="D381" t="s">
        <v>130</v>
      </c>
      <c r="E381" s="9">
        <v>21</v>
      </c>
    </row>
    <row r="382" spans="1:5" x14ac:dyDescent="0.2">
      <c r="A382" s="3">
        <v>2021</v>
      </c>
      <c r="B382" t="str">
        <f>"047951"</f>
        <v>047951</v>
      </c>
      <c r="C382" t="s">
        <v>685</v>
      </c>
      <c r="D382" t="s">
        <v>130</v>
      </c>
      <c r="E382" s="11" t="s">
        <v>701</v>
      </c>
    </row>
    <row r="383" spans="1:5" x14ac:dyDescent="0.2">
      <c r="A383" s="3">
        <v>2021</v>
      </c>
      <c r="B383" t="str">
        <f>"047969"</f>
        <v>047969</v>
      </c>
      <c r="C383" t="s">
        <v>581</v>
      </c>
      <c r="D383" t="s">
        <v>130</v>
      </c>
      <c r="E383" s="9">
        <v>20</v>
      </c>
    </row>
    <row r="384" spans="1:5" x14ac:dyDescent="0.2">
      <c r="A384" s="3">
        <v>2021</v>
      </c>
      <c r="B384" t="str">
        <f>"047985"</f>
        <v>047985</v>
      </c>
      <c r="C384" t="s">
        <v>285</v>
      </c>
      <c r="D384" t="s">
        <v>249</v>
      </c>
      <c r="E384" s="9">
        <v>98</v>
      </c>
    </row>
    <row r="385" spans="1:5" x14ac:dyDescent="0.2">
      <c r="A385" s="3">
        <v>2021</v>
      </c>
      <c r="B385" t="str">
        <f>"047993"</f>
        <v>047993</v>
      </c>
      <c r="C385" t="s">
        <v>297</v>
      </c>
      <c r="D385" t="s">
        <v>249</v>
      </c>
      <c r="E385" s="9">
        <v>106</v>
      </c>
    </row>
    <row r="386" spans="1:5" x14ac:dyDescent="0.2">
      <c r="A386" s="3">
        <v>2021</v>
      </c>
      <c r="B386" t="str">
        <f>"048009"</f>
        <v>048009</v>
      </c>
      <c r="C386" t="s">
        <v>304</v>
      </c>
      <c r="D386" t="s">
        <v>249</v>
      </c>
      <c r="E386" s="9">
        <v>70</v>
      </c>
    </row>
    <row r="387" spans="1:5" x14ac:dyDescent="0.2">
      <c r="A387" s="3">
        <v>2021</v>
      </c>
      <c r="B387" t="str">
        <f>"048017"</f>
        <v>048017</v>
      </c>
      <c r="C387" t="s">
        <v>305</v>
      </c>
      <c r="D387" t="s">
        <v>249</v>
      </c>
      <c r="E387" s="9">
        <v>116</v>
      </c>
    </row>
    <row r="388" spans="1:5" x14ac:dyDescent="0.2">
      <c r="A388" s="3">
        <v>2021</v>
      </c>
      <c r="B388" t="str">
        <f>"048025"</f>
        <v>048025</v>
      </c>
      <c r="C388" t="s">
        <v>646</v>
      </c>
      <c r="D388" t="s">
        <v>249</v>
      </c>
      <c r="E388" s="9">
        <v>107</v>
      </c>
    </row>
    <row r="389" spans="1:5" x14ac:dyDescent="0.2">
      <c r="A389" s="3">
        <v>2021</v>
      </c>
      <c r="B389" t="str">
        <f>"048033"</f>
        <v>048033</v>
      </c>
      <c r="C389" t="s">
        <v>394</v>
      </c>
      <c r="D389" t="s">
        <v>249</v>
      </c>
      <c r="E389" s="9">
        <v>98</v>
      </c>
    </row>
    <row r="390" spans="1:5" x14ac:dyDescent="0.2">
      <c r="A390" s="3">
        <v>2021</v>
      </c>
      <c r="B390" t="str">
        <f>"048041"</f>
        <v>048041</v>
      </c>
      <c r="C390" t="s">
        <v>471</v>
      </c>
      <c r="D390" t="s">
        <v>249</v>
      </c>
      <c r="E390" s="9">
        <v>260</v>
      </c>
    </row>
    <row r="391" spans="1:5" x14ac:dyDescent="0.2">
      <c r="A391" s="3">
        <v>2021</v>
      </c>
      <c r="B391" t="str">
        <f>"048074"</f>
        <v>048074</v>
      </c>
      <c r="C391" t="s">
        <v>66</v>
      </c>
      <c r="D391" t="s">
        <v>62</v>
      </c>
      <c r="E391" s="9">
        <v>143</v>
      </c>
    </row>
    <row r="392" spans="1:5" x14ac:dyDescent="0.2">
      <c r="A392" s="3">
        <v>2021</v>
      </c>
      <c r="B392" t="str">
        <f>"048082"</f>
        <v>048082</v>
      </c>
      <c r="C392" t="s">
        <v>274</v>
      </c>
      <c r="D392" t="s">
        <v>62</v>
      </c>
      <c r="E392" s="9">
        <v>75</v>
      </c>
    </row>
    <row r="393" spans="1:5" x14ac:dyDescent="0.2">
      <c r="A393" s="3">
        <v>2021</v>
      </c>
      <c r="B393" t="str">
        <f>"048090"</f>
        <v>048090</v>
      </c>
      <c r="C393" t="s">
        <v>444</v>
      </c>
      <c r="D393" t="s">
        <v>62</v>
      </c>
      <c r="E393" s="9">
        <v>31</v>
      </c>
    </row>
    <row r="394" spans="1:5" x14ac:dyDescent="0.2">
      <c r="A394" s="3">
        <v>2021</v>
      </c>
      <c r="B394" t="str">
        <f>"048116"</f>
        <v>048116</v>
      </c>
      <c r="C394" t="s">
        <v>45</v>
      </c>
      <c r="D394" t="s">
        <v>21</v>
      </c>
      <c r="E394" s="9">
        <v>87</v>
      </c>
    </row>
    <row r="395" spans="1:5" x14ac:dyDescent="0.2">
      <c r="A395" s="3">
        <v>2021</v>
      </c>
      <c r="B395" t="str">
        <f>"048124"</f>
        <v>048124</v>
      </c>
      <c r="C395" t="s">
        <v>44</v>
      </c>
      <c r="D395" t="s">
        <v>21</v>
      </c>
      <c r="E395" s="9">
        <v>39</v>
      </c>
    </row>
    <row r="396" spans="1:5" x14ac:dyDescent="0.2">
      <c r="A396" s="3">
        <v>2021</v>
      </c>
      <c r="B396" t="str">
        <f>"048132"</f>
        <v>048132</v>
      </c>
      <c r="C396" t="s">
        <v>141</v>
      </c>
      <c r="D396" t="s">
        <v>21</v>
      </c>
      <c r="E396" s="9">
        <v>18</v>
      </c>
    </row>
    <row r="397" spans="1:5" x14ac:dyDescent="0.2">
      <c r="A397" s="3">
        <v>2021</v>
      </c>
      <c r="B397" t="str">
        <f>"048140"</f>
        <v>048140</v>
      </c>
      <c r="C397" t="s">
        <v>150</v>
      </c>
      <c r="D397" t="s">
        <v>21</v>
      </c>
      <c r="E397" s="9">
        <v>32</v>
      </c>
    </row>
    <row r="398" spans="1:5" x14ac:dyDescent="0.2">
      <c r="A398" s="3">
        <v>2021</v>
      </c>
      <c r="B398" t="str">
        <f>"048157"</f>
        <v>048157</v>
      </c>
      <c r="C398" t="s">
        <v>220</v>
      </c>
      <c r="D398" t="s">
        <v>21</v>
      </c>
      <c r="E398" s="9">
        <v>58</v>
      </c>
    </row>
    <row r="399" spans="1:5" x14ac:dyDescent="0.2">
      <c r="A399" s="3">
        <v>2021</v>
      </c>
      <c r="B399" t="str">
        <f>"048165"</f>
        <v>048165</v>
      </c>
      <c r="C399" t="s">
        <v>291</v>
      </c>
      <c r="D399" t="s">
        <v>21</v>
      </c>
      <c r="E399" s="9">
        <v>59</v>
      </c>
    </row>
    <row r="400" spans="1:5" x14ac:dyDescent="0.2">
      <c r="A400" s="3">
        <v>2021</v>
      </c>
      <c r="B400" t="str">
        <f>"048207"</f>
        <v>048207</v>
      </c>
      <c r="C400" t="s">
        <v>26</v>
      </c>
      <c r="D400" t="s">
        <v>27</v>
      </c>
      <c r="E400" s="9">
        <v>187</v>
      </c>
    </row>
    <row r="401" spans="1:5" x14ac:dyDescent="0.2">
      <c r="A401" s="3">
        <v>2021</v>
      </c>
      <c r="B401" t="str">
        <f>"048215"</f>
        <v>048215</v>
      </c>
      <c r="C401" t="s">
        <v>410</v>
      </c>
      <c r="D401" t="s">
        <v>27</v>
      </c>
      <c r="E401" s="9">
        <v>16</v>
      </c>
    </row>
    <row r="402" spans="1:5" x14ac:dyDescent="0.2">
      <c r="A402" s="3">
        <v>2021</v>
      </c>
      <c r="B402" t="str">
        <f>"048223"</f>
        <v>048223</v>
      </c>
      <c r="C402" t="s">
        <v>475</v>
      </c>
      <c r="D402" t="s">
        <v>27</v>
      </c>
      <c r="E402" s="9">
        <v>124</v>
      </c>
    </row>
    <row r="403" spans="1:5" x14ac:dyDescent="0.2">
      <c r="A403" s="3">
        <v>2021</v>
      </c>
      <c r="B403" t="str">
        <f>"048231"</f>
        <v>048231</v>
      </c>
      <c r="C403" t="s">
        <v>686</v>
      </c>
      <c r="D403" t="s">
        <v>27</v>
      </c>
      <c r="E403" s="9">
        <v>0</v>
      </c>
    </row>
    <row r="404" spans="1:5" x14ac:dyDescent="0.2">
      <c r="A404" s="3">
        <v>2021</v>
      </c>
      <c r="B404" t="str">
        <f>"048256"</f>
        <v>048256</v>
      </c>
      <c r="C404" t="s">
        <v>687</v>
      </c>
      <c r="D404" t="s">
        <v>283</v>
      </c>
      <c r="E404" s="11" t="s">
        <v>701</v>
      </c>
    </row>
    <row r="405" spans="1:5" x14ac:dyDescent="0.2">
      <c r="A405" s="3">
        <v>2021</v>
      </c>
      <c r="B405" t="str">
        <f>"048264"</f>
        <v>048264</v>
      </c>
      <c r="C405" t="s">
        <v>286</v>
      </c>
      <c r="D405" t="s">
        <v>283</v>
      </c>
      <c r="E405" s="9">
        <v>174</v>
      </c>
    </row>
    <row r="406" spans="1:5" x14ac:dyDescent="0.2">
      <c r="A406" s="3">
        <v>2021</v>
      </c>
      <c r="B406" t="str">
        <f>"048272"</f>
        <v>048272</v>
      </c>
      <c r="C406" t="s">
        <v>324</v>
      </c>
      <c r="D406" t="s">
        <v>283</v>
      </c>
      <c r="E406" s="9">
        <v>72</v>
      </c>
    </row>
    <row r="407" spans="1:5" x14ac:dyDescent="0.2">
      <c r="A407" s="3">
        <v>2021</v>
      </c>
      <c r="B407" t="str">
        <f>"048298"</f>
        <v>048298</v>
      </c>
      <c r="C407" t="s">
        <v>42</v>
      </c>
      <c r="D407" t="s">
        <v>43</v>
      </c>
      <c r="E407" s="9">
        <v>69</v>
      </c>
    </row>
    <row r="408" spans="1:5" x14ac:dyDescent="0.2">
      <c r="A408" s="3">
        <v>2021</v>
      </c>
      <c r="B408" t="str">
        <f>"048306"</f>
        <v>048306</v>
      </c>
      <c r="C408" t="s">
        <v>84</v>
      </c>
      <c r="D408" t="s">
        <v>43</v>
      </c>
      <c r="E408" s="9">
        <v>78</v>
      </c>
    </row>
    <row r="409" spans="1:5" x14ac:dyDescent="0.2">
      <c r="A409" s="3">
        <v>2021</v>
      </c>
      <c r="B409" t="str">
        <f>"048314"</f>
        <v>048314</v>
      </c>
      <c r="C409" t="s">
        <v>112</v>
      </c>
      <c r="D409" t="s">
        <v>43</v>
      </c>
      <c r="E409" s="9">
        <v>65</v>
      </c>
    </row>
    <row r="410" spans="1:5" x14ac:dyDescent="0.2">
      <c r="A410" s="3">
        <v>2021</v>
      </c>
      <c r="B410" t="str">
        <f>"048322"</f>
        <v>048322</v>
      </c>
      <c r="C410" t="s">
        <v>280</v>
      </c>
      <c r="D410" t="s">
        <v>43</v>
      </c>
      <c r="E410" s="9">
        <v>15</v>
      </c>
    </row>
    <row r="411" spans="1:5" x14ac:dyDescent="0.2">
      <c r="A411" s="3">
        <v>2021</v>
      </c>
      <c r="B411" t="str">
        <f>"048330"</f>
        <v>048330</v>
      </c>
      <c r="C411" t="s">
        <v>318</v>
      </c>
      <c r="D411" t="s">
        <v>43</v>
      </c>
      <c r="E411" s="11" t="s">
        <v>576</v>
      </c>
    </row>
    <row r="412" spans="1:5" x14ac:dyDescent="0.2">
      <c r="A412" s="3">
        <v>2021</v>
      </c>
      <c r="B412" t="str">
        <f>"048348"</f>
        <v>048348</v>
      </c>
      <c r="C412" t="s">
        <v>428</v>
      </c>
      <c r="D412" t="s">
        <v>43</v>
      </c>
      <c r="E412" s="9">
        <v>54</v>
      </c>
    </row>
    <row r="413" spans="1:5" x14ac:dyDescent="0.2">
      <c r="A413" s="3">
        <v>2021</v>
      </c>
      <c r="B413" t="str">
        <f>"048355"</f>
        <v>048355</v>
      </c>
      <c r="C413" t="s">
        <v>456</v>
      </c>
      <c r="D413" t="s">
        <v>43</v>
      </c>
      <c r="E413" s="11" t="s">
        <v>576</v>
      </c>
    </row>
    <row r="414" spans="1:5" x14ac:dyDescent="0.2">
      <c r="A414" s="3">
        <v>2021</v>
      </c>
      <c r="B414" t="str">
        <f>"048363"</f>
        <v>048363</v>
      </c>
      <c r="C414" t="s">
        <v>466</v>
      </c>
      <c r="D414" t="s">
        <v>43</v>
      </c>
      <c r="E414" s="9">
        <v>48</v>
      </c>
    </row>
    <row r="415" spans="1:5" x14ac:dyDescent="0.2">
      <c r="A415" s="3">
        <v>2021</v>
      </c>
      <c r="B415" t="str">
        <f>"048371"</f>
        <v>048371</v>
      </c>
      <c r="C415" t="s">
        <v>475</v>
      </c>
      <c r="D415" t="s">
        <v>43</v>
      </c>
      <c r="E415" s="9">
        <v>18</v>
      </c>
    </row>
    <row r="416" spans="1:5" x14ac:dyDescent="0.2">
      <c r="A416" s="3">
        <v>2021</v>
      </c>
      <c r="B416" t="str">
        <f>"048389"</f>
        <v>048389</v>
      </c>
      <c r="C416" t="s">
        <v>533</v>
      </c>
      <c r="D416" t="s">
        <v>43</v>
      </c>
      <c r="E416" s="9">
        <v>97</v>
      </c>
    </row>
    <row r="417" spans="1:5" x14ac:dyDescent="0.2">
      <c r="A417" s="3">
        <v>2021</v>
      </c>
      <c r="B417" t="str">
        <f>"048397"</f>
        <v>048397</v>
      </c>
      <c r="C417" t="s">
        <v>540</v>
      </c>
      <c r="D417" t="s">
        <v>43</v>
      </c>
      <c r="E417" s="11" t="s">
        <v>576</v>
      </c>
    </row>
    <row r="418" spans="1:5" x14ac:dyDescent="0.2">
      <c r="A418" s="3">
        <v>2021</v>
      </c>
      <c r="B418" t="str">
        <f>"048413"</f>
        <v>048413</v>
      </c>
      <c r="C418" t="s">
        <v>202</v>
      </c>
      <c r="D418" t="s">
        <v>203</v>
      </c>
      <c r="E418" s="9">
        <v>0</v>
      </c>
    </row>
    <row r="419" spans="1:5" x14ac:dyDescent="0.2">
      <c r="A419" s="3">
        <v>2021</v>
      </c>
      <c r="B419" t="str">
        <f>"048421"</f>
        <v>048421</v>
      </c>
      <c r="C419" t="s">
        <v>427</v>
      </c>
      <c r="D419" t="s">
        <v>203</v>
      </c>
      <c r="E419" s="9">
        <v>28</v>
      </c>
    </row>
    <row r="420" spans="1:5" x14ac:dyDescent="0.2">
      <c r="A420" s="3">
        <v>2021</v>
      </c>
      <c r="B420" t="str">
        <f>"048439"</f>
        <v>048439</v>
      </c>
      <c r="C420" t="s">
        <v>688</v>
      </c>
      <c r="D420" t="s">
        <v>203</v>
      </c>
      <c r="E420" s="9">
        <v>12</v>
      </c>
    </row>
    <row r="421" spans="1:5" x14ac:dyDescent="0.2">
      <c r="A421" s="3">
        <v>2021</v>
      </c>
      <c r="B421" t="str">
        <f>"048447"</f>
        <v>048447</v>
      </c>
      <c r="C421" t="s">
        <v>441</v>
      </c>
      <c r="D421" t="s">
        <v>203</v>
      </c>
      <c r="E421" s="9">
        <v>0</v>
      </c>
    </row>
    <row r="422" spans="1:5" x14ac:dyDescent="0.2">
      <c r="A422" s="3">
        <v>2021</v>
      </c>
      <c r="B422" t="str">
        <f>"048462"</f>
        <v>048462</v>
      </c>
      <c r="C422" t="s">
        <v>76</v>
      </c>
      <c r="D422" t="s">
        <v>77</v>
      </c>
      <c r="E422" s="9">
        <v>119</v>
      </c>
    </row>
    <row r="423" spans="1:5" x14ac:dyDescent="0.2">
      <c r="A423" s="3">
        <v>2021</v>
      </c>
      <c r="B423" t="str">
        <f>"048488"</f>
        <v>048488</v>
      </c>
      <c r="C423" t="s">
        <v>577</v>
      </c>
      <c r="D423" t="s">
        <v>77</v>
      </c>
      <c r="E423" s="9">
        <v>130</v>
      </c>
    </row>
    <row r="424" spans="1:5" x14ac:dyDescent="0.2">
      <c r="A424" s="3">
        <v>2021</v>
      </c>
      <c r="B424" t="str">
        <f>"048496"</f>
        <v>048496</v>
      </c>
      <c r="C424" t="s">
        <v>262</v>
      </c>
      <c r="D424" t="s">
        <v>77</v>
      </c>
      <c r="E424" s="9">
        <v>187</v>
      </c>
    </row>
    <row r="425" spans="1:5" x14ac:dyDescent="0.2">
      <c r="A425" s="3">
        <v>2021</v>
      </c>
      <c r="B425" t="str">
        <f>"048512"</f>
        <v>048512</v>
      </c>
      <c r="C425" t="s">
        <v>188</v>
      </c>
      <c r="D425" t="s">
        <v>189</v>
      </c>
      <c r="E425" s="9">
        <v>32</v>
      </c>
    </row>
    <row r="426" spans="1:5" x14ac:dyDescent="0.2">
      <c r="A426" s="3">
        <v>2021</v>
      </c>
      <c r="B426" t="str">
        <f>"048520"</f>
        <v>048520</v>
      </c>
      <c r="C426" t="s">
        <v>343</v>
      </c>
      <c r="D426" t="s">
        <v>189</v>
      </c>
      <c r="E426" s="9">
        <v>85</v>
      </c>
    </row>
    <row r="427" spans="1:5" x14ac:dyDescent="0.2">
      <c r="A427" s="3">
        <v>2021</v>
      </c>
      <c r="B427" t="str">
        <f>"048538"</f>
        <v>048538</v>
      </c>
      <c r="C427" t="s">
        <v>469</v>
      </c>
      <c r="D427" t="s">
        <v>189</v>
      </c>
      <c r="E427" s="9">
        <v>25</v>
      </c>
    </row>
    <row r="428" spans="1:5" x14ac:dyDescent="0.2">
      <c r="A428" s="3">
        <v>2021</v>
      </c>
      <c r="B428" t="str">
        <f>"048553"</f>
        <v>048553</v>
      </c>
      <c r="C428" t="s">
        <v>592</v>
      </c>
      <c r="D428" t="s">
        <v>123</v>
      </c>
      <c r="E428" s="9">
        <v>18</v>
      </c>
    </row>
    <row r="429" spans="1:5" x14ac:dyDescent="0.2">
      <c r="A429" s="3">
        <v>2021</v>
      </c>
      <c r="B429" t="str">
        <f>"048579"</f>
        <v>048579</v>
      </c>
      <c r="C429" t="s">
        <v>415</v>
      </c>
      <c r="D429" t="s">
        <v>123</v>
      </c>
      <c r="E429" s="9">
        <v>46</v>
      </c>
    </row>
    <row r="430" spans="1:5" x14ac:dyDescent="0.2">
      <c r="A430" s="3">
        <v>2021</v>
      </c>
      <c r="B430" t="str">
        <f>"048587"</f>
        <v>048587</v>
      </c>
      <c r="C430" t="s">
        <v>478</v>
      </c>
      <c r="D430" t="s">
        <v>123</v>
      </c>
      <c r="E430" s="9">
        <v>16</v>
      </c>
    </row>
    <row r="431" spans="1:5" x14ac:dyDescent="0.2">
      <c r="A431" s="3">
        <v>2021</v>
      </c>
      <c r="B431" t="str">
        <f>"048595"</f>
        <v>048595</v>
      </c>
      <c r="C431" t="s">
        <v>224</v>
      </c>
      <c r="D431" t="s">
        <v>123</v>
      </c>
      <c r="E431" s="9">
        <v>35</v>
      </c>
    </row>
    <row r="432" spans="1:5" x14ac:dyDescent="0.2">
      <c r="A432" s="3">
        <v>2021</v>
      </c>
      <c r="B432" t="str">
        <f>"048611"</f>
        <v>048611</v>
      </c>
      <c r="C432" t="s">
        <v>70</v>
      </c>
      <c r="D432" t="s">
        <v>71</v>
      </c>
      <c r="E432" s="9">
        <v>63</v>
      </c>
    </row>
    <row r="433" spans="1:5" x14ac:dyDescent="0.2">
      <c r="A433" s="3">
        <v>2021</v>
      </c>
      <c r="B433" t="str">
        <f>"048629"</f>
        <v>048629</v>
      </c>
      <c r="C433" t="s">
        <v>617</v>
      </c>
      <c r="D433" t="s">
        <v>71</v>
      </c>
      <c r="E433" s="9">
        <v>121</v>
      </c>
    </row>
    <row r="434" spans="1:5" x14ac:dyDescent="0.2">
      <c r="A434" s="3">
        <v>2021</v>
      </c>
      <c r="B434" t="str">
        <f>"048637"</f>
        <v>048637</v>
      </c>
      <c r="C434" t="s">
        <v>379</v>
      </c>
      <c r="D434" t="s">
        <v>71</v>
      </c>
      <c r="E434" s="9">
        <v>106</v>
      </c>
    </row>
    <row r="435" spans="1:5" x14ac:dyDescent="0.2">
      <c r="A435" s="3">
        <v>2021</v>
      </c>
      <c r="B435" t="str">
        <f>"048652"</f>
        <v>048652</v>
      </c>
      <c r="C435" t="s">
        <v>487</v>
      </c>
      <c r="D435" t="s">
        <v>488</v>
      </c>
      <c r="E435" s="9">
        <v>79</v>
      </c>
    </row>
    <row r="436" spans="1:5" x14ac:dyDescent="0.2">
      <c r="A436" s="3">
        <v>2021</v>
      </c>
      <c r="B436" t="str">
        <f>"048678"</f>
        <v>048678</v>
      </c>
      <c r="C436" t="s">
        <v>93</v>
      </c>
      <c r="D436" t="s">
        <v>94</v>
      </c>
      <c r="E436" s="9">
        <v>107</v>
      </c>
    </row>
    <row r="437" spans="1:5" x14ac:dyDescent="0.2">
      <c r="A437" s="3">
        <v>2021</v>
      </c>
      <c r="B437" t="str">
        <f>"048686"</f>
        <v>048686</v>
      </c>
      <c r="C437" t="s">
        <v>647</v>
      </c>
      <c r="D437" t="s">
        <v>94</v>
      </c>
      <c r="E437" s="9">
        <v>14</v>
      </c>
    </row>
    <row r="438" spans="1:5" x14ac:dyDescent="0.2">
      <c r="A438" s="3">
        <v>2021</v>
      </c>
      <c r="B438" t="str">
        <f>"048694"</f>
        <v>048694</v>
      </c>
      <c r="C438" t="s">
        <v>500</v>
      </c>
      <c r="D438" t="s">
        <v>94</v>
      </c>
      <c r="E438" s="9">
        <v>44</v>
      </c>
    </row>
    <row r="439" spans="1:5" x14ac:dyDescent="0.2">
      <c r="A439" s="3">
        <v>2021</v>
      </c>
      <c r="B439" t="str">
        <f>"048702"</f>
        <v>048702</v>
      </c>
      <c r="C439" t="s">
        <v>321</v>
      </c>
      <c r="D439" t="s">
        <v>94</v>
      </c>
      <c r="E439" s="9">
        <v>127</v>
      </c>
    </row>
    <row r="440" spans="1:5" x14ac:dyDescent="0.2">
      <c r="A440" s="3">
        <v>2021</v>
      </c>
      <c r="B440" t="str">
        <f>"048710"</f>
        <v>048710</v>
      </c>
      <c r="C440" t="s">
        <v>593</v>
      </c>
      <c r="D440" t="s">
        <v>94</v>
      </c>
      <c r="E440" s="9">
        <v>58</v>
      </c>
    </row>
    <row r="441" spans="1:5" x14ac:dyDescent="0.2">
      <c r="A441" s="3">
        <v>2021</v>
      </c>
      <c r="B441" t="str">
        <f>"048728"</f>
        <v>048728</v>
      </c>
      <c r="C441" t="s">
        <v>392</v>
      </c>
      <c r="D441" t="s">
        <v>94</v>
      </c>
      <c r="E441" s="9">
        <v>217</v>
      </c>
    </row>
    <row r="442" spans="1:5" x14ac:dyDescent="0.2">
      <c r="A442" s="3">
        <v>2021</v>
      </c>
      <c r="B442" t="str">
        <f>"048736"</f>
        <v>048736</v>
      </c>
      <c r="C442" t="s">
        <v>394</v>
      </c>
      <c r="D442" t="s">
        <v>94</v>
      </c>
      <c r="E442" s="11" t="s">
        <v>701</v>
      </c>
    </row>
    <row r="443" spans="1:5" x14ac:dyDescent="0.2">
      <c r="A443" s="3">
        <v>2021</v>
      </c>
      <c r="B443" t="str">
        <f>"048744"</f>
        <v>048744</v>
      </c>
      <c r="C443" t="s">
        <v>689</v>
      </c>
      <c r="D443" t="s">
        <v>94</v>
      </c>
      <c r="E443" s="11" t="s">
        <v>701</v>
      </c>
    </row>
    <row r="444" spans="1:5" x14ac:dyDescent="0.2">
      <c r="A444" s="3">
        <v>2021</v>
      </c>
      <c r="B444" t="str">
        <f>"048751"</f>
        <v>048751</v>
      </c>
      <c r="C444" t="s">
        <v>690</v>
      </c>
      <c r="D444" t="s">
        <v>94</v>
      </c>
      <c r="E444" s="11" t="s">
        <v>701</v>
      </c>
    </row>
    <row r="445" spans="1:5" x14ac:dyDescent="0.2">
      <c r="A445" s="3">
        <v>2021</v>
      </c>
      <c r="B445" t="str">
        <f>"048777"</f>
        <v>048777</v>
      </c>
      <c r="C445" t="s">
        <v>362</v>
      </c>
      <c r="D445" t="s">
        <v>363</v>
      </c>
      <c r="E445" s="9">
        <v>163</v>
      </c>
    </row>
    <row r="446" spans="1:5" x14ac:dyDescent="0.2">
      <c r="A446" s="3">
        <v>2021</v>
      </c>
      <c r="B446" t="str">
        <f>"048793"</f>
        <v>048793</v>
      </c>
      <c r="C446" t="s">
        <v>116</v>
      </c>
      <c r="D446" t="s">
        <v>117</v>
      </c>
      <c r="E446" s="9">
        <v>68</v>
      </c>
    </row>
    <row r="447" spans="1:5" x14ac:dyDescent="0.2">
      <c r="A447" s="3">
        <v>2021</v>
      </c>
      <c r="B447" t="str">
        <f>"048801"</f>
        <v>048801</v>
      </c>
      <c r="C447" t="s">
        <v>262</v>
      </c>
      <c r="D447" t="s">
        <v>117</v>
      </c>
      <c r="E447" s="9">
        <v>115</v>
      </c>
    </row>
    <row r="448" spans="1:5" x14ac:dyDescent="0.2">
      <c r="A448" s="3">
        <v>2021</v>
      </c>
      <c r="B448" t="str">
        <f>"048819"</f>
        <v>048819</v>
      </c>
      <c r="C448" t="s">
        <v>393</v>
      </c>
      <c r="D448" t="s">
        <v>117</v>
      </c>
      <c r="E448" s="9">
        <v>37</v>
      </c>
    </row>
    <row r="449" spans="1:5" x14ac:dyDescent="0.2">
      <c r="A449" s="3">
        <v>2021</v>
      </c>
      <c r="B449" t="str">
        <f>"048835"</f>
        <v>048835</v>
      </c>
      <c r="C449" t="s">
        <v>691</v>
      </c>
      <c r="D449" t="s">
        <v>186</v>
      </c>
      <c r="E449" s="11" t="s">
        <v>701</v>
      </c>
    </row>
    <row r="450" spans="1:5" x14ac:dyDescent="0.2">
      <c r="A450" s="3">
        <v>2021</v>
      </c>
      <c r="B450" t="str">
        <f>"048843"</f>
        <v>048843</v>
      </c>
      <c r="C450" t="s">
        <v>692</v>
      </c>
      <c r="D450" t="s">
        <v>186</v>
      </c>
      <c r="E450" s="9">
        <v>70</v>
      </c>
    </row>
    <row r="451" spans="1:5" x14ac:dyDescent="0.2">
      <c r="A451" s="3">
        <v>2021</v>
      </c>
      <c r="B451" t="str">
        <f>"048850"</f>
        <v>048850</v>
      </c>
      <c r="C451" t="s">
        <v>338</v>
      </c>
      <c r="D451" t="s">
        <v>186</v>
      </c>
      <c r="E451" s="9">
        <v>50</v>
      </c>
    </row>
    <row r="452" spans="1:5" x14ac:dyDescent="0.2">
      <c r="A452" s="3">
        <v>2021</v>
      </c>
      <c r="B452" t="str">
        <f>"048876"</f>
        <v>048876</v>
      </c>
      <c r="C452" t="s">
        <v>693</v>
      </c>
      <c r="D452" t="s">
        <v>186</v>
      </c>
      <c r="E452" s="9">
        <v>19</v>
      </c>
    </row>
    <row r="453" spans="1:5" x14ac:dyDescent="0.2">
      <c r="A453" s="3">
        <v>2021</v>
      </c>
      <c r="B453" t="str">
        <f>"048884"</f>
        <v>048884</v>
      </c>
      <c r="C453" t="s">
        <v>582</v>
      </c>
      <c r="D453" t="s">
        <v>186</v>
      </c>
      <c r="E453" s="9">
        <v>83</v>
      </c>
    </row>
    <row r="454" spans="1:5" x14ac:dyDescent="0.2">
      <c r="A454" s="3">
        <v>2021</v>
      </c>
      <c r="B454" t="str">
        <f>"048900"</f>
        <v>048900</v>
      </c>
      <c r="C454" t="s">
        <v>381</v>
      </c>
      <c r="D454" t="s">
        <v>107</v>
      </c>
      <c r="E454" s="9">
        <v>28</v>
      </c>
    </row>
    <row r="455" spans="1:5" x14ac:dyDescent="0.2">
      <c r="A455" s="3">
        <v>2021</v>
      </c>
      <c r="B455" t="str">
        <f>"048926"</f>
        <v>048926</v>
      </c>
      <c r="C455" t="s">
        <v>648</v>
      </c>
      <c r="D455" t="s">
        <v>171</v>
      </c>
      <c r="E455" s="9">
        <v>11</v>
      </c>
    </row>
    <row r="456" spans="1:5" x14ac:dyDescent="0.2">
      <c r="A456" s="3">
        <v>2021</v>
      </c>
      <c r="B456" t="str">
        <f>"048934"</f>
        <v>048934</v>
      </c>
      <c r="C456" t="s">
        <v>170</v>
      </c>
      <c r="D456" t="s">
        <v>171</v>
      </c>
      <c r="E456" s="11" t="s">
        <v>576</v>
      </c>
    </row>
    <row r="457" spans="1:5" x14ac:dyDescent="0.2">
      <c r="A457" s="3">
        <v>2021</v>
      </c>
      <c r="B457" t="str">
        <f>"048942"</f>
        <v>048942</v>
      </c>
      <c r="C457" t="s">
        <v>618</v>
      </c>
      <c r="D457" t="s">
        <v>171</v>
      </c>
      <c r="E457" s="9">
        <v>22</v>
      </c>
    </row>
    <row r="458" spans="1:5" x14ac:dyDescent="0.2">
      <c r="A458" s="3">
        <v>2021</v>
      </c>
      <c r="B458" t="str">
        <f>"048959"</f>
        <v>048959</v>
      </c>
      <c r="C458" t="s">
        <v>649</v>
      </c>
      <c r="D458" t="s">
        <v>171</v>
      </c>
      <c r="E458" s="9">
        <v>0</v>
      </c>
    </row>
    <row r="459" spans="1:5" x14ac:dyDescent="0.2">
      <c r="A459" s="3">
        <v>2021</v>
      </c>
      <c r="B459" t="str">
        <f>"048967"</f>
        <v>048967</v>
      </c>
      <c r="C459" t="s">
        <v>694</v>
      </c>
      <c r="D459" t="s">
        <v>171</v>
      </c>
      <c r="E459" s="11" t="s">
        <v>701</v>
      </c>
    </row>
    <row r="460" spans="1:5" x14ac:dyDescent="0.2">
      <c r="A460" s="3">
        <v>2021</v>
      </c>
      <c r="B460" t="str">
        <f>"048975"</f>
        <v>048975</v>
      </c>
      <c r="C460" t="s">
        <v>432</v>
      </c>
      <c r="D460" t="s">
        <v>171</v>
      </c>
      <c r="E460" s="9">
        <v>0</v>
      </c>
    </row>
    <row r="461" spans="1:5" x14ac:dyDescent="0.2">
      <c r="A461" s="3">
        <v>2021</v>
      </c>
      <c r="B461" t="str">
        <f>"048991"</f>
        <v>048991</v>
      </c>
      <c r="C461" t="s">
        <v>28</v>
      </c>
      <c r="D461" t="s">
        <v>29</v>
      </c>
      <c r="E461" s="9">
        <v>31</v>
      </c>
    </row>
    <row r="462" spans="1:5" x14ac:dyDescent="0.2">
      <c r="A462" s="3">
        <v>2021</v>
      </c>
      <c r="B462" t="str">
        <f>"049031"</f>
        <v>049031</v>
      </c>
      <c r="C462" t="s">
        <v>529</v>
      </c>
      <c r="D462" t="s">
        <v>29</v>
      </c>
      <c r="E462" s="9">
        <v>54</v>
      </c>
    </row>
    <row r="463" spans="1:5" x14ac:dyDescent="0.2">
      <c r="A463" s="3">
        <v>2021</v>
      </c>
      <c r="B463" t="str">
        <f>"049056"</f>
        <v>049056</v>
      </c>
      <c r="C463" t="s">
        <v>391</v>
      </c>
      <c r="D463" t="s">
        <v>167</v>
      </c>
      <c r="E463" s="9">
        <v>158</v>
      </c>
    </row>
    <row r="464" spans="1:5" x14ac:dyDescent="0.2">
      <c r="A464" s="3">
        <v>2021</v>
      </c>
      <c r="B464" t="str">
        <f>"049064"</f>
        <v>049064</v>
      </c>
      <c r="C464" t="s">
        <v>469</v>
      </c>
      <c r="D464" t="s">
        <v>167</v>
      </c>
      <c r="E464" s="9">
        <v>32</v>
      </c>
    </row>
    <row r="465" spans="1:5" x14ac:dyDescent="0.2">
      <c r="A465" s="3">
        <v>2021</v>
      </c>
      <c r="B465" t="str">
        <f>"049080"</f>
        <v>049080</v>
      </c>
      <c r="C465" t="s">
        <v>310</v>
      </c>
      <c r="D465" t="s">
        <v>134</v>
      </c>
      <c r="E465" s="9">
        <v>127</v>
      </c>
    </row>
    <row r="466" spans="1:5" x14ac:dyDescent="0.2">
      <c r="A466" s="3">
        <v>2021</v>
      </c>
      <c r="B466" t="str">
        <f>"049098"</f>
        <v>049098</v>
      </c>
      <c r="C466" t="s">
        <v>491</v>
      </c>
      <c r="D466" t="s">
        <v>134</v>
      </c>
      <c r="E466" s="9">
        <v>196</v>
      </c>
    </row>
    <row r="467" spans="1:5" x14ac:dyDescent="0.2">
      <c r="A467" s="3">
        <v>2021</v>
      </c>
      <c r="B467" t="str">
        <f>"049106"</f>
        <v>049106</v>
      </c>
      <c r="C467" t="s">
        <v>542</v>
      </c>
      <c r="D467" t="s">
        <v>134</v>
      </c>
      <c r="E467" s="9">
        <v>79</v>
      </c>
    </row>
    <row r="468" spans="1:5" x14ac:dyDescent="0.2">
      <c r="A468" s="3">
        <v>2021</v>
      </c>
      <c r="B468" t="str">
        <f>"049122"</f>
        <v>049122</v>
      </c>
      <c r="C468" t="s">
        <v>589</v>
      </c>
      <c r="D468" t="s">
        <v>191</v>
      </c>
      <c r="E468" s="11" t="s">
        <v>701</v>
      </c>
    </row>
    <row r="469" spans="1:5" x14ac:dyDescent="0.2">
      <c r="A469" s="3">
        <v>2021</v>
      </c>
      <c r="B469" t="str">
        <f>"049130"</f>
        <v>049130</v>
      </c>
      <c r="C469" t="s">
        <v>455</v>
      </c>
      <c r="D469" t="s">
        <v>191</v>
      </c>
      <c r="E469" s="9">
        <v>28</v>
      </c>
    </row>
    <row r="470" spans="1:5" x14ac:dyDescent="0.2">
      <c r="A470" s="3">
        <v>2021</v>
      </c>
      <c r="B470" t="str">
        <f>"049148"</f>
        <v>049148</v>
      </c>
      <c r="C470" t="s">
        <v>650</v>
      </c>
      <c r="D470" t="s">
        <v>191</v>
      </c>
      <c r="E470" s="9">
        <v>25</v>
      </c>
    </row>
    <row r="471" spans="1:5" x14ac:dyDescent="0.2">
      <c r="A471" s="3">
        <v>2021</v>
      </c>
      <c r="B471" t="str">
        <f>"049155"</f>
        <v>049155</v>
      </c>
      <c r="C471" t="s">
        <v>619</v>
      </c>
      <c r="D471" t="s">
        <v>191</v>
      </c>
      <c r="E471" s="9">
        <v>10</v>
      </c>
    </row>
    <row r="472" spans="1:5" x14ac:dyDescent="0.2">
      <c r="A472" s="3">
        <v>2021</v>
      </c>
      <c r="B472" t="str">
        <f>"049171"</f>
        <v>049171</v>
      </c>
      <c r="C472" t="s">
        <v>40</v>
      </c>
      <c r="D472" t="s">
        <v>41</v>
      </c>
      <c r="E472" s="9">
        <v>34</v>
      </c>
    </row>
    <row r="473" spans="1:5" x14ac:dyDescent="0.2">
      <c r="A473" s="3">
        <v>2021</v>
      </c>
      <c r="B473" t="str">
        <f>"049189"</f>
        <v>049189</v>
      </c>
      <c r="C473" t="s">
        <v>165</v>
      </c>
      <c r="D473" t="s">
        <v>41</v>
      </c>
      <c r="E473" s="9">
        <v>53</v>
      </c>
    </row>
    <row r="474" spans="1:5" x14ac:dyDescent="0.2">
      <c r="A474" s="3">
        <v>2021</v>
      </c>
      <c r="B474" t="str">
        <f>"049197"</f>
        <v>049197</v>
      </c>
      <c r="C474" t="s">
        <v>217</v>
      </c>
      <c r="D474" t="s">
        <v>41</v>
      </c>
      <c r="E474" s="9">
        <v>99</v>
      </c>
    </row>
    <row r="475" spans="1:5" x14ac:dyDescent="0.2">
      <c r="A475" s="3">
        <v>2021</v>
      </c>
      <c r="B475" t="str">
        <f>"049205"</f>
        <v>049205</v>
      </c>
      <c r="C475" t="s">
        <v>281</v>
      </c>
      <c r="D475" t="s">
        <v>41</v>
      </c>
      <c r="E475" s="9">
        <v>68</v>
      </c>
    </row>
    <row r="476" spans="1:5" x14ac:dyDescent="0.2">
      <c r="A476" s="3">
        <v>2021</v>
      </c>
      <c r="B476" t="str">
        <f>"049213"</f>
        <v>049213</v>
      </c>
      <c r="C476" t="s">
        <v>448</v>
      </c>
      <c r="D476" t="s">
        <v>41</v>
      </c>
      <c r="E476" s="9">
        <v>22</v>
      </c>
    </row>
    <row r="477" spans="1:5" x14ac:dyDescent="0.2">
      <c r="A477" s="3">
        <v>2021</v>
      </c>
      <c r="B477" t="str">
        <f>"049221"</f>
        <v>049221</v>
      </c>
      <c r="C477" t="s">
        <v>467</v>
      </c>
      <c r="D477" t="s">
        <v>41</v>
      </c>
      <c r="E477" s="9">
        <v>65</v>
      </c>
    </row>
    <row r="478" spans="1:5" x14ac:dyDescent="0.2">
      <c r="A478" s="3">
        <v>2021</v>
      </c>
      <c r="B478" t="str">
        <f>"049239"</f>
        <v>049239</v>
      </c>
      <c r="C478" t="s">
        <v>483</v>
      </c>
      <c r="D478" t="s">
        <v>41</v>
      </c>
      <c r="E478" s="9">
        <v>37</v>
      </c>
    </row>
    <row r="479" spans="1:5" x14ac:dyDescent="0.2">
      <c r="A479" s="3">
        <v>2021</v>
      </c>
      <c r="B479" t="str">
        <f>"049247"</f>
        <v>049247</v>
      </c>
      <c r="C479" t="s">
        <v>526</v>
      </c>
      <c r="D479" t="s">
        <v>41</v>
      </c>
      <c r="E479" s="9">
        <v>87</v>
      </c>
    </row>
    <row r="480" spans="1:5" x14ac:dyDescent="0.2">
      <c r="A480" s="3">
        <v>2021</v>
      </c>
      <c r="B480" t="str">
        <f>"049270"</f>
        <v>049270</v>
      </c>
      <c r="C480" t="s">
        <v>367</v>
      </c>
      <c r="D480" t="s">
        <v>194</v>
      </c>
      <c r="E480" s="9">
        <v>76</v>
      </c>
    </row>
    <row r="481" spans="1:5" x14ac:dyDescent="0.2">
      <c r="A481" s="3">
        <v>2021</v>
      </c>
      <c r="B481" t="str">
        <f>"049288"</f>
        <v>049288</v>
      </c>
      <c r="C481" t="s">
        <v>431</v>
      </c>
      <c r="D481" t="s">
        <v>194</v>
      </c>
      <c r="E481" s="9">
        <v>94</v>
      </c>
    </row>
    <row r="482" spans="1:5" x14ac:dyDescent="0.2">
      <c r="A482" s="3">
        <v>2021</v>
      </c>
      <c r="B482" t="str">
        <f>"049296"</f>
        <v>049296</v>
      </c>
      <c r="C482" t="s">
        <v>504</v>
      </c>
      <c r="D482" t="s">
        <v>194</v>
      </c>
      <c r="E482" s="9">
        <v>132</v>
      </c>
    </row>
    <row r="483" spans="1:5" x14ac:dyDescent="0.2">
      <c r="A483" s="3">
        <v>2021</v>
      </c>
      <c r="B483" t="str">
        <f>"049312"</f>
        <v>049312</v>
      </c>
      <c r="C483" t="s">
        <v>153</v>
      </c>
      <c r="D483" t="s">
        <v>154</v>
      </c>
      <c r="E483" s="9">
        <v>49</v>
      </c>
    </row>
    <row r="484" spans="1:5" x14ac:dyDescent="0.2">
      <c r="A484" s="3">
        <v>2021</v>
      </c>
      <c r="B484" t="str">
        <f>"049320"</f>
        <v>049320</v>
      </c>
      <c r="C484" t="s">
        <v>158</v>
      </c>
      <c r="D484" t="s">
        <v>154</v>
      </c>
      <c r="E484" s="9">
        <v>18</v>
      </c>
    </row>
    <row r="485" spans="1:5" x14ac:dyDescent="0.2">
      <c r="A485" s="3">
        <v>2021</v>
      </c>
      <c r="B485" t="str">
        <f>"049338"</f>
        <v>049338</v>
      </c>
      <c r="C485" t="s">
        <v>284</v>
      </c>
      <c r="D485" t="s">
        <v>154</v>
      </c>
      <c r="E485" s="11" t="s">
        <v>576</v>
      </c>
    </row>
    <row r="486" spans="1:5" x14ac:dyDescent="0.2">
      <c r="A486" s="3">
        <v>2021</v>
      </c>
      <c r="B486" t="str">
        <f>"049346"</f>
        <v>049346</v>
      </c>
      <c r="C486" t="s">
        <v>288</v>
      </c>
      <c r="D486" t="s">
        <v>154</v>
      </c>
      <c r="E486" s="11" t="s">
        <v>576</v>
      </c>
    </row>
    <row r="487" spans="1:5" x14ac:dyDescent="0.2">
      <c r="A487" s="3">
        <v>2021</v>
      </c>
      <c r="B487" t="str">
        <f>"049353"</f>
        <v>049353</v>
      </c>
      <c r="C487" t="s">
        <v>620</v>
      </c>
      <c r="D487" t="s">
        <v>154</v>
      </c>
      <c r="E487" s="11" t="s">
        <v>576</v>
      </c>
    </row>
    <row r="488" spans="1:5" x14ac:dyDescent="0.2">
      <c r="A488" s="3">
        <v>2021</v>
      </c>
      <c r="B488" t="str">
        <f>"049361"</f>
        <v>049361</v>
      </c>
      <c r="C488" t="s">
        <v>352</v>
      </c>
      <c r="D488" t="s">
        <v>154</v>
      </c>
      <c r="E488" s="9">
        <v>29</v>
      </c>
    </row>
    <row r="489" spans="1:5" x14ac:dyDescent="0.2">
      <c r="A489" s="3">
        <v>2021</v>
      </c>
      <c r="B489" t="str">
        <f>"049379"</f>
        <v>049379</v>
      </c>
      <c r="C489" t="s">
        <v>580</v>
      </c>
      <c r="D489" t="s">
        <v>154</v>
      </c>
      <c r="E489" s="9">
        <v>24</v>
      </c>
    </row>
    <row r="490" spans="1:5" x14ac:dyDescent="0.2">
      <c r="A490" s="3">
        <v>2021</v>
      </c>
      <c r="B490" t="str">
        <f>"049387"</f>
        <v>049387</v>
      </c>
      <c r="C490" t="s">
        <v>411</v>
      </c>
      <c r="D490" t="s">
        <v>154</v>
      </c>
      <c r="E490" s="11" t="s">
        <v>576</v>
      </c>
    </row>
    <row r="491" spans="1:5" x14ac:dyDescent="0.2">
      <c r="A491" s="3">
        <v>2021</v>
      </c>
      <c r="B491" t="str">
        <f>"049395"</f>
        <v>049395</v>
      </c>
      <c r="C491" t="s">
        <v>414</v>
      </c>
      <c r="D491" t="s">
        <v>154</v>
      </c>
      <c r="E491" s="9">
        <v>50</v>
      </c>
    </row>
    <row r="492" spans="1:5" x14ac:dyDescent="0.2">
      <c r="A492" s="3">
        <v>2021</v>
      </c>
      <c r="B492" t="str">
        <f>"049411"</f>
        <v>049411</v>
      </c>
      <c r="C492" t="s">
        <v>139</v>
      </c>
      <c r="D492" t="s">
        <v>140</v>
      </c>
      <c r="E492" s="9">
        <v>182</v>
      </c>
    </row>
    <row r="493" spans="1:5" x14ac:dyDescent="0.2">
      <c r="A493" s="3">
        <v>2021</v>
      </c>
      <c r="B493" t="str">
        <f>"049429"</f>
        <v>049429</v>
      </c>
      <c r="C493" t="s">
        <v>163</v>
      </c>
      <c r="D493" t="s">
        <v>140</v>
      </c>
      <c r="E493" s="9">
        <v>81</v>
      </c>
    </row>
    <row r="494" spans="1:5" x14ac:dyDescent="0.2">
      <c r="A494" s="3">
        <v>2021</v>
      </c>
      <c r="B494" t="str">
        <f>"049437"</f>
        <v>049437</v>
      </c>
      <c r="C494" t="s">
        <v>300</v>
      </c>
      <c r="D494" t="s">
        <v>140</v>
      </c>
      <c r="E494" s="9">
        <v>149</v>
      </c>
    </row>
    <row r="495" spans="1:5" x14ac:dyDescent="0.2">
      <c r="A495" s="3">
        <v>2021</v>
      </c>
      <c r="B495" t="str">
        <f>"049445"</f>
        <v>049445</v>
      </c>
      <c r="C495" t="s">
        <v>319</v>
      </c>
      <c r="D495" t="s">
        <v>140</v>
      </c>
      <c r="E495" s="9">
        <v>57</v>
      </c>
    </row>
    <row r="496" spans="1:5" x14ac:dyDescent="0.2">
      <c r="A496" s="3">
        <v>2021</v>
      </c>
      <c r="B496" t="str">
        <f>"049452"</f>
        <v>049452</v>
      </c>
      <c r="C496" t="s">
        <v>323</v>
      </c>
      <c r="D496" t="s">
        <v>140</v>
      </c>
      <c r="E496" s="9">
        <v>97</v>
      </c>
    </row>
    <row r="497" spans="1:5" x14ac:dyDescent="0.2">
      <c r="A497" s="3">
        <v>2021</v>
      </c>
      <c r="B497" t="str">
        <f>"049460"</f>
        <v>049460</v>
      </c>
      <c r="C497" t="s">
        <v>695</v>
      </c>
      <c r="D497" t="s">
        <v>140</v>
      </c>
      <c r="E497" s="11" t="s">
        <v>701</v>
      </c>
    </row>
    <row r="498" spans="1:5" x14ac:dyDescent="0.2">
      <c r="A498" s="3">
        <v>2021</v>
      </c>
      <c r="B498" t="str">
        <f>"049478"</f>
        <v>049478</v>
      </c>
      <c r="C498" t="s">
        <v>406</v>
      </c>
      <c r="D498" t="s">
        <v>140</v>
      </c>
      <c r="E498" s="9">
        <v>94</v>
      </c>
    </row>
    <row r="499" spans="1:5" x14ac:dyDescent="0.2">
      <c r="A499" s="3">
        <v>2021</v>
      </c>
      <c r="B499" t="str">
        <f>"049494"</f>
        <v>049494</v>
      </c>
      <c r="C499" t="s">
        <v>8</v>
      </c>
      <c r="D499" t="s">
        <v>9</v>
      </c>
      <c r="E499" s="9">
        <v>38</v>
      </c>
    </row>
    <row r="500" spans="1:5" x14ac:dyDescent="0.2">
      <c r="A500" s="3">
        <v>2021</v>
      </c>
      <c r="B500" t="str">
        <f>"049502"</f>
        <v>049502</v>
      </c>
      <c r="C500" t="s">
        <v>269</v>
      </c>
      <c r="D500" t="s">
        <v>9</v>
      </c>
      <c r="E500" s="9">
        <v>15</v>
      </c>
    </row>
    <row r="501" spans="1:5" x14ac:dyDescent="0.2">
      <c r="A501" s="3">
        <v>2021</v>
      </c>
      <c r="B501" t="str">
        <f>"049510"</f>
        <v>049510</v>
      </c>
      <c r="C501" t="s">
        <v>413</v>
      </c>
      <c r="D501" t="s">
        <v>9</v>
      </c>
      <c r="E501" s="9">
        <v>25</v>
      </c>
    </row>
    <row r="502" spans="1:5" x14ac:dyDescent="0.2">
      <c r="A502" s="3">
        <v>2021</v>
      </c>
      <c r="B502" t="str">
        <f>"049528"</f>
        <v>049528</v>
      </c>
      <c r="C502" t="s">
        <v>468</v>
      </c>
      <c r="D502" t="s">
        <v>9</v>
      </c>
      <c r="E502" s="11" t="s">
        <v>576</v>
      </c>
    </row>
    <row r="503" spans="1:5" x14ac:dyDescent="0.2">
      <c r="A503" s="3">
        <v>2021</v>
      </c>
      <c r="B503" t="str">
        <f>"049536"</f>
        <v>049536</v>
      </c>
      <c r="C503" t="s">
        <v>507</v>
      </c>
      <c r="D503" t="s">
        <v>9</v>
      </c>
      <c r="E503" s="9">
        <v>48</v>
      </c>
    </row>
    <row r="504" spans="1:5" x14ac:dyDescent="0.2">
      <c r="A504" s="3">
        <v>2021</v>
      </c>
      <c r="B504" t="str">
        <f>"049544"</f>
        <v>049544</v>
      </c>
      <c r="C504" t="s">
        <v>560</v>
      </c>
      <c r="D504" t="s">
        <v>9</v>
      </c>
      <c r="E504" s="9">
        <v>36</v>
      </c>
    </row>
    <row r="505" spans="1:5" x14ac:dyDescent="0.2">
      <c r="A505" s="3">
        <v>2021</v>
      </c>
      <c r="B505" t="str">
        <f>"049569"</f>
        <v>049569</v>
      </c>
      <c r="C505" t="s">
        <v>298</v>
      </c>
      <c r="D505" t="s">
        <v>147</v>
      </c>
      <c r="E505" s="9">
        <v>35</v>
      </c>
    </row>
    <row r="506" spans="1:5" x14ac:dyDescent="0.2">
      <c r="A506" s="3">
        <v>2021</v>
      </c>
      <c r="B506" t="str">
        <f>"049577"</f>
        <v>049577</v>
      </c>
      <c r="C506" t="s">
        <v>621</v>
      </c>
      <c r="D506" t="s">
        <v>147</v>
      </c>
      <c r="E506" s="9">
        <v>49</v>
      </c>
    </row>
    <row r="507" spans="1:5" x14ac:dyDescent="0.2">
      <c r="A507" s="3">
        <v>2021</v>
      </c>
      <c r="B507" t="str">
        <f>"049593"</f>
        <v>049593</v>
      </c>
      <c r="C507" t="s">
        <v>81</v>
      </c>
      <c r="D507" t="s">
        <v>82</v>
      </c>
      <c r="E507" s="9">
        <v>11</v>
      </c>
    </row>
    <row r="508" spans="1:5" x14ac:dyDescent="0.2">
      <c r="A508" s="3">
        <v>2021</v>
      </c>
      <c r="B508" t="str">
        <f>"049601"</f>
        <v>049601</v>
      </c>
      <c r="C508" t="s">
        <v>136</v>
      </c>
      <c r="D508" t="s">
        <v>82</v>
      </c>
      <c r="E508" s="11" t="s">
        <v>576</v>
      </c>
    </row>
    <row r="509" spans="1:5" x14ac:dyDescent="0.2">
      <c r="A509" s="3">
        <v>2021</v>
      </c>
      <c r="B509" t="str">
        <f>"049619"</f>
        <v>049619</v>
      </c>
      <c r="C509" t="s">
        <v>250</v>
      </c>
      <c r="D509" t="s">
        <v>82</v>
      </c>
      <c r="E509" s="9">
        <v>0</v>
      </c>
    </row>
    <row r="510" spans="1:5" x14ac:dyDescent="0.2">
      <c r="A510" s="3">
        <v>2021</v>
      </c>
      <c r="B510" t="str">
        <f>"049627"</f>
        <v>049627</v>
      </c>
      <c r="C510" t="s">
        <v>594</v>
      </c>
      <c r="D510" t="s">
        <v>82</v>
      </c>
      <c r="E510" s="9">
        <v>47</v>
      </c>
    </row>
    <row r="511" spans="1:5" x14ac:dyDescent="0.2">
      <c r="A511" s="3">
        <v>2021</v>
      </c>
      <c r="B511" t="str">
        <f>"049635"</f>
        <v>049635</v>
      </c>
      <c r="C511" t="s">
        <v>395</v>
      </c>
      <c r="D511" t="s">
        <v>82</v>
      </c>
      <c r="E511" s="9">
        <v>42</v>
      </c>
    </row>
    <row r="512" spans="1:5" x14ac:dyDescent="0.2">
      <c r="A512" s="3">
        <v>2021</v>
      </c>
      <c r="B512" t="str">
        <f>"049643"</f>
        <v>049643</v>
      </c>
      <c r="C512" t="s">
        <v>622</v>
      </c>
      <c r="D512" t="s">
        <v>82</v>
      </c>
      <c r="E512" s="11" t="s">
        <v>576</v>
      </c>
    </row>
    <row r="513" spans="1:5" x14ac:dyDescent="0.2">
      <c r="A513" s="3">
        <v>2021</v>
      </c>
      <c r="B513" t="str">
        <f>"049650"</f>
        <v>049650</v>
      </c>
      <c r="C513" t="s">
        <v>651</v>
      </c>
      <c r="D513" t="s">
        <v>82</v>
      </c>
      <c r="E513" s="9">
        <v>10</v>
      </c>
    </row>
    <row r="514" spans="1:5" x14ac:dyDescent="0.2">
      <c r="A514" s="3">
        <v>2021</v>
      </c>
      <c r="B514" t="str">
        <f>"049668"</f>
        <v>049668</v>
      </c>
      <c r="C514" t="s">
        <v>544</v>
      </c>
      <c r="D514" t="s">
        <v>82</v>
      </c>
      <c r="E514" s="9">
        <v>16</v>
      </c>
    </row>
    <row r="515" spans="1:5" x14ac:dyDescent="0.2">
      <c r="A515" s="3">
        <v>2021</v>
      </c>
      <c r="B515" t="str">
        <f>"049684"</f>
        <v>049684</v>
      </c>
      <c r="C515" t="s">
        <v>457</v>
      </c>
      <c r="D515" t="s">
        <v>226</v>
      </c>
      <c r="E515" s="9">
        <v>16</v>
      </c>
    </row>
    <row r="516" spans="1:5" x14ac:dyDescent="0.2">
      <c r="A516" s="3">
        <v>2021</v>
      </c>
      <c r="B516" t="str">
        <f>"049700"</f>
        <v>049700</v>
      </c>
      <c r="C516" t="s">
        <v>266</v>
      </c>
      <c r="D516" t="s">
        <v>226</v>
      </c>
      <c r="E516" s="9">
        <v>11</v>
      </c>
    </row>
    <row r="517" spans="1:5" x14ac:dyDescent="0.2">
      <c r="A517" s="3">
        <v>2021</v>
      </c>
      <c r="B517" t="str">
        <f>"049718"</f>
        <v>049718</v>
      </c>
      <c r="C517" t="s">
        <v>375</v>
      </c>
      <c r="D517" t="s">
        <v>226</v>
      </c>
      <c r="E517" s="11" t="s">
        <v>576</v>
      </c>
    </row>
    <row r="518" spans="1:5" x14ac:dyDescent="0.2">
      <c r="A518" s="3">
        <v>2021</v>
      </c>
      <c r="B518" t="str">
        <f>"049726"</f>
        <v>049726</v>
      </c>
      <c r="C518" t="s">
        <v>403</v>
      </c>
      <c r="D518" t="s">
        <v>226</v>
      </c>
      <c r="E518" s="9">
        <v>18</v>
      </c>
    </row>
    <row r="519" spans="1:5" x14ac:dyDescent="0.2">
      <c r="A519" s="3">
        <v>2021</v>
      </c>
      <c r="B519" t="str">
        <f>"049759"</f>
        <v>049759</v>
      </c>
      <c r="C519" t="s">
        <v>22</v>
      </c>
      <c r="D519" t="s">
        <v>23</v>
      </c>
      <c r="E519" s="9">
        <v>30</v>
      </c>
    </row>
    <row r="520" spans="1:5" x14ac:dyDescent="0.2">
      <c r="A520" s="3">
        <v>2021</v>
      </c>
      <c r="B520" t="str">
        <f>"049767"</f>
        <v>049767</v>
      </c>
      <c r="C520" t="s">
        <v>85</v>
      </c>
      <c r="D520" t="s">
        <v>23</v>
      </c>
      <c r="E520" s="9">
        <v>15</v>
      </c>
    </row>
    <row r="521" spans="1:5" x14ac:dyDescent="0.2">
      <c r="A521" s="3">
        <v>2021</v>
      </c>
      <c r="B521" t="str">
        <f>"049775"</f>
        <v>049775</v>
      </c>
      <c r="C521" t="s">
        <v>595</v>
      </c>
      <c r="D521" t="s">
        <v>23</v>
      </c>
      <c r="E521" s="11" t="s">
        <v>576</v>
      </c>
    </row>
    <row r="522" spans="1:5" x14ac:dyDescent="0.2">
      <c r="A522" s="3">
        <v>2021</v>
      </c>
      <c r="B522" t="str">
        <f>"049783"</f>
        <v>049783</v>
      </c>
      <c r="C522" t="s">
        <v>223</v>
      </c>
      <c r="D522" t="s">
        <v>23</v>
      </c>
      <c r="E522" s="11" t="s">
        <v>576</v>
      </c>
    </row>
    <row r="523" spans="1:5" x14ac:dyDescent="0.2">
      <c r="A523" s="3">
        <v>2021</v>
      </c>
      <c r="B523" t="str">
        <f>"049791"</f>
        <v>049791</v>
      </c>
      <c r="C523" t="s">
        <v>258</v>
      </c>
      <c r="D523" t="s">
        <v>23</v>
      </c>
      <c r="E523" s="9">
        <v>51</v>
      </c>
    </row>
    <row r="524" spans="1:5" x14ac:dyDescent="0.2">
      <c r="A524" s="3">
        <v>2021</v>
      </c>
      <c r="B524" t="str">
        <f>"049809"</f>
        <v>049809</v>
      </c>
      <c r="C524" t="s">
        <v>276</v>
      </c>
      <c r="D524" t="s">
        <v>23</v>
      </c>
      <c r="E524" s="9">
        <v>12</v>
      </c>
    </row>
    <row r="525" spans="1:5" x14ac:dyDescent="0.2">
      <c r="A525" s="3">
        <v>2021</v>
      </c>
      <c r="B525" t="str">
        <f>"049817"</f>
        <v>049817</v>
      </c>
      <c r="C525" t="s">
        <v>451</v>
      </c>
      <c r="D525" t="s">
        <v>23</v>
      </c>
      <c r="E525" s="9">
        <v>17</v>
      </c>
    </row>
    <row r="526" spans="1:5" x14ac:dyDescent="0.2">
      <c r="A526" s="3">
        <v>2021</v>
      </c>
      <c r="B526" t="str">
        <f>"049833"</f>
        <v>049833</v>
      </c>
      <c r="C526" t="s">
        <v>114</v>
      </c>
      <c r="D526" t="s">
        <v>17</v>
      </c>
      <c r="E526" s="9">
        <v>50</v>
      </c>
    </row>
    <row r="527" spans="1:5" x14ac:dyDescent="0.2">
      <c r="A527" s="3">
        <v>2021</v>
      </c>
      <c r="B527" t="str">
        <f>"049841"</f>
        <v>049841</v>
      </c>
      <c r="C527" t="s">
        <v>213</v>
      </c>
      <c r="D527" t="s">
        <v>17</v>
      </c>
      <c r="E527" s="9">
        <v>43</v>
      </c>
    </row>
    <row r="528" spans="1:5" x14ac:dyDescent="0.2">
      <c r="A528" s="3">
        <v>2021</v>
      </c>
      <c r="B528" t="str">
        <f>"049858"</f>
        <v>049858</v>
      </c>
      <c r="C528" t="s">
        <v>279</v>
      </c>
      <c r="D528" t="s">
        <v>17</v>
      </c>
      <c r="E528" s="9">
        <v>152</v>
      </c>
    </row>
    <row r="529" spans="1:5" x14ac:dyDescent="0.2">
      <c r="A529" s="3">
        <v>2021</v>
      </c>
      <c r="B529" t="str">
        <f>"049866"</f>
        <v>049866</v>
      </c>
      <c r="C529" t="s">
        <v>295</v>
      </c>
      <c r="D529" t="s">
        <v>17</v>
      </c>
      <c r="E529" s="9">
        <v>236</v>
      </c>
    </row>
    <row r="530" spans="1:5" x14ac:dyDescent="0.2">
      <c r="A530" s="3">
        <v>2021</v>
      </c>
      <c r="B530" t="str">
        <f>"049874"</f>
        <v>049874</v>
      </c>
      <c r="C530" t="s">
        <v>316</v>
      </c>
      <c r="D530" t="s">
        <v>17</v>
      </c>
      <c r="E530" s="9">
        <v>80</v>
      </c>
    </row>
    <row r="531" spans="1:5" x14ac:dyDescent="0.2">
      <c r="A531" s="3">
        <v>2021</v>
      </c>
      <c r="B531" t="str">
        <f>"049882"</f>
        <v>049882</v>
      </c>
      <c r="C531" t="s">
        <v>332</v>
      </c>
      <c r="D531" t="s">
        <v>17</v>
      </c>
      <c r="E531" s="9">
        <v>177</v>
      </c>
    </row>
    <row r="532" spans="1:5" x14ac:dyDescent="0.2">
      <c r="A532" s="3">
        <v>2021</v>
      </c>
      <c r="B532" t="str">
        <f>"049890"</f>
        <v>049890</v>
      </c>
      <c r="C532" t="s">
        <v>354</v>
      </c>
      <c r="D532" t="s">
        <v>17</v>
      </c>
      <c r="E532" s="9">
        <v>82</v>
      </c>
    </row>
    <row r="533" spans="1:5" x14ac:dyDescent="0.2">
      <c r="A533" s="3">
        <v>2021</v>
      </c>
      <c r="B533" t="str">
        <f>"049908"</f>
        <v>049908</v>
      </c>
      <c r="C533" t="s">
        <v>395</v>
      </c>
      <c r="D533" t="s">
        <v>17</v>
      </c>
      <c r="E533" s="9">
        <v>52</v>
      </c>
    </row>
    <row r="534" spans="1:5" x14ac:dyDescent="0.2">
      <c r="A534" s="3">
        <v>2021</v>
      </c>
      <c r="B534" t="str">
        <f>"049916"</f>
        <v>049916</v>
      </c>
      <c r="C534" t="s">
        <v>623</v>
      </c>
      <c r="D534" t="s">
        <v>17</v>
      </c>
      <c r="E534" s="9">
        <v>32</v>
      </c>
    </row>
    <row r="535" spans="1:5" x14ac:dyDescent="0.2">
      <c r="A535" s="3">
        <v>2021</v>
      </c>
      <c r="B535" t="str">
        <f>"049924"</f>
        <v>049924</v>
      </c>
      <c r="C535" t="s">
        <v>420</v>
      </c>
      <c r="D535" t="s">
        <v>17</v>
      </c>
      <c r="E535" s="9">
        <v>87</v>
      </c>
    </row>
    <row r="536" spans="1:5" x14ac:dyDescent="0.2">
      <c r="A536" s="3">
        <v>2021</v>
      </c>
      <c r="B536" t="str">
        <f>"049932"</f>
        <v>049932</v>
      </c>
      <c r="C536" t="s">
        <v>426</v>
      </c>
      <c r="D536" t="s">
        <v>17</v>
      </c>
      <c r="E536" s="9">
        <v>266</v>
      </c>
    </row>
    <row r="537" spans="1:5" x14ac:dyDescent="0.2">
      <c r="A537" s="3">
        <v>2021</v>
      </c>
      <c r="B537" t="str">
        <f>"049940"</f>
        <v>049940</v>
      </c>
      <c r="C537" t="s">
        <v>454</v>
      </c>
      <c r="D537" t="s">
        <v>17</v>
      </c>
      <c r="E537" s="9">
        <v>25</v>
      </c>
    </row>
    <row r="538" spans="1:5" x14ac:dyDescent="0.2">
      <c r="A538" s="3">
        <v>2021</v>
      </c>
      <c r="B538" t="str">
        <f>"049957"</f>
        <v>049957</v>
      </c>
      <c r="C538" t="s">
        <v>503</v>
      </c>
      <c r="D538" t="s">
        <v>17</v>
      </c>
      <c r="E538" s="9">
        <v>109</v>
      </c>
    </row>
    <row r="539" spans="1:5" x14ac:dyDescent="0.2">
      <c r="A539" s="3">
        <v>2021</v>
      </c>
      <c r="B539" t="str">
        <f>"049973"</f>
        <v>049973</v>
      </c>
      <c r="C539" t="s">
        <v>553</v>
      </c>
      <c r="D539" t="s">
        <v>11</v>
      </c>
      <c r="E539" s="9">
        <v>84</v>
      </c>
    </row>
    <row r="540" spans="1:5" x14ac:dyDescent="0.2">
      <c r="A540" s="3">
        <v>2021</v>
      </c>
      <c r="B540" t="str">
        <f>"049981"</f>
        <v>049981</v>
      </c>
      <c r="C540" t="s">
        <v>596</v>
      </c>
      <c r="D540" t="s">
        <v>11</v>
      </c>
      <c r="E540" s="9">
        <v>89</v>
      </c>
    </row>
    <row r="541" spans="1:5" x14ac:dyDescent="0.2">
      <c r="A541" s="3">
        <v>2021</v>
      </c>
      <c r="B541" t="str">
        <f>"049999"</f>
        <v>049999</v>
      </c>
      <c r="C541" t="s">
        <v>624</v>
      </c>
      <c r="D541" t="s">
        <v>11</v>
      </c>
      <c r="E541" s="9">
        <v>20</v>
      </c>
    </row>
    <row r="542" spans="1:5" x14ac:dyDescent="0.2">
      <c r="A542" s="3">
        <v>2021</v>
      </c>
      <c r="B542" t="str">
        <f>"050005"</f>
        <v>050005</v>
      </c>
      <c r="C542" t="s">
        <v>325</v>
      </c>
      <c r="D542" t="s">
        <v>11</v>
      </c>
      <c r="E542" s="9">
        <v>54</v>
      </c>
    </row>
    <row r="543" spans="1:5" x14ac:dyDescent="0.2">
      <c r="A543" s="3">
        <v>2021</v>
      </c>
      <c r="B543" t="str">
        <f>"050013"</f>
        <v>050013</v>
      </c>
      <c r="C543" t="s">
        <v>250</v>
      </c>
      <c r="D543" t="s">
        <v>11</v>
      </c>
      <c r="E543" s="11" t="s">
        <v>701</v>
      </c>
    </row>
    <row r="544" spans="1:5" x14ac:dyDescent="0.2">
      <c r="A544" s="3">
        <v>2021</v>
      </c>
      <c r="B544" t="str">
        <f>"050021"</f>
        <v>050021</v>
      </c>
      <c r="C544" t="s">
        <v>268</v>
      </c>
      <c r="D544" t="s">
        <v>11</v>
      </c>
      <c r="E544" s="9">
        <v>112</v>
      </c>
    </row>
    <row r="545" spans="1:5" x14ac:dyDescent="0.2">
      <c r="A545" s="3">
        <v>2021</v>
      </c>
      <c r="B545" t="str">
        <f>"050039"</f>
        <v>050039</v>
      </c>
      <c r="C545" t="s">
        <v>652</v>
      </c>
      <c r="D545" t="s">
        <v>11</v>
      </c>
      <c r="E545" s="9">
        <v>17</v>
      </c>
    </row>
    <row r="546" spans="1:5" x14ac:dyDescent="0.2">
      <c r="A546" s="3">
        <v>2021</v>
      </c>
      <c r="B546" t="str">
        <f>"050047"</f>
        <v>050047</v>
      </c>
      <c r="C546" t="s">
        <v>382</v>
      </c>
      <c r="D546" t="s">
        <v>11</v>
      </c>
      <c r="E546" s="9">
        <v>60</v>
      </c>
    </row>
    <row r="547" spans="1:5" x14ac:dyDescent="0.2">
      <c r="A547" s="3">
        <v>2021</v>
      </c>
      <c r="B547" t="str">
        <f>"050054"</f>
        <v>050054</v>
      </c>
      <c r="C547" t="s">
        <v>696</v>
      </c>
      <c r="D547" t="s">
        <v>11</v>
      </c>
      <c r="E547" s="11" t="s">
        <v>701</v>
      </c>
    </row>
    <row r="548" spans="1:5" x14ac:dyDescent="0.2">
      <c r="A548" s="3">
        <v>2021</v>
      </c>
      <c r="B548" t="str">
        <f>"050062"</f>
        <v>050062</v>
      </c>
      <c r="C548" t="s">
        <v>475</v>
      </c>
      <c r="D548" t="s">
        <v>11</v>
      </c>
      <c r="E548" s="9">
        <v>116</v>
      </c>
    </row>
    <row r="549" spans="1:5" x14ac:dyDescent="0.2">
      <c r="A549" s="3">
        <v>2021</v>
      </c>
      <c r="B549" t="str">
        <f>"050070"</f>
        <v>050070</v>
      </c>
      <c r="C549" t="s">
        <v>505</v>
      </c>
      <c r="D549" t="s">
        <v>11</v>
      </c>
      <c r="E549" s="9">
        <v>86</v>
      </c>
    </row>
    <row r="550" spans="1:5" x14ac:dyDescent="0.2">
      <c r="A550" s="3">
        <v>2021</v>
      </c>
      <c r="B550" t="str">
        <f>"050096"</f>
        <v>050096</v>
      </c>
      <c r="C550" t="s">
        <v>79</v>
      </c>
      <c r="D550" t="s">
        <v>80</v>
      </c>
      <c r="E550" s="9">
        <v>57</v>
      </c>
    </row>
    <row r="551" spans="1:5" x14ac:dyDescent="0.2">
      <c r="A551" s="3">
        <v>2021</v>
      </c>
      <c r="B551" t="str">
        <f>"050112"</f>
        <v>050112</v>
      </c>
      <c r="C551" t="s">
        <v>92</v>
      </c>
      <c r="D551" t="s">
        <v>80</v>
      </c>
      <c r="E551" s="9">
        <v>39</v>
      </c>
    </row>
    <row r="552" spans="1:5" x14ac:dyDescent="0.2">
      <c r="A552" s="3">
        <v>2021</v>
      </c>
      <c r="B552" t="str">
        <f>"050120"</f>
        <v>050120</v>
      </c>
      <c r="C552" t="s">
        <v>697</v>
      </c>
      <c r="D552" t="s">
        <v>80</v>
      </c>
      <c r="E552" s="9">
        <v>19</v>
      </c>
    </row>
    <row r="553" spans="1:5" x14ac:dyDescent="0.2">
      <c r="A553" s="3">
        <v>2021</v>
      </c>
      <c r="B553" t="str">
        <f>"050138"</f>
        <v>050138</v>
      </c>
      <c r="C553" t="s">
        <v>127</v>
      </c>
      <c r="D553" t="s">
        <v>80</v>
      </c>
      <c r="E553" s="9">
        <v>42</v>
      </c>
    </row>
    <row r="554" spans="1:5" x14ac:dyDescent="0.2">
      <c r="A554" s="3">
        <v>2021</v>
      </c>
      <c r="B554" t="str">
        <f>"050153"</f>
        <v>050153</v>
      </c>
      <c r="C554" t="s">
        <v>597</v>
      </c>
      <c r="D554" t="s">
        <v>80</v>
      </c>
      <c r="E554" s="9">
        <v>13</v>
      </c>
    </row>
    <row r="555" spans="1:5" x14ac:dyDescent="0.2">
      <c r="A555" s="3">
        <v>2021</v>
      </c>
      <c r="B555" t="str">
        <f>"050161"</f>
        <v>050161</v>
      </c>
      <c r="C555" t="s">
        <v>625</v>
      </c>
      <c r="D555" t="s">
        <v>80</v>
      </c>
      <c r="E555" s="9">
        <v>56</v>
      </c>
    </row>
    <row r="556" spans="1:5" x14ac:dyDescent="0.2">
      <c r="A556" s="3">
        <v>2021</v>
      </c>
      <c r="B556" t="str">
        <f>"050179"</f>
        <v>050179</v>
      </c>
      <c r="C556" t="s">
        <v>287</v>
      </c>
      <c r="D556" t="s">
        <v>80</v>
      </c>
      <c r="E556" s="9">
        <v>51</v>
      </c>
    </row>
    <row r="557" spans="1:5" x14ac:dyDescent="0.2">
      <c r="A557" s="3">
        <v>2021</v>
      </c>
      <c r="B557" t="str">
        <f>"050187"</f>
        <v>050187</v>
      </c>
      <c r="C557" t="s">
        <v>296</v>
      </c>
      <c r="D557" t="s">
        <v>80</v>
      </c>
      <c r="E557" s="9">
        <v>48</v>
      </c>
    </row>
    <row r="558" spans="1:5" x14ac:dyDescent="0.2">
      <c r="A558" s="3">
        <v>2021</v>
      </c>
      <c r="B558" t="str">
        <f>"050195"</f>
        <v>050195</v>
      </c>
      <c r="C558" t="s">
        <v>653</v>
      </c>
      <c r="D558" t="s">
        <v>80</v>
      </c>
      <c r="E558" s="9">
        <v>36</v>
      </c>
    </row>
    <row r="559" spans="1:5" x14ac:dyDescent="0.2">
      <c r="A559" s="3">
        <v>2021</v>
      </c>
      <c r="B559" t="str">
        <f>"050203"</f>
        <v>050203</v>
      </c>
      <c r="C559" t="s">
        <v>579</v>
      </c>
      <c r="D559" t="s">
        <v>80</v>
      </c>
      <c r="E559" s="9">
        <v>11</v>
      </c>
    </row>
    <row r="560" spans="1:5" x14ac:dyDescent="0.2">
      <c r="A560" s="3">
        <v>2021</v>
      </c>
      <c r="B560" t="str">
        <f>"050211"</f>
        <v>050211</v>
      </c>
      <c r="C560" t="s">
        <v>654</v>
      </c>
      <c r="D560" t="s">
        <v>80</v>
      </c>
      <c r="E560" s="9">
        <v>23</v>
      </c>
    </row>
    <row r="561" spans="1:5" x14ac:dyDescent="0.2">
      <c r="A561" s="3">
        <v>2021</v>
      </c>
      <c r="B561" t="str">
        <f>"050229"</f>
        <v>050229</v>
      </c>
      <c r="C561" t="s">
        <v>340</v>
      </c>
      <c r="D561" t="s">
        <v>80</v>
      </c>
      <c r="E561" s="11" t="s">
        <v>576</v>
      </c>
    </row>
    <row r="562" spans="1:5" x14ac:dyDescent="0.2">
      <c r="A562" s="3">
        <v>2021</v>
      </c>
      <c r="B562" t="str">
        <f>"050237"</f>
        <v>050237</v>
      </c>
      <c r="C562" t="s">
        <v>470</v>
      </c>
      <c r="D562" t="s">
        <v>80</v>
      </c>
      <c r="E562" s="9">
        <v>16</v>
      </c>
    </row>
    <row r="563" spans="1:5" x14ac:dyDescent="0.2">
      <c r="A563" s="3">
        <v>2021</v>
      </c>
      <c r="B563" t="str">
        <f>"050245"</f>
        <v>050245</v>
      </c>
      <c r="C563" t="s">
        <v>294</v>
      </c>
      <c r="D563" t="s">
        <v>80</v>
      </c>
      <c r="E563" s="9">
        <v>21</v>
      </c>
    </row>
    <row r="564" spans="1:5" x14ac:dyDescent="0.2">
      <c r="A564" s="3">
        <v>2021</v>
      </c>
      <c r="B564" t="str">
        <f>"050252"</f>
        <v>050252</v>
      </c>
      <c r="C564" t="s">
        <v>531</v>
      </c>
      <c r="D564" t="s">
        <v>80</v>
      </c>
      <c r="E564" s="11" t="s">
        <v>576</v>
      </c>
    </row>
    <row r="565" spans="1:5" x14ac:dyDescent="0.2">
      <c r="A565" s="3">
        <v>2021</v>
      </c>
      <c r="B565" t="str">
        <f>"050278"</f>
        <v>050278</v>
      </c>
      <c r="C565" t="s">
        <v>237</v>
      </c>
      <c r="D565" t="s">
        <v>138</v>
      </c>
      <c r="E565" s="9">
        <v>206</v>
      </c>
    </row>
    <row r="566" spans="1:5" x14ac:dyDescent="0.2">
      <c r="A566" s="3">
        <v>2021</v>
      </c>
      <c r="B566" t="str">
        <f>"050286"</f>
        <v>050286</v>
      </c>
      <c r="C566" t="s">
        <v>275</v>
      </c>
      <c r="D566" t="s">
        <v>138</v>
      </c>
      <c r="E566" s="9">
        <v>45</v>
      </c>
    </row>
    <row r="567" spans="1:5" x14ac:dyDescent="0.2">
      <c r="A567" s="3">
        <v>2021</v>
      </c>
      <c r="B567" t="str">
        <f>"050294"</f>
        <v>050294</v>
      </c>
      <c r="C567" t="s">
        <v>482</v>
      </c>
      <c r="D567" t="s">
        <v>138</v>
      </c>
      <c r="E567" s="9">
        <v>31</v>
      </c>
    </row>
    <row r="568" spans="1:5" x14ac:dyDescent="0.2">
      <c r="A568" s="3">
        <v>2021</v>
      </c>
      <c r="B568" t="str">
        <f>"050302"</f>
        <v>050302</v>
      </c>
      <c r="C568" t="s">
        <v>502</v>
      </c>
      <c r="D568" t="s">
        <v>138</v>
      </c>
      <c r="E568" s="9">
        <v>59</v>
      </c>
    </row>
    <row r="569" spans="1:5" x14ac:dyDescent="0.2">
      <c r="A569" s="3">
        <v>2021</v>
      </c>
      <c r="B569" t="str">
        <f>"050328"</f>
        <v>050328</v>
      </c>
      <c r="C569" t="s">
        <v>208</v>
      </c>
      <c r="D569" t="s">
        <v>209</v>
      </c>
      <c r="E569" s="9">
        <v>119</v>
      </c>
    </row>
    <row r="570" spans="1:5" x14ac:dyDescent="0.2">
      <c r="A570" s="3">
        <v>2021</v>
      </c>
      <c r="B570" t="str">
        <f>"050336"</f>
        <v>050336</v>
      </c>
      <c r="C570" t="s">
        <v>389</v>
      </c>
      <c r="D570" t="s">
        <v>209</v>
      </c>
      <c r="E570" s="9">
        <v>80</v>
      </c>
    </row>
    <row r="571" spans="1:5" x14ac:dyDescent="0.2">
      <c r="A571" s="3">
        <v>2021</v>
      </c>
      <c r="B571" t="str">
        <f>"050369"</f>
        <v>050369</v>
      </c>
      <c r="C571" t="s">
        <v>307</v>
      </c>
      <c r="D571" t="s">
        <v>164</v>
      </c>
      <c r="E571" s="9">
        <v>38</v>
      </c>
    </row>
    <row r="572" spans="1:5" x14ac:dyDescent="0.2">
      <c r="A572" s="3">
        <v>2021</v>
      </c>
      <c r="B572" t="str">
        <f>"050393"</f>
        <v>050393</v>
      </c>
      <c r="C572" t="s">
        <v>518</v>
      </c>
      <c r="D572" t="s">
        <v>519</v>
      </c>
      <c r="E572" s="9">
        <v>124</v>
      </c>
    </row>
    <row r="573" spans="1:5" x14ac:dyDescent="0.2">
      <c r="A573" s="3">
        <v>2021</v>
      </c>
      <c r="B573" t="str">
        <f>"050419"</f>
        <v>050419</v>
      </c>
      <c r="C573" t="s">
        <v>120</v>
      </c>
      <c r="D573" t="s">
        <v>121</v>
      </c>
      <c r="E573" s="9">
        <v>76</v>
      </c>
    </row>
    <row r="574" spans="1:5" x14ac:dyDescent="0.2">
      <c r="A574" s="3">
        <v>2021</v>
      </c>
      <c r="B574" t="str">
        <f>"050427"</f>
        <v>050427</v>
      </c>
      <c r="C574" t="s">
        <v>474</v>
      </c>
      <c r="D574" t="s">
        <v>121</v>
      </c>
      <c r="E574" s="9">
        <v>248</v>
      </c>
    </row>
    <row r="575" spans="1:5" x14ac:dyDescent="0.2">
      <c r="A575" s="3">
        <v>2021</v>
      </c>
      <c r="B575" t="str">
        <f>"050435"</f>
        <v>050435</v>
      </c>
      <c r="C575" t="s">
        <v>655</v>
      </c>
      <c r="D575" t="s">
        <v>121</v>
      </c>
      <c r="E575" s="9">
        <v>165</v>
      </c>
    </row>
    <row r="576" spans="1:5" x14ac:dyDescent="0.2">
      <c r="A576" s="3">
        <v>2021</v>
      </c>
      <c r="B576" t="str">
        <f>"050443"</f>
        <v>050443</v>
      </c>
      <c r="C576" t="s">
        <v>309</v>
      </c>
      <c r="D576" t="s">
        <v>121</v>
      </c>
      <c r="E576" s="9">
        <v>397</v>
      </c>
    </row>
    <row r="577" spans="1:5" x14ac:dyDescent="0.2">
      <c r="A577" s="3">
        <v>2021</v>
      </c>
      <c r="B577" t="str">
        <f>"050450"</f>
        <v>050450</v>
      </c>
      <c r="C577" t="s">
        <v>334</v>
      </c>
      <c r="D577" t="s">
        <v>121</v>
      </c>
      <c r="E577" s="9">
        <v>197</v>
      </c>
    </row>
    <row r="578" spans="1:5" x14ac:dyDescent="0.2">
      <c r="A578" s="3">
        <v>2021</v>
      </c>
      <c r="B578" t="str">
        <f>"050468"</f>
        <v>050468</v>
      </c>
      <c r="C578" t="s">
        <v>528</v>
      </c>
      <c r="D578" t="s">
        <v>121</v>
      </c>
      <c r="E578" s="9">
        <v>124</v>
      </c>
    </row>
    <row r="579" spans="1:5" x14ac:dyDescent="0.2">
      <c r="A579" s="3">
        <v>2021</v>
      </c>
      <c r="B579" t="str">
        <f>"050484"</f>
        <v>050484</v>
      </c>
      <c r="C579" t="s">
        <v>222</v>
      </c>
      <c r="D579" t="s">
        <v>65</v>
      </c>
      <c r="E579" s="9">
        <v>47</v>
      </c>
    </row>
    <row r="580" spans="1:5" x14ac:dyDescent="0.2">
      <c r="A580" s="3">
        <v>2021</v>
      </c>
      <c r="B580" t="str">
        <f>"050492"</f>
        <v>050492</v>
      </c>
      <c r="C580" t="s">
        <v>232</v>
      </c>
      <c r="D580" t="s">
        <v>65</v>
      </c>
      <c r="E580" s="9">
        <v>23</v>
      </c>
    </row>
    <row r="581" spans="1:5" x14ac:dyDescent="0.2">
      <c r="A581" s="3">
        <v>2021</v>
      </c>
      <c r="B581" t="str">
        <f>"050500"</f>
        <v>050500</v>
      </c>
      <c r="C581" t="s">
        <v>523</v>
      </c>
      <c r="D581" t="s">
        <v>65</v>
      </c>
      <c r="E581" s="9">
        <v>93</v>
      </c>
    </row>
    <row r="582" spans="1:5" x14ac:dyDescent="0.2">
      <c r="A582" s="3">
        <v>2021</v>
      </c>
      <c r="B582" t="str">
        <f>"050518"</f>
        <v>050518</v>
      </c>
      <c r="C582" t="s">
        <v>552</v>
      </c>
      <c r="D582" t="s">
        <v>65</v>
      </c>
      <c r="E582" s="9">
        <v>11</v>
      </c>
    </row>
    <row r="583" spans="1:5" x14ac:dyDescent="0.2">
      <c r="A583" s="3">
        <v>2021</v>
      </c>
      <c r="B583" t="str">
        <f>"050534"</f>
        <v>050534</v>
      </c>
      <c r="C583" t="s">
        <v>698</v>
      </c>
      <c r="D583" t="s">
        <v>132</v>
      </c>
      <c r="E583" s="11" t="s">
        <v>701</v>
      </c>
    </row>
    <row r="584" spans="1:5" x14ac:dyDescent="0.2">
      <c r="A584" s="3">
        <v>2021</v>
      </c>
      <c r="B584" t="str">
        <f>"050542"</f>
        <v>050542</v>
      </c>
      <c r="C584" t="s">
        <v>169</v>
      </c>
      <c r="D584" t="s">
        <v>132</v>
      </c>
      <c r="E584" s="9">
        <v>115</v>
      </c>
    </row>
    <row r="585" spans="1:5" x14ac:dyDescent="0.2">
      <c r="A585" s="3">
        <v>2021</v>
      </c>
      <c r="B585" t="str">
        <f>"050559"</f>
        <v>050559</v>
      </c>
      <c r="C585" t="s">
        <v>250</v>
      </c>
      <c r="D585" t="s">
        <v>132</v>
      </c>
      <c r="E585" s="9">
        <v>146</v>
      </c>
    </row>
    <row r="586" spans="1:5" x14ac:dyDescent="0.2">
      <c r="A586" s="3">
        <v>2021</v>
      </c>
      <c r="B586" t="str">
        <f>"050567"</f>
        <v>050567</v>
      </c>
      <c r="C586" t="s">
        <v>399</v>
      </c>
      <c r="D586" t="s">
        <v>132</v>
      </c>
      <c r="E586" s="9">
        <v>105</v>
      </c>
    </row>
    <row r="587" spans="1:5" x14ac:dyDescent="0.2">
      <c r="A587" s="3">
        <v>2021</v>
      </c>
      <c r="B587" t="str">
        <f>"050575"</f>
        <v>050575</v>
      </c>
      <c r="C587" t="s">
        <v>396</v>
      </c>
      <c r="D587" t="s">
        <v>132</v>
      </c>
      <c r="E587" s="9">
        <v>91</v>
      </c>
    </row>
    <row r="588" spans="1:5" x14ac:dyDescent="0.2">
      <c r="A588" s="3">
        <v>2021</v>
      </c>
      <c r="B588" t="str">
        <f>"050583"</f>
        <v>050583</v>
      </c>
      <c r="C588" t="s">
        <v>467</v>
      </c>
      <c r="D588" t="s">
        <v>132</v>
      </c>
      <c r="E588" s="9">
        <v>154</v>
      </c>
    </row>
    <row r="589" spans="1:5" x14ac:dyDescent="0.2">
      <c r="A589" s="3">
        <v>2021</v>
      </c>
      <c r="B589" t="str">
        <f>"050591"</f>
        <v>050591</v>
      </c>
      <c r="C589" t="s">
        <v>499</v>
      </c>
      <c r="D589" t="s">
        <v>132</v>
      </c>
      <c r="E589" s="9">
        <v>94</v>
      </c>
    </row>
    <row r="590" spans="1:5" x14ac:dyDescent="0.2">
      <c r="A590" s="3">
        <v>2021</v>
      </c>
      <c r="B590" t="str">
        <f>"050617"</f>
        <v>050617</v>
      </c>
      <c r="C590" t="s">
        <v>195</v>
      </c>
      <c r="D590" t="s">
        <v>99</v>
      </c>
      <c r="E590" s="9">
        <v>0</v>
      </c>
    </row>
    <row r="591" spans="1:5" x14ac:dyDescent="0.2">
      <c r="A591" s="3">
        <v>2021</v>
      </c>
      <c r="B591" t="str">
        <f>"050625"</f>
        <v>050625</v>
      </c>
      <c r="C591" t="s">
        <v>201</v>
      </c>
      <c r="D591" t="s">
        <v>99</v>
      </c>
      <c r="E591" s="9">
        <v>50</v>
      </c>
    </row>
    <row r="592" spans="1:5" x14ac:dyDescent="0.2">
      <c r="A592" s="3">
        <v>2021</v>
      </c>
      <c r="B592" t="str">
        <f>"050633"</f>
        <v>050633</v>
      </c>
      <c r="C592" t="s">
        <v>351</v>
      </c>
      <c r="D592" t="s">
        <v>99</v>
      </c>
      <c r="E592" s="9">
        <v>30</v>
      </c>
    </row>
    <row r="593" spans="1:5" x14ac:dyDescent="0.2">
      <c r="A593" s="3">
        <v>2021</v>
      </c>
      <c r="B593" t="str">
        <f>"050641"</f>
        <v>050641</v>
      </c>
      <c r="C593" t="s">
        <v>385</v>
      </c>
      <c r="D593" t="s">
        <v>99</v>
      </c>
      <c r="E593" s="9">
        <v>47</v>
      </c>
    </row>
    <row r="594" spans="1:5" x14ac:dyDescent="0.2">
      <c r="A594" s="3">
        <v>2021</v>
      </c>
      <c r="B594" t="str">
        <f>"050658"</f>
        <v>050658</v>
      </c>
      <c r="C594" t="s">
        <v>485</v>
      </c>
      <c r="D594" t="s">
        <v>99</v>
      </c>
      <c r="E594" s="9">
        <v>28</v>
      </c>
    </row>
    <row r="595" spans="1:5" x14ac:dyDescent="0.2">
      <c r="A595" s="3">
        <v>2021</v>
      </c>
      <c r="B595" t="str">
        <f>"050674"</f>
        <v>050674</v>
      </c>
      <c r="C595" t="s">
        <v>192</v>
      </c>
      <c r="D595" t="s">
        <v>87</v>
      </c>
      <c r="E595" s="9">
        <v>91</v>
      </c>
    </row>
    <row r="596" spans="1:5" x14ac:dyDescent="0.2">
      <c r="A596" s="3">
        <v>2021</v>
      </c>
      <c r="B596" t="str">
        <f>"050682"</f>
        <v>050682</v>
      </c>
      <c r="C596" t="s">
        <v>205</v>
      </c>
      <c r="D596" t="s">
        <v>87</v>
      </c>
      <c r="E596" s="9">
        <v>44</v>
      </c>
    </row>
    <row r="597" spans="1:5" x14ac:dyDescent="0.2">
      <c r="A597" s="3">
        <v>2021</v>
      </c>
      <c r="B597" t="str">
        <f>"050690"</f>
        <v>050690</v>
      </c>
      <c r="C597" t="s">
        <v>295</v>
      </c>
      <c r="D597" t="s">
        <v>87</v>
      </c>
      <c r="E597" s="9">
        <v>72</v>
      </c>
    </row>
    <row r="598" spans="1:5" x14ac:dyDescent="0.2">
      <c r="A598" s="3">
        <v>2021</v>
      </c>
      <c r="B598" t="str">
        <f>"050708"</f>
        <v>050708</v>
      </c>
      <c r="C598" t="s">
        <v>383</v>
      </c>
      <c r="D598" t="s">
        <v>87</v>
      </c>
      <c r="E598" s="9">
        <v>22</v>
      </c>
    </row>
    <row r="599" spans="1:5" x14ac:dyDescent="0.2">
      <c r="A599" s="3">
        <v>2021</v>
      </c>
      <c r="B599" t="str">
        <f>"050716"</f>
        <v>050716</v>
      </c>
      <c r="C599" t="s">
        <v>598</v>
      </c>
      <c r="D599" t="s">
        <v>87</v>
      </c>
      <c r="E599" s="9">
        <v>10</v>
      </c>
    </row>
    <row r="600" spans="1:5" x14ac:dyDescent="0.2">
      <c r="A600" s="3">
        <v>2021</v>
      </c>
      <c r="B600" t="str">
        <f>"050724"</f>
        <v>050724</v>
      </c>
      <c r="C600" t="s">
        <v>409</v>
      </c>
      <c r="D600" t="s">
        <v>87</v>
      </c>
      <c r="E600" s="9">
        <v>73</v>
      </c>
    </row>
    <row r="601" spans="1:5" x14ac:dyDescent="0.2">
      <c r="A601" s="3">
        <v>2021</v>
      </c>
      <c r="B601" t="str">
        <f>"050740"</f>
        <v>050740</v>
      </c>
      <c r="C601" t="s">
        <v>358</v>
      </c>
      <c r="D601" t="s">
        <v>119</v>
      </c>
      <c r="E601" s="9">
        <v>19</v>
      </c>
    </row>
    <row r="602" spans="1:5" x14ac:dyDescent="0.2">
      <c r="A602" s="3">
        <v>2021</v>
      </c>
      <c r="B602" t="str">
        <f>"061903"</f>
        <v>061903</v>
      </c>
      <c r="C602" t="s">
        <v>6</v>
      </c>
      <c r="D602" t="s">
        <v>7</v>
      </c>
      <c r="E602" s="9">
        <v>194</v>
      </c>
    </row>
    <row r="603" spans="1:5" x14ac:dyDescent="0.2">
      <c r="A603" s="3">
        <v>2021</v>
      </c>
      <c r="B603" t="str">
        <f>"064964"</f>
        <v>064964</v>
      </c>
      <c r="C603" t="s">
        <v>699</v>
      </c>
      <c r="D603" t="s">
        <v>194</v>
      </c>
      <c r="E603" s="11" t="s">
        <v>701</v>
      </c>
    </row>
    <row r="604" spans="1:5" x14ac:dyDescent="0.2">
      <c r="A604" s="3">
        <v>2021</v>
      </c>
      <c r="B604" t="str">
        <f>"065680"</f>
        <v>065680</v>
      </c>
      <c r="C604" t="s">
        <v>235</v>
      </c>
      <c r="D604" t="s">
        <v>236</v>
      </c>
      <c r="E604" s="9">
        <v>180</v>
      </c>
    </row>
    <row r="605" spans="1:5" x14ac:dyDescent="0.2">
      <c r="A605" s="3">
        <v>2021</v>
      </c>
      <c r="B605" t="str">
        <f>"069682"</f>
        <v>069682</v>
      </c>
      <c r="C605" t="s">
        <v>183</v>
      </c>
      <c r="D605" t="s">
        <v>109</v>
      </c>
      <c r="E605" s="9">
        <v>31</v>
      </c>
    </row>
    <row r="606" spans="1:5" x14ac:dyDescent="0.2">
      <c r="A606" s="3">
        <v>2021</v>
      </c>
      <c r="B606" t="str">
        <f>"091397"</f>
        <v>091397</v>
      </c>
      <c r="C606" t="s">
        <v>496</v>
      </c>
      <c r="D606" t="s">
        <v>194</v>
      </c>
      <c r="E606" s="9">
        <v>48</v>
      </c>
    </row>
    <row r="607" spans="1:5" x14ac:dyDescent="0.2">
      <c r="A607" s="3">
        <v>2021</v>
      </c>
      <c r="B607" t="str">
        <f>"139303"</f>
        <v>139303</v>
      </c>
      <c r="C607" t="s">
        <v>359</v>
      </c>
      <c r="D607" t="s">
        <v>197</v>
      </c>
      <c r="E607" s="9">
        <v>116</v>
      </c>
    </row>
    <row r="608" spans="1:5" x14ac:dyDescent="0.2">
      <c r="A608" s="3">
        <v>2021</v>
      </c>
      <c r="B608" t="str">
        <f>"000442"</f>
        <v>000442</v>
      </c>
      <c r="C608" t="s">
        <v>325</v>
      </c>
      <c r="D608" t="s">
        <v>7</v>
      </c>
      <c r="E608" s="11" t="s">
        <v>701</v>
      </c>
    </row>
    <row r="609" spans="1:5" x14ac:dyDescent="0.2">
      <c r="A609" s="3">
        <v>2021</v>
      </c>
      <c r="B609" t="str">
        <f>"047399"</f>
        <v>047399</v>
      </c>
      <c r="C609" t="s">
        <v>700</v>
      </c>
      <c r="D609" t="s">
        <v>175</v>
      </c>
      <c r="E609" s="9">
        <v>48</v>
      </c>
    </row>
    <row r="610" spans="1:5" x14ac:dyDescent="0.2">
      <c r="A610" s="3">
        <v>2021</v>
      </c>
      <c r="B610" t="str">
        <f>"048470"</f>
        <v>048470</v>
      </c>
      <c r="C610" t="s">
        <v>681</v>
      </c>
      <c r="D610" t="s">
        <v>77</v>
      </c>
      <c r="E610" s="9">
        <v>91</v>
      </c>
    </row>
    <row r="611" spans="1:5" x14ac:dyDescent="0.2">
      <c r="A611" s="3">
        <v>2021</v>
      </c>
      <c r="B611" t="str">
        <f>"050351"</f>
        <v>050351</v>
      </c>
      <c r="C611" t="s">
        <v>163</v>
      </c>
      <c r="D611" t="s">
        <v>164</v>
      </c>
      <c r="E611" s="9">
        <v>36</v>
      </c>
    </row>
    <row r="612" spans="1:5" x14ac:dyDescent="0.2">
      <c r="A612" s="3">
        <v>2021</v>
      </c>
      <c r="B612" t="str">
        <f>"048173"</f>
        <v>048173</v>
      </c>
      <c r="C612" t="s">
        <v>349</v>
      </c>
      <c r="D612" t="s">
        <v>21</v>
      </c>
      <c r="E612" s="9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Notes</vt:lpstr>
      <vt:lpstr>State Total</vt:lpstr>
      <vt:lpstr>District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2018-08-15T17:40:12Z</dcterms:created>
  <dcterms:modified xsi:type="dcterms:W3CDTF">2023-01-19T18:01:42Z</dcterms:modified>
</cp:coreProperties>
</file>