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imelineCaches/timelineCache1.xml" ContentType="application/vnd.ms-excel.timelineCache+xml"/>
  <Override PartName="/xl/timelineCaches/timelineCache2.xml" ContentType="application/vnd.ms-excel.timeline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imelines/timeline2.xml" ContentType="application/vnd.ms-excel.timelin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slicers/slicer3.xml" ContentType="application/vnd.ms-excel.slicer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tables/table2.xml" ContentType="application/vnd.openxmlformats-officedocument.spreadsheetml.table+xml"/>
  <Override PartName="/xl/slicers/slicer4.xml" ContentType="application/vnd.ms-excel.slicer+xml"/>
  <Override PartName="/xl/slicers/slicer5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tables/table3.xml" ContentType="application/vnd.openxmlformats-officedocument.spreadsheetml.table+xml"/>
  <Override PartName="/xl/slicers/slicer6.xml" ContentType="application/vnd.ms-excel.slicer+xml"/>
  <Override PartName="/xl/drawings/drawing10.xml" ContentType="application/vnd.openxmlformats-officedocument.drawing+xml"/>
  <Override PartName="/xl/tables/table4.xml" ContentType="application/vnd.openxmlformats-officedocument.spreadsheetml.table+xml"/>
  <Override PartName="/xl/slicers/slicer7.xml" ContentType="application/vnd.ms-excel.slicer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+xml"/>
  <Override PartName="/xl/comments2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G:\Unidades compartidas\Tesoreria\TESORERIA 2026\CONTABILIDAD\AÑO 2026\"/>
    </mc:Choice>
  </mc:AlternateContent>
  <xr:revisionPtr revIDLastSave="0" documentId="13_ncr:1_{6F32A94C-C52F-4DAE-872E-2E9D5DF8F32B}" xr6:coauthVersionLast="47" xr6:coauthVersionMax="47" xr10:uidLastSave="{00000000-0000-0000-0000-000000000000}"/>
  <bookViews>
    <workbookView xWindow="-28910" yWindow="-110" windowWidth="29020" windowHeight="15700" tabRatio="910" activeTab="5" xr2:uid="{00000000-000D-0000-FFFF-FFFF00000000}"/>
  </bookViews>
  <sheets>
    <sheet name="Proyeccion 2025" sheetId="13" r:id="rId1"/>
    <sheet name="Reporte " sheetId="5" r:id="rId2"/>
    <sheet name="Dashboard" sheetId="4" r:id="rId3"/>
    <sheet name="Bancos " sheetId="20" r:id="rId4"/>
    <sheet name="HGI" sheetId="14" r:id="rId5"/>
    <sheet name="Rendiciones" sheetId="3" r:id="rId6"/>
    <sheet name="Listas" sheetId="2" r:id="rId7"/>
    <sheet name="2024 &amp; 2023 &amp; 2022" sheetId="19" r:id="rId8"/>
    <sheet name="2024&amp;2023&amp; 2022 G. Extra" sheetId="9" r:id="rId9"/>
    <sheet name="Detalle anual Gastos " sheetId="21" r:id="rId10"/>
    <sheet name="Gastos Generales" sheetId="6" r:id="rId11"/>
    <sheet name="Gastos Generales 2022" sheetId="8" r:id="rId12"/>
    <sheet name="Sueldos y Salarios 2023" sheetId="11" r:id="rId13"/>
    <sheet name="Sueldos y Salarios 2024" sheetId="18" r:id="rId14"/>
  </sheets>
  <externalReferences>
    <externalReference r:id="rId15"/>
    <externalReference r:id="rId16"/>
    <externalReference r:id="rId17"/>
    <externalReference r:id="rId18"/>
  </externalReferences>
  <definedNames>
    <definedName name="_xlnm._FilterDatabase" localSheetId="5" hidden="1">'Rendiciones'!$N$664:$O$665</definedName>
    <definedName name="_xlnm.Print_Area" localSheetId="7">'2024 &amp; 2023 &amp; 2022'!$B$2:$R$53</definedName>
    <definedName name="_xlnm.Print_Area" localSheetId="8">'2024&amp;2023&amp; 2022 G. Extra'!$B$1:$R$69</definedName>
    <definedName name="_xlnm.Print_Area" localSheetId="12">'Sueldos y Salarios 2023'!$B$2:$R$72</definedName>
    <definedName name="_xlnm.Print_Area" localSheetId="13">'Sueldos y Salarios 2024'!$B$2:$R$72</definedName>
    <definedName name="NativeTimeline_Fecha1">#N/A</definedName>
    <definedName name="NativeTimeline_Fecha2">#N/A</definedName>
    <definedName name="SegmentaciónDeDatos_C.C.">#N/A</definedName>
    <definedName name="SegmentaciónDeDatos_C.C.1">#N/A</definedName>
    <definedName name="SegmentaciónDeDatos_Cuenta1">#N/A</definedName>
    <definedName name="SegmentaciónDeDatos_Cuenta11">#N/A</definedName>
    <definedName name="SegmentaciónDeDatos_Detalle">#N/A</definedName>
    <definedName name="SegmentaciónDeDatos_Detalle1">#N/A</definedName>
    <definedName name="SegmentaciónDeDatos_Mes">#N/A</definedName>
    <definedName name="SegmentaciónDeDatos_Nombre_Solicitante">#N/A</definedName>
    <definedName name="SegmentaciónDeDatos_Nombre_Solicitante1">#N/A</definedName>
    <definedName name="SegmentaciónDeDatos_Nro_Rend.">#N/A</definedName>
  </definedNames>
  <calcPr calcId="191029"/>
  <pivotCaches>
    <pivotCache cacheId="20" r:id="rId19"/>
    <pivotCache cacheId="25" r:id="rId20"/>
    <pivotCache cacheId="30" r:id="rId21"/>
    <pivotCache cacheId="36" r:id="rId22"/>
  </pivotCaches>
  <extLst>
    <ext xmlns:x14="http://schemas.microsoft.com/office/spreadsheetml/2009/9/main" uri="{BBE1A952-AA13-448e-AADC-164F8A28A991}">
      <x14:slicerCaches>
        <x14:slicerCache r:id="rId23"/>
        <x14:slicerCache r:id="rId24"/>
        <x14:slicerCache r:id="rId25"/>
        <x14:slicerCache r:id="rId26"/>
        <x14:slicerCache r:id="rId2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28"/>
        <x15:timelineCacheRef r:id="rId29"/>
      </x15:timelineCacheRefs>
    </ext>
    <ext xmlns:x15="http://schemas.microsoft.com/office/spreadsheetml/2010/11/main" uri="{46BE6895-7355-4a93-B00E-2C351335B9C9}">
      <x15:slicerCaches xmlns:x14="http://schemas.microsoft.com/office/spreadsheetml/2009/9/main">
        <x14:slicerCache r:id="rId30"/>
        <x14:slicerCache r:id="rId31"/>
        <x14:slicerCache r:id="rId32"/>
        <x14:slicerCache r:id="rId33"/>
        <x14:slicerCache r:id="rId34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0" i="14" l="1"/>
  <c r="P39" i="14"/>
  <c r="P36" i="14"/>
  <c r="P33" i="14"/>
  <c r="N40" i="14"/>
  <c r="N37" i="14"/>
  <c r="N34" i="14"/>
  <c r="M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N635" i="3"/>
  <c r="O635" i="3" s="1"/>
  <c r="S635" i="3" s="1"/>
  <c r="N636" i="3"/>
  <c r="O636" i="3" s="1"/>
  <c r="S636" i="3" s="1"/>
  <c r="N637" i="3"/>
  <c r="O637" i="3" s="1"/>
  <c r="S637" i="3" s="1"/>
  <c r="N638" i="3"/>
  <c r="O638" i="3" s="1"/>
  <c r="S638" i="3" s="1"/>
  <c r="N639" i="3"/>
  <c r="N640" i="3"/>
  <c r="N641" i="3"/>
  <c r="N642" i="3"/>
  <c r="N643" i="3"/>
  <c r="O643" i="3" s="1"/>
  <c r="S643" i="3" s="1"/>
  <c r="N644" i="3"/>
  <c r="O644" i="3" s="1"/>
  <c r="S644" i="3" s="1"/>
  <c r="N645" i="3"/>
  <c r="O645" i="3" s="1"/>
  <c r="S645" i="3" s="1"/>
  <c r="N646" i="3"/>
  <c r="O646" i="3" s="1"/>
  <c r="S646" i="3" s="1"/>
  <c r="O639" i="3"/>
  <c r="S639" i="3" s="1"/>
  <c r="O640" i="3"/>
  <c r="S640" i="3" s="1"/>
  <c r="O641" i="3"/>
  <c r="S641" i="3" s="1"/>
  <c r="O642" i="3"/>
  <c r="S642" i="3" s="1"/>
  <c r="F647" i="3"/>
  <c r="F648" i="3"/>
  <c r="F649" i="3"/>
  <c r="F650" i="3"/>
  <c r="F651" i="3"/>
  <c r="F652" i="3"/>
  <c r="F653" i="3"/>
  <c r="F654" i="3"/>
  <c r="F655" i="3"/>
  <c r="F656" i="3"/>
  <c r="F657" i="3"/>
  <c r="F658" i="3"/>
  <c r="N647" i="3"/>
  <c r="O647" i="3" s="1"/>
  <c r="S647" i="3" s="1"/>
  <c r="N648" i="3"/>
  <c r="O648" i="3" s="1"/>
  <c r="S648" i="3" s="1"/>
  <c r="N649" i="3"/>
  <c r="O649" i="3" s="1"/>
  <c r="S649" i="3" s="1"/>
  <c r="N650" i="3"/>
  <c r="O650" i="3" s="1"/>
  <c r="S650" i="3" s="1"/>
  <c r="N651" i="3"/>
  <c r="O651" i="3" s="1"/>
  <c r="S651" i="3" s="1"/>
  <c r="N652" i="3"/>
  <c r="O652" i="3" s="1"/>
  <c r="S652" i="3" s="1"/>
  <c r="N653" i="3"/>
  <c r="O653" i="3" s="1"/>
  <c r="S653" i="3" s="1"/>
  <c r="N654" i="3"/>
  <c r="O654" i="3" s="1"/>
  <c r="S654" i="3" s="1"/>
  <c r="N655" i="3"/>
  <c r="O655" i="3" s="1"/>
  <c r="S655" i="3" s="1"/>
  <c r="N656" i="3"/>
  <c r="O656" i="3" s="1"/>
  <c r="S656" i="3" s="1"/>
  <c r="N657" i="3"/>
  <c r="O657" i="3" s="1"/>
  <c r="S657" i="3" s="1"/>
  <c r="N658" i="3"/>
  <c r="O658" i="3" s="1"/>
  <c r="S658" i="3" s="1"/>
  <c r="N634" i="3"/>
  <c r="O634" i="3"/>
  <c r="S634" i="3" s="1"/>
  <c r="F634" i="3"/>
  <c r="M633" i="3"/>
  <c r="N633" i="3"/>
  <c r="F633" i="3"/>
  <c r="N632" i="3"/>
  <c r="O632" i="3" s="1"/>
  <c r="S632" i="3" s="1"/>
  <c r="F632" i="3"/>
  <c r="N631" i="3"/>
  <c r="O631" i="3" s="1"/>
  <c r="S631" i="3" s="1"/>
  <c r="F631" i="3"/>
  <c r="N629" i="3"/>
  <c r="O629" i="3"/>
  <c r="S629" i="3" s="1"/>
  <c r="F629" i="3"/>
  <c r="M628" i="3"/>
  <c r="N628" i="3"/>
  <c r="O628" i="3"/>
  <c r="S628" i="3" s="1"/>
  <c r="F628" i="3"/>
  <c r="M627" i="3"/>
  <c r="N627" i="3"/>
  <c r="O627" i="3" s="1"/>
  <c r="S627" i="3" s="1"/>
  <c r="F627" i="3"/>
  <c r="F626" i="3"/>
  <c r="N623" i="3"/>
  <c r="O623" i="3" s="1"/>
  <c r="S623" i="3" s="1"/>
  <c r="F623" i="3"/>
  <c r="N622" i="3"/>
  <c r="O622" i="3" s="1"/>
  <c r="S622" i="3" s="1"/>
  <c r="F622" i="3"/>
  <c r="M621" i="3"/>
  <c r="N621" i="3"/>
  <c r="O621" i="3" s="1"/>
  <c r="S621" i="3" s="1"/>
  <c r="F621" i="3"/>
  <c r="N620" i="3"/>
  <c r="O620" i="3" s="1"/>
  <c r="S620" i="3" s="1"/>
  <c r="F620" i="3"/>
  <c r="N619" i="3"/>
  <c r="O619" i="3" s="1"/>
  <c r="S619" i="3" s="1"/>
  <c r="F619" i="3"/>
  <c r="O633" i="3" l="1"/>
  <c r="S633" i="3" s="1"/>
  <c r="N617" i="3" l="1"/>
  <c r="O617" i="3" s="1"/>
  <c r="S617" i="3" s="1"/>
  <c r="F617" i="3"/>
  <c r="N616" i="3"/>
  <c r="O616" i="3" s="1"/>
  <c r="S616" i="3" s="1"/>
  <c r="F616" i="3"/>
  <c r="N615" i="3"/>
  <c r="O615" i="3" s="1"/>
  <c r="S615" i="3" s="1"/>
  <c r="F615" i="3"/>
  <c r="N614" i="3"/>
  <c r="O614" i="3" s="1"/>
  <c r="S614" i="3" s="1"/>
  <c r="F614" i="3"/>
  <c r="N613" i="3"/>
  <c r="O613" i="3" s="1"/>
  <c r="S613" i="3" s="1"/>
  <c r="F613" i="3"/>
  <c r="R664" i="3"/>
  <c r="R665" i="3" s="1"/>
  <c r="N611" i="3"/>
  <c r="O611" i="3" s="1"/>
  <c r="S611" i="3" s="1"/>
  <c r="N609" i="3"/>
  <c r="M609" i="3"/>
  <c r="F605" i="3"/>
  <c r="M603" i="3"/>
  <c r="M602" i="3"/>
  <c r="N601" i="3"/>
  <c r="O601" i="3" s="1"/>
  <c r="S601" i="3" s="1"/>
  <c r="F601" i="3"/>
  <c r="N600" i="3"/>
  <c r="O600" i="3" s="1"/>
  <c r="S600" i="3" s="1"/>
  <c r="F600" i="3"/>
  <c r="N598" i="3"/>
  <c r="O598" i="3" s="1"/>
  <c r="S598" i="3" s="1"/>
  <c r="F598" i="3"/>
  <c r="N597" i="3"/>
  <c r="O597" i="3" s="1"/>
  <c r="S597" i="3" s="1"/>
  <c r="F597" i="3"/>
  <c r="N596" i="3"/>
  <c r="O596" i="3" s="1"/>
  <c r="S596" i="3" s="1"/>
  <c r="F596" i="3"/>
  <c r="N608" i="3"/>
  <c r="O608" i="3" s="1"/>
  <c r="S608" i="3" s="1"/>
  <c r="F608" i="3"/>
  <c r="F520" i="3"/>
  <c r="F519" i="3"/>
  <c r="F518" i="3"/>
  <c r="F512" i="3"/>
  <c r="N512" i="3"/>
  <c r="O512" i="3" s="1"/>
  <c r="S512" i="3" s="1"/>
  <c r="O609" i="3" l="1"/>
  <c r="S609" i="3" s="1"/>
  <c r="N607" i="3"/>
  <c r="O607" i="3" s="1"/>
  <c r="S607" i="3" s="1"/>
  <c r="F607" i="3"/>
  <c r="F604" i="3"/>
  <c r="F603" i="3"/>
  <c r="F602" i="3"/>
  <c r="F599" i="3"/>
  <c r="F606" i="3"/>
  <c r="F612" i="3"/>
  <c r="N599" i="3"/>
  <c r="O599" i="3" s="1"/>
  <c r="S599" i="3" s="1"/>
  <c r="N602" i="3"/>
  <c r="O602" i="3" s="1"/>
  <c r="S602" i="3" s="1"/>
  <c r="N603" i="3"/>
  <c r="O603" i="3" s="1"/>
  <c r="S603" i="3" s="1"/>
  <c r="N604" i="3"/>
  <c r="O604" i="3" s="1"/>
  <c r="S604" i="3" s="1"/>
  <c r="N605" i="3"/>
  <c r="O605" i="3" s="1"/>
  <c r="S605" i="3" s="1"/>
  <c r="N606" i="3"/>
  <c r="O606" i="3" s="1"/>
  <c r="S606" i="3" s="1"/>
  <c r="N610" i="3"/>
  <c r="O610" i="3" s="1"/>
  <c r="S610" i="3" s="1"/>
  <c r="N612" i="3"/>
  <c r="O612" i="3" s="1"/>
  <c r="S612" i="3" s="1"/>
  <c r="F618" i="3"/>
  <c r="F624" i="3"/>
  <c r="F625" i="3"/>
  <c r="F630" i="3"/>
  <c r="N618" i="3"/>
  <c r="O618" i="3" s="1"/>
  <c r="S618" i="3" s="1"/>
  <c r="N624" i="3"/>
  <c r="O624" i="3" s="1"/>
  <c r="S624" i="3" s="1"/>
  <c r="N625" i="3"/>
  <c r="O625" i="3" s="1"/>
  <c r="S625" i="3" s="1"/>
  <c r="N626" i="3"/>
  <c r="O626" i="3" s="1"/>
  <c r="S626" i="3" s="1"/>
  <c r="N630" i="3"/>
  <c r="O630" i="3" s="1"/>
  <c r="S630" i="3" s="1"/>
  <c r="M595" i="3"/>
  <c r="F595" i="3"/>
  <c r="F594" i="3"/>
  <c r="M593" i="3"/>
  <c r="F593" i="3"/>
  <c r="N591" i="3" l="1"/>
  <c r="O591" i="3" s="1"/>
  <c r="S591" i="3" s="1"/>
  <c r="F591" i="3"/>
  <c r="N590" i="3"/>
  <c r="O590" i="3" s="1"/>
  <c r="S590" i="3" s="1"/>
  <c r="F590" i="3"/>
  <c r="N589" i="3"/>
  <c r="O589" i="3" s="1"/>
  <c r="S589" i="3" s="1"/>
  <c r="F589" i="3"/>
  <c r="M587" i="3" l="1"/>
  <c r="N587" i="3"/>
  <c r="F587" i="3"/>
  <c r="M586" i="3"/>
  <c r="N586" i="3"/>
  <c r="O586" i="3" s="1"/>
  <c r="S586" i="3" s="1"/>
  <c r="F586" i="3"/>
  <c r="M585" i="3"/>
  <c r="N585" i="3"/>
  <c r="F585" i="3"/>
  <c r="N581" i="3"/>
  <c r="O581" i="3" s="1"/>
  <c r="S581" i="3" s="1"/>
  <c r="F581" i="3"/>
  <c r="N580" i="3"/>
  <c r="O580" i="3" s="1"/>
  <c r="S580" i="3" s="1"/>
  <c r="F580" i="3"/>
  <c r="M579" i="3"/>
  <c r="N579" i="3"/>
  <c r="F579" i="3"/>
  <c r="M559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82" i="3"/>
  <c r="F583" i="3"/>
  <c r="F584" i="3"/>
  <c r="F588" i="3"/>
  <c r="N566" i="3"/>
  <c r="O566" i="3" s="1"/>
  <c r="S566" i="3" s="1"/>
  <c r="N567" i="3"/>
  <c r="O567" i="3" s="1"/>
  <c r="S567" i="3" s="1"/>
  <c r="N568" i="3"/>
  <c r="O568" i="3" s="1"/>
  <c r="S568" i="3" s="1"/>
  <c r="N569" i="3"/>
  <c r="O569" i="3" s="1"/>
  <c r="S569" i="3" s="1"/>
  <c r="N570" i="3"/>
  <c r="O570" i="3" s="1"/>
  <c r="S570" i="3" s="1"/>
  <c r="N571" i="3"/>
  <c r="O571" i="3" s="1"/>
  <c r="S571" i="3" s="1"/>
  <c r="N572" i="3"/>
  <c r="O572" i="3" s="1"/>
  <c r="S572" i="3" s="1"/>
  <c r="N573" i="3"/>
  <c r="O573" i="3" s="1"/>
  <c r="S573" i="3" s="1"/>
  <c r="N574" i="3"/>
  <c r="O574" i="3" s="1"/>
  <c r="S574" i="3" s="1"/>
  <c r="N575" i="3"/>
  <c r="O575" i="3" s="1"/>
  <c r="S575" i="3" s="1"/>
  <c r="N576" i="3"/>
  <c r="O576" i="3" s="1"/>
  <c r="S576" i="3" s="1"/>
  <c r="N577" i="3"/>
  <c r="O577" i="3" s="1"/>
  <c r="S577" i="3" s="1"/>
  <c r="N578" i="3"/>
  <c r="O578" i="3" s="1"/>
  <c r="S578" i="3" s="1"/>
  <c r="N582" i="3"/>
  <c r="O582" i="3" s="1"/>
  <c r="S582" i="3" s="1"/>
  <c r="N583" i="3"/>
  <c r="O583" i="3" s="1"/>
  <c r="S583" i="3" s="1"/>
  <c r="N584" i="3"/>
  <c r="O584" i="3" s="1"/>
  <c r="S584" i="3" s="1"/>
  <c r="N588" i="3"/>
  <c r="O588" i="3" s="1"/>
  <c r="S588" i="3" s="1"/>
  <c r="O587" i="3" l="1"/>
  <c r="S587" i="3" s="1"/>
  <c r="O585" i="3"/>
  <c r="S585" i="3" s="1"/>
  <c r="O579" i="3"/>
  <c r="S579" i="3" s="1"/>
  <c r="N558" i="3"/>
  <c r="O558" i="3" s="1"/>
  <c r="S558" i="3" s="1"/>
  <c r="F558" i="3"/>
  <c r="F560" i="3"/>
  <c r="F561" i="3"/>
  <c r="F562" i="3"/>
  <c r="F563" i="3"/>
  <c r="F564" i="3"/>
  <c r="F565" i="3"/>
  <c r="F592" i="3"/>
  <c r="N560" i="3"/>
  <c r="O560" i="3" s="1"/>
  <c r="S560" i="3" s="1"/>
  <c r="N561" i="3"/>
  <c r="O561" i="3" s="1"/>
  <c r="S561" i="3" s="1"/>
  <c r="N562" i="3"/>
  <c r="O562" i="3" s="1"/>
  <c r="S562" i="3" s="1"/>
  <c r="N563" i="3"/>
  <c r="O563" i="3" s="1"/>
  <c r="S563" i="3" s="1"/>
  <c r="N564" i="3"/>
  <c r="O564" i="3" s="1"/>
  <c r="S564" i="3" s="1"/>
  <c r="N565" i="3"/>
  <c r="O565" i="3" s="1"/>
  <c r="S565" i="3" s="1"/>
  <c r="N592" i="3"/>
  <c r="O592" i="3" s="1"/>
  <c r="S592" i="3" s="1"/>
  <c r="N593" i="3"/>
  <c r="O593" i="3" s="1"/>
  <c r="S593" i="3" s="1"/>
  <c r="N594" i="3"/>
  <c r="O594" i="3" s="1"/>
  <c r="S594" i="3" s="1"/>
  <c r="N595" i="3"/>
  <c r="O595" i="3" s="1"/>
  <c r="S595" i="3" s="1"/>
  <c r="M557" i="3"/>
  <c r="N557" i="3"/>
  <c r="O557" i="3" s="1"/>
  <c r="S557" i="3" s="1"/>
  <c r="F557" i="3"/>
  <c r="N556" i="3"/>
  <c r="O556" i="3" s="1"/>
  <c r="S556" i="3" s="1"/>
  <c r="F556" i="3"/>
  <c r="M555" i="3"/>
  <c r="N555" i="3"/>
  <c r="F555" i="3"/>
  <c r="N554" i="3"/>
  <c r="O554" i="3" s="1"/>
  <c r="S554" i="3" s="1"/>
  <c r="F554" i="3"/>
  <c r="N553" i="3"/>
  <c r="O553" i="3" s="1"/>
  <c r="S553" i="3" s="1"/>
  <c r="F553" i="3"/>
  <c r="N552" i="3"/>
  <c r="O552" i="3" s="1"/>
  <c r="S552" i="3" s="1"/>
  <c r="F552" i="3"/>
  <c r="N551" i="3"/>
  <c r="O551" i="3" s="1"/>
  <c r="S551" i="3" s="1"/>
  <c r="F551" i="3"/>
  <c r="N550" i="3"/>
  <c r="O550" i="3" s="1"/>
  <c r="S550" i="3" s="1"/>
  <c r="F550" i="3"/>
  <c r="F549" i="3"/>
  <c r="N549" i="3"/>
  <c r="O549" i="3" s="1"/>
  <c r="S549" i="3" s="1"/>
  <c r="N548" i="3"/>
  <c r="O548" i="3" s="1"/>
  <c r="S548" i="3" s="1"/>
  <c r="F548" i="3"/>
  <c r="N547" i="3"/>
  <c r="O547" i="3" s="1"/>
  <c r="S547" i="3" s="1"/>
  <c r="F547" i="3"/>
  <c r="M544" i="3"/>
  <c r="F546" i="3"/>
  <c r="N545" i="3"/>
  <c r="O545" i="3" s="1"/>
  <c r="S545" i="3" s="1"/>
  <c r="F545" i="3"/>
  <c r="N544" i="3"/>
  <c r="F544" i="3"/>
  <c r="N543" i="3"/>
  <c r="O543" i="3" s="1"/>
  <c r="S543" i="3" s="1"/>
  <c r="F543" i="3"/>
  <c r="N542" i="3"/>
  <c r="O542" i="3" s="1"/>
  <c r="S542" i="3" s="1"/>
  <c r="F542" i="3"/>
  <c r="M541" i="3"/>
  <c r="N541" i="3"/>
  <c r="F541" i="3"/>
  <c r="N540" i="3"/>
  <c r="O540" i="3" s="1"/>
  <c r="S540" i="3" s="1"/>
  <c r="F540" i="3"/>
  <c r="N538" i="3"/>
  <c r="O538" i="3" s="1"/>
  <c r="S538" i="3" s="1"/>
  <c r="F538" i="3"/>
  <c r="N537" i="3"/>
  <c r="O537" i="3" s="1"/>
  <c r="S537" i="3" s="1"/>
  <c r="F537" i="3"/>
  <c r="N536" i="3"/>
  <c r="O536" i="3" s="1"/>
  <c r="S536" i="3" s="1"/>
  <c r="F536" i="3"/>
  <c r="O541" i="3" l="1"/>
  <c r="S541" i="3" s="1"/>
  <c r="O544" i="3"/>
  <c r="S544" i="3" s="1"/>
  <c r="O555" i="3"/>
  <c r="S555" i="3" s="1"/>
  <c r="N546" i="3"/>
  <c r="O546" i="3" s="1"/>
  <c r="S546" i="3" s="1"/>
  <c r="M534" i="3"/>
  <c r="M533" i="3"/>
  <c r="F534" i="3"/>
  <c r="N533" i="3"/>
  <c r="O533" i="3" s="1"/>
  <c r="S533" i="3" s="1"/>
  <c r="F533" i="3"/>
  <c r="N532" i="3"/>
  <c r="O532" i="3" s="1"/>
  <c r="S532" i="3" s="1"/>
  <c r="F532" i="3"/>
  <c r="N531" i="3"/>
  <c r="O531" i="3" s="1"/>
  <c r="S531" i="3" s="1"/>
  <c r="F531" i="3"/>
  <c r="N530" i="3"/>
  <c r="O530" i="3" s="1"/>
  <c r="S530" i="3" s="1"/>
  <c r="F530" i="3"/>
  <c r="N527" i="3"/>
  <c r="O527" i="3" s="1"/>
  <c r="S527" i="3" s="1"/>
  <c r="F527" i="3"/>
  <c r="N534" i="3" l="1"/>
  <c r="O534" i="3" s="1"/>
  <c r="S534" i="3" s="1"/>
  <c r="F535" i="3" l="1"/>
  <c r="F539" i="3"/>
  <c r="N535" i="3"/>
  <c r="O535" i="3" s="1"/>
  <c r="S535" i="3" s="1"/>
  <c r="N539" i="3"/>
  <c r="O539" i="3" s="1"/>
  <c r="S539" i="3" s="1"/>
  <c r="N526" i="3"/>
  <c r="O526" i="3" s="1"/>
  <c r="S526" i="3" s="1"/>
  <c r="F526" i="3"/>
  <c r="M525" i="3"/>
  <c r="N525" i="3"/>
  <c r="F525" i="3"/>
  <c r="N524" i="3"/>
  <c r="O524" i="3" s="1"/>
  <c r="S524" i="3" s="1"/>
  <c r="F524" i="3"/>
  <c r="N523" i="3"/>
  <c r="O523" i="3" s="1"/>
  <c r="S523" i="3" s="1"/>
  <c r="F523" i="3"/>
  <c r="N522" i="3"/>
  <c r="F522" i="3"/>
  <c r="M521" i="3"/>
  <c r="N520" i="3"/>
  <c r="N519" i="3"/>
  <c r="O519" i="3" s="1"/>
  <c r="S519" i="3" s="1"/>
  <c r="N517" i="3"/>
  <c r="O517" i="3" s="1"/>
  <c r="S517" i="3" s="1"/>
  <c r="F517" i="3"/>
  <c r="M514" i="3"/>
  <c r="M516" i="3"/>
  <c r="N516" i="3"/>
  <c r="F516" i="3"/>
  <c r="M515" i="3"/>
  <c r="N515" i="3"/>
  <c r="F515" i="3"/>
  <c r="N514" i="3"/>
  <c r="F514" i="3"/>
  <c r="M513" i="3"/>
  <c r="N513" i="3"/>
  <c r="O513" i="3" s="1"/>
  <c r="S513" i="3" s="1"/>
  <c r="F513" i="3"/>
  <c r="M511" i="3"/>
  <c r="N511" i="3"/>
  <c r="F511" i="3"/>
  <c r="M510" i="3"/>
  <c r="N510" i="3"/>
  <c r="F510" i="3"/>
  <c r="M509" i="3"/>
  <c r="N509" i="3"/>
  <c r="F509" i="3"/>
  <c r="M508" i="3"/>
  <c r="N508" i="3"/>
  <c r="F508" i="3"/>
  <c r="M507" i="3"/>
  <c r="N507" i="3"/>
  <c r="F507" i="3"/>
  <c r="N506" i="3"/>
  <c r="O506" i="3" s="1"/>
  <c r="S506" i="3" s="1"/>
  <c r="F506" i="3"/>
  <c r="M505" i="3"/>
  <c r="F521" i="3"/>
  <c r="N518" i="3"/>
  <c r="N521" i="3"/>
  <c r="F504" i="3"/>
  <c r="F503" i="3"/>
  <c r="F502" i="3"/>
  <c r="F505" i="3"/>
  <c r="F528" i="3"/>
  <c r="F529" i="3"/>
  <c r="N502" i="3"/>
  <c r="O502" i="3" s="1"/>
  <c r="S502" i="3" s="1"/>
  <c r="N503" i="3"/>
  <c r="O503" i="3" s="1"/>
  <c r="S503" i="3" s="1"/>
  <c r="N504" i="3"/>
  <c r="O504" i="3" s="1"/>
  <c r="S504" i="3" s="1"/>
  <c r="N505" i="3"/>
  <c r="N528" i="3"/>
  <c r="O528" i="3" s="1"/>
  <c r="S528" i="3" s="1"/>
  <c r="N529" i="3"/>
  <c r="O529" i="3" s="1"/>
  <c r="S529" i="3" s="1"/>
  <c r="M500" i="3"/>
  <c r="N500" i="3"/>
  <c r="F500" i="3"/>
  <c r="N499" i="3"/>
  <c r="O499" i="3" s="1"/>
  <c r="S499" i="3" s="1"/>
  <c r="F499" i="3"/>
  <c r="N497" i="3"/>
  <c r="O497" i="3" s="1"/>
  <c r="S497" i="3" s="1"/>
  <c r="F497" i="3"/>
  <c r="M496" i="3"/>
  <c r="N496" i="3"/>
  <c r="F496" i="3"/>
  <c r="N495" i="3"/>
  <c r="O495" i="3" s="1"/>
  <c r="S495" i="3" s="1"/>
  <c r="F495" i="3"/>
  <c r="M494" i="3"/>
  <c r="N494" i="3"/>
  <c r="F494" i="3"/>
  <c r="M493" i="3"/>
  <c r="N493" i="3"/>
  <c r="F493" i="3"/>
  <c r="N492" i="3"/>
  <c r="O492" i="3" s="1"/>
  <c r="S492" i="3" s="1"/>
  <c r="F492" i="3"/>
  <c r="N491" i="3"/>
  <c r="O491" i="3" s="1"/>
  <c r="S491" i="3" s="1"/>
  <c r="F491" i="3"/>
  <c r="N490" i="3"/>
  <c r="O490" i="3" s="1"/>
  <c r="S490" i="3" s="1"/>
  <c r="F490" i="3"/>
  <c r="N489" i="3"/>
  <c r="O489" i="3" s="1"/>
  <c r="S489" i="3" s="1"/>
  <c r="F489" i="3"/>
  <c r="N488" i="3"/>
  <c r="O488" i="3" s="1"/>
  <c r="S488" i="3" s="1"/>
  <c r="F488" i="3"/>
  <c r="N487" i="3"/>
  <c r="F487" i="3"/>
  <c r="M486" i="3"/>
  <c r="F485" i="3"/>
  <c r="N484" i="3"/>
  <c r="O484" i="3" s="1"/>
  <c r="F484" i="3"/>
  <c r="N439" i="3"/>
  <c r="O439" i="3" s="1"/>
  <c r="F559" i="3"/>
  <c r="F501" i="3"/>
  <c r="F498" i="3"/>
  <c r="F486" i="3"/>
  <c r="F439" i="3"/>
  <c r="N498" i="3"/>
  <c r="O498" i="3" s="1"/>
  <c r="S498" i="3" s="1"/>
  <c r="N501" i="3"/>
  <c r="O501" i="3" s="1"/>
  <c r="S501" i="3" s="1"/>
  <c r="N559" i="3"/>
  <c r="O559" i="3" s="1"/>
  <c r="S559" i="3" s="1"/>
  <c r="O515" i="3" l="1"/>
  <c r="S515" i="3" s="1"/>
  <c r="O525" i="3"/>
  <c r="S525" i="3" s="1"/>
  <c r="O505" i="3"/>
  <c r="S505" i="3" s="1"/>
  <c r="O507" i="3"/>
  <c r="S507" i="3" s="1"/>
  <c r="O520" i="3"/>
  <c r="S520" i="3" s="1"/>
  <c r="O514" i="3"/>
  <c r="S514" i="3" s="1"/>
  <c r="O508" i="3"/>
  <c r="S508" i="3" s="1"/>
  <c r="O521" i="3"/>
  <c r="S521" i="3" s="1"/>
  <c r="O518" i="3"/>
  <c r="S518" i="3" s="1"/>
  <c r="O522" i="3"/>
  <c r="S522" i="3" s="1"/>
  <c r="O510" i="3"/>
  <c r="S510" i="3" s="1"/>
  <c r="O516" i="3"/>
  <c r="S516" i="3" s="1"/>
  <c r="O511" i="3"/>
  <c r="S511" i="3" s="1"/>
  <c r="O500" i="3"/>
  <c r="S500" i="3" s="1"/>
  <c r="O509" i="3"/>
  <c r="S509" i="3" s="1"/>
  <c r="O494" i="3"/>
  <c r="S494" i="3" s="1"/>
  <c r="O496" i="3"/>
  <c r="S496" i="3" s="1"/>
  <c r="O493" i="3"/>
  <c r="S493" i="3" s="1"/>
  <c r="O487" i="3"/>
  <c r="S487" i="3" s="1"/>
  <c r="M472" i="3"/>
  <c r="F476" i="3" l="1"/>
  <c r="F475" i="3"/>
  <c r="F474" i="3"/>
  <c r="F473" i="3"/>
  <c r="F472" i="3"/>
  <c r="N468" i="3" l="1"/>
  <c r="O468" i="3" s="1"/>
  <c r="S468" i="3" s="1"/>
  <c r="F468" i="3"/>
  <c r="M453" i="3"/>
  <c r="N465" i="3"/>
  <c r="O465" i="3" s="1"/>
  <c r="S465" i="3" s="1"/>
  <c r="F465" i="3"/>
  <c r="N464" i="3"/>
  <c r="O464" i="3" s="1"/>
  <c r="S464" i="3" s="1"/>
  <c r="F464" i="3"/>
  <c r="F466" i="3"/>
  <c r="F467" i="3"/>
  <c r="F469" i="3"/>
  <c r="F470" i="3"/>
  <c r="F471" i="3"/>
  <c r="N466" i="3"/>
  <c r="O466" i="3" s="1"/>
  <c r="S466" i="3" s="1"/>
  <c r="N467" i="3"/>
  <c r="O467" i="3" s="1"/>
  <c r="S467" i="3" s="1"/>
  <c r="N469" i="3"/>
  <c r="O469" i="3" s="1"/>
  <c r="S469" i="3" s="1"/>
  <c r="N470" i="3"/>
  <c r="O470" i="3" s="1"/>
  <c r="S470" i="3" s="1"/>
  <c r="N471" i="3"/>
  <c r="O471" i="3" s="1"/>
  <c r="S471" i="3" s="1"/>
  <c r="N472" i="3"/>
  <c r="O472" i="3" s="1"/>
  <c r="S472" i="3" s="1"/>
  <c r="N473" i="3"/>
  <c r="O473" i="3" s="1"/>
  <c r="S473" i="3" s="1"/>
  <c r="N474" i="3"/>
  <c r="O474" i="3" s="1"/>
  <c r="S474" i="3" s="1"/>
  <c r="N475" i="3"/>
  <c r="O475" i="3" s="1"/>
  <c r="S475" i="3" s="1"/>
  <c r="N476" i="3"/>
  <c r="O476" i="3" s="1"/>
  <c r="S476" i="3" s="1"/>
  <c r="F477" i="3"/>
  <c r="F478" i="3"/>
  <c r="F479" i="3"/>
  <c r="F480" i="3"/>
  <c r="F481" i="3"/>
  <c r="F482" i="3"/>
  <c r="F483" i="3"/>
  <c r="N477" i="3"/>
  <c r="O477" i="3" s="1"/>
  <c r="S477" i="3" s="1"/>
  <c r="N478" i="3"/>
  <c r="O478" i="3" s="1"/>
  <c r="S478" i="3" s="1"/>
  <c r="N479" i="3"/>
  <c r="O479" i="3" s="1"/>
  <c r="S479" i="3" s="1"/>
  <c r="N480" i="3"/>
  <c r="O480" i="3" s="1"/>
  <c r="S480" i="3" s="1"/>
  <c r="N481" i="3"/>
  <c r="O481" i="3" s="1"/>
  <c r="S481" i="3" s="1"/>
  <c r="N482" i="3"/>
  <c r="O482" i="3" s="1"/>
  <c r="S482" i="3" s="1"/>
  <c r="N483" i="3"/>
  <c r="N485" i="3"/>
  <c r="O485" i="3" s="1"/>
  <c r="S485" i="3" s="1"/>
  <c r="N486" i="3"/>
  <c r="O486" i="3" s="1"/>
  <c r="S486" i="3" s="1"/>
  <c r="M463" i="3"/>
  <c r="N463" i="3"/>
  <c r="F463" i="3"/>
  <c r="M462" i="3"/>
  <c r="N462" i="3"/>
  <c r="F462" i="3"/>
  <c r="M461" i="3"/>
  <c r="N461" i="3"/>
  <c r="F461" i="3"/>
  <c r="N460" i="3"/>
  <c r="O460" i="3" s="1"/>
  <c r="S460" i="3" s="1"/>
  <c r="F460" i="3"/>
  <c r="N459" i="3"/>
  <c r="O459" i="3" s="1"/>
  <c r="S459" i="3" s="1"/>
  <c r="F459" i="3"/>
  <c r="N458" i="3"/>
  <c r="O458" i="3" s="1"/>
  <c r="S458" i="3" s="1"/>
  <c r="F458" i="3"/>
  <c r="N457" i="3"/>
  <c r="O457" i="3" s="1"/>
  <c r="S457" i="3" s="1"/>
  <c r="F457" i="3"/>
  <c r="N456" i="3"/>
  <c r="O456" i="3" s="1"/>
  <c r="S456" i="3" s="1"/>
  <c r="F456" i="3"/>
  <c r="N455" i="3"/>
  <c r="O455" i="3" s="1"/>
  <c r="S455" i="3" s="1"/>
  <c r="F455" i="3"/>
  <c r="F454" i="3"/>
  <c r="M449" i="3"/>
  <c r="M452" i="3"/>
  <c r="N452" i="3"/>
  <c r="F452" i="3"/>
  <c r="N451" i="3"/>
  <c r="O451" i="3" s="1"/>
  <c r="S451" i="3" s="1"/>
  <c r="F451" i="3"/>
  <c r="N450" i="3"/>
  <c r="O450" i="3" s="1"/>
  <c r="S450" i="3" s="1"/>
  <c r="F450" i="3"/>
  <c r="N448" i="3"/>
  <c r="O448" i="3" s="1"/>
  <c r="S448" i="3" s="1"/>
  <c r="F448" i="3"/>
  <c r="M447" i="3"/>
  <c r="O462" i="3" l="1"/>
  <c r="S462" i="3" s="1"/>
  <c r="O483" i="3"/>
  <c r="S483" i="3" s="1"/>
  <c r="O461" i="3"/>
  <c r="S461" i="3" s="1"/>
  <c r="O463" i="3"/>
  <c r="S463" i="3" s="1"/>
  <c r="O452" i="3"/>
  <c r="S452" i="3" s="1"/>
  <c r="N454" i="3"/>
  <c r="O454" i="3" s="1"/>
  <c r="S454" i="3" s="1"/>
  <c r="M445" i="3" l="1"/>
  <c r="N445" i="3"/>
  <c r="F445" i="3"/>
  <c r="M444" i="3"/>
  <c r="O445" i="3" l="1"/>
  <c r="S445" i="3" s="1"/>
  <c r="M443" i="3"/>
  <c r="N443" i="3"/>
  <c r="F443" i="3"/>
  <c r="N442" i="3"/>
  <c r="O442" i="3" s="1"/>
  <c r="S442" i="3" s="1"/>
  <c r="F442" i="3"/>
  <c r="N441" i="3"/>
  <c r="O441" i="3" s="1"/>
  <c r="S441" i="3" s="1"/>
  <c r="F441" i="3"/>
  <c r="N437" i="3"/>
  <c r="O437" i="3" s="1"/>
  <c r="F437" i="3"/>
  <c r="N435" i="3"/>
  <c r="O435" i="3" s="1"/>
  <c r="S435" i="3" s="1"/>
  <c r="F435" i="3"/>
  <c r="M434" i="3"/>
  <c r="N434" i="3"/>
  <c r="F434" i="3"/>
  <c r="M433" i="3"/>
  <c r="N433" i="3"/>
  <c r="F433" i="3"/>
  <c r="N432" i="3"/>
  <c r="O432" i="3" s="1"/>
  <c r="S432" i="3" s="1"/>
  <c r="F432" i="3"/>
  <c r="N431" i="3"/>
  <c r="O431" i="3" s="1"/>
  <c r="S431" i="3" s="1"/>
  <c r="F431" i="3"/>
  <c r="N430" i="3"/>
  <c r="O430" i="3" s="1"/>
  <c r="S430" i="3" s="1"/>
  <c r="F430" i="3"/>
  <c r="O443" i="3" l="1"/>
  <c r="S443" i="3" s="1"/>
  <c r="S437" i="3"/>
  <c r="O434" i="3"/>
  <c r="S434" i="3" s="1"/>
  <c r="O433" i="3"/>
  <c r="S433" i="3" s="1"/>
  <c r="F427" i="3" l="1"/>
  <c r="M426" i="3"/>
  <c r="N426" i="3" l="1"/>
  <c r="O426" i="3" s="1"/>
  <c r="S426" i="3" s="1"/>
  <c r="F426" i="3"/>
  <c r="M425" i="3"/>
  <c r="N425" i="3"/>
  <c r="F425" i="3"/>
  <c r="M424" i="3"/>
  <c r="N424" i="3"/>
  <c r="O424" i="3" s="1"/>
  <c r="S424" i="3" s="1"/>
  <c r="F424" i="3"/>
  <c r="M423" i="3"/>
  <c r="N423" i="3"/>
  <c r="F423" i="3"/>
  <c r="M422" i="3"/>
  <c r="N422" i="3"/>
  <c r="F422" i="3"/>
  <c r="M421" i="3"/>
  <c r="N421" i="3"/>
  <c r="F421" i="3"/>
  <c r="M420" i="3"/>
  <c r="O423" i="3" l="1"/>
  <c r="S423" i="3" s="1"/>
  <c r="O425" i="3"/>
  <c r="S425" i="3" s="1"/>
  <c r="O422" i="3"/>
  <c r="S422" i="3" s="1"/>
  <c r="O421" i="3"/>
  <c r="S421" i="3" s="1"/>
  <c r="F420" i="3" l="1"/>
  <c r="F446" i="3"/>
  <c r="F428" i="3"/>
  <c r="F429" i="3"/>
  <c r="N420" i="3"/>
  <c r="O420" i="3" s="1"/>
  <c r="S420" i="3" s="1"/>
  <c r="N427" i="3"/>
  <c r="O427" i="3" s="1"/>
  <c r="S427" i="3" s="1"/>
  <c r="N446" i="3"/>
  <c r="O446" i="3" s="1"/>
  <c r="S446" i="3" s="1"/>
  <c r="N428" i="3"/>
  <c r="O428" i="3" s="1"/>
  <c r="S428" i="3" s="1"/>
  <c r="N429" i="3"/>
  <c r="O429" i="3" s="1"/>
  <c r="S429" i="3" s="1"/>
  <c r="F436" i="3"/>
  <c r="F438" i="3"/>
  <c r="F440" i="3"/>
  <c r="F444" i="3"/>
  <c r="F447" i="3"/>
  <c r="N436" i="3"/>
  <c r="N438" i="3"/>
  <c r="O438" i="3" s="1"/>
  <c r="S438" i="3" s="1"/>
  <c r="N440" i="3"/>
  <c r="O440" i="3" s="1"/>
  <c r="S440" i="3" s="1"/>
  <c r="N444" i="3"/>
  <c r="O444" i="3" s="1"/>
  <c r="S444" i="3" s="1"/>
  <c r="N447" i="3"/>
  <c r="O447" i="3" s="1"/>
  <c r="S447" i="3" s="1"/>
  <c r="F449" i="3"/>
  <c r="F453" i="3"/>
  <c r="N449" i="3"/>
  <c r="O449" i="3" s="1"/>
  <c r="S449" i="3" s="1"/>
  <c r="N453" i="3"/>
  <c r="N418" i="3"/>
  <c r="O418" i="3" s="1"/>
  <c r="S418" i="3" s="1"/>
  <c r="F418" i="3"/>
  <c r="N417" i="3"/>
  <c r="O417" i="3" s="1"/>
  <c r="S417" i="3" s="1"/>
  <c r="F417" i="3"/>
  <c r="N416" i="3"/>
  <c r="O416" i="3" s="1"/>
  <c r="S416" i="3" s="1"/>
  <c r="F416" i="3"/>
  <c r="M415" i="3"/>
  <c r="N414" i="3"/>
  <c r="O414" i="3" s="1"/>
  <c r="S414" i="3" s="1"/>
  <c r="F414" i="3"/>
  <c r="M413" i="3"/>
  <c r="N413" i="3"/>
  <c r="F413" i="3"/>
  <c r="M412" i="3"/>
  <c r="N412" i="3"/>
  <c r="F412" i="3"/>
  <c r="M411" i="3"/>
  <c r="O436" i="3" l="1"/>
  <c r="S436" i="3" s="1"/>
  <c r="O453" i="3"/>
  <c r="S453" i="3" s="1"/>
  <c r="O413" i="3"/>
  <c r="S413" i="3" s="1"/>
  <c r="O412" i="3"/>
  <c r="S412" i="3" s="1"/>
  <c r="M409" i="3" l="1"/>
  <c r="N410" i="3"/>
  <c r="O410" i="3" s="1"/>
  <c r="S410" i="3" s="1"/>
  <c r="F410" i="3"/>
  <c r="N409" i="3"/>
  <c r="F409" i="3"/>
  <c r="N408" i="3"/>
  <c r="O408" i="3" s="1"/>
  <c r="S408" i="3" s="1"/>
  <c r="F408" i="3"/>
  <c r="M407" i="3"/>
  <c r="N406" i="3"/>
  <c r="O406" i="3" s="1"/>
  <c r="S406" i="3" s="1"/>
  <c r="F406" i="3"/>
  <c r="N405" i="3"/>
  <c r="O405" i="3" s="1"/>
  <c r="S405" i="3" s="1"/>
  <c r="F405" i="3"/>
  <c r="N404" i="3"/>
  <c r="O404" i="3" s="1"/>
  <c r="S404" i="3" s="1"/>
  <c r="F404" i="3"/>
  <c r="N402" i="3"/>
  <c r="O402" i="3" s="1"/>
  <c r="S402" i="3" s="1"/>
  <c r="F402" i="3"/>
  <c r="N401" i="3"/>
  <c r="O401" i="3" s="1"/>
  <c r="S401" i="3" s="1"/>
  <c r="F401" i="3"/>
  <c r="N400" i="3"/>
  <c r="O400" i="3" s="1"/>
  <c r="S400" i="3" s="1"/>
  <c r="F400" i="3"/>
  <c r="M399" i="3"/>
  <c r="N398" i="3"/>
  <c r="F398" i="3"/>
  <c r="M397" i="3"/>
  <c r="N394" i="3"/>
  <c r="O394" i="3" s="1"/>
  <c r="S394" i="3" s="1"/>
  <c r="F394" i="3"/>
  <c r="N393" i="3"/>
  <c r="O393" i="3" s="1"/>
  <c r="S393" i="3" s="1"/>
  <c r="F393" i="3"/>
  <c r="N392" i="3"/>
  <c r="O392" i="3" s="1"/>
  <c r="S392" i="3" s="1"/>
  <c r="F392" i="3"/>
  <c r="N391" i="3"/>
  <c r="O391" i="3" s="1"/>
  <c r="S391" i="3" s="1"/>
  <c r="F391" i="3"/>
  <c r="F399" i="3"/>
  <c r="F403" i="3"/>
  <c r="F407" i="3"/>
  <c r="F411" i="3"/>
  <c r="F415" i="3"/>
  <c r="N399" i="3"/>
  <c r="N403" i="3"/>
  <c r="O403" i="3" s="1"/>
  <c r="S403" i="3" s="1"/>
  <c r="N407" i="3"/>
  <c r="O407" i="3" s="1"/>
  <c r="S407" i="3" s="1"/>
  <c r="N411" i="3"/>
  <c r="O411" i="3" s="1"/>
  <c r="S411" i="3" s="1"/>
  <c r="N415" i="3"/>
  <c r="O415" i="3" s="1"/>
  <c r="S415" i="3" s="1"/>
  <c r="N389" i="3"/>
  <c r="O389" i="3" s="1"/>
  <c r="S389" i="3" s="1"/>
  <c r="F389" i="3"/>
  <c r="N388" i="3"/>
  <c r="O388" i="3" s="1"/>
  <c r="S388" i="3" s="1"/>
  <c r="F388" i="3"/>
  <c r="N387" i="3"/>
  <c r="O387" i="3" s="1"/>
  <c r="S387" i="3" s="1"/>
  <c r="F387" i="3"/>
  <c r="M385" i="3"/>
  <c r="O399" i="3" l="1"/>
  <c r="S399" i="3" s="1"/>
  <c r="O409" i="3"/>
  <c r="S409" i="3" s="1"/>
  <c r="O398" i="3"/>
  <c r="S398" i="3" s="1"/>
  <c r="N384" i="3" l="1"/>
  <c r="O384" i="3" s="1"/>
  <c r="S384" i="3" s="1"/>
  <c r="F384" i="3"/>
  <c r="M383" i="3"/>
  <c r="N383" i="3"/>
  <c r="F383" i="3"/>
  <c r="M382" i="3"/>
  <c r="N382" i="3"/>
  <c r="F382" i="3"/>
  <c r="M381" i="3"/>
  <c r="N381" i="3"/>
  <c r="F381" i="3"/>
  <c r="N380" i="3"/>
  <c r="O380" i="3" s="1"/>
  <c r="F380" i="3"/>
  <c r="N379" i="3"/>
  <c r="O379" i="3" s="1"/>
  <c r="N378" i="3"/>
  <c r="O378" i="3" s="1"/>
  <c r="N377" i="3"/>
  <c r="O377" i="3" s="1"/>
  <c r="F379" i="3"/>
  <c r="F378" i="3"/>
  <c r="F377" i="3"/>
  <c r="N376" i="3"/>
  <c r="O376" i="3" s="1"/>
  <c r="F376" i="3"/>
  <c r="F385" i="3"/>
  <c r="F386" i="3"/>
  <c r="F390" i="3"/>
  <c r="F395" i="3"/>
  <c r="N385" i="3"/>
  <c r="O385" i="3" s="1"/>
  <c r="S385" i="3" s="1"/>
  <c r="N386" i="3"/>
  <c r="O386" i="3" s="1"/>
  <c r="S386" i="3" s="1"/>
  <c r="N390" i="3"/>
  <c r="O390" i="3" s="1"/>
  <c r="S390" i="3" s="1"/>
  <c r="N395" i="3"/>
  <c r="O395" i="3" s="1"/>
  <c r="S395" i="3" s="1"/>
  <c r="N373" i="3"/>
  <c r="O373" i="3" s="1"/>
  <c r="S373" i="3" s="1"/>
  <c r="F373" i="3"/>
  <c r="M372" i="3"/>
  <c r="N372" i="3"/>
  <c r="F372" i="3"/>
  <c r="M371" i="3"/>
  <c r="N371" i="3"/>
  <c r="F371" i="3"/>
  <c r="N370" i="3"/>
  <c r="O370" i="3" s="1"/>
  <c r="S370" i="3" s="1"/>
  <c r="F370" i="3"/>
  <c r="N369" i="3"/>
  <c r="F369" i="3"/>
  <c r="M368" i="3"/>
  <c r="N368" i="3"/>
  <c r="F368" i="3"/>
  <c r="N367" i="3"/>
  <c r="O367" i="3" s="1"/>
  <c r="S367" i="3" s="1"/>
  <c r="F367" i="3"/>
  <c r="N366" i="3"/>
  <c r="O366" i="3" s="1"/>
  <c r="S366" i="3" s="1"/>
  <c r="F366" i="3"/>
  <c r="N365" i="3"/>
  <c r="O365" i="3" s="1"/>
  <c r="S365" i="3" s="1"/>
  <c r="F365" i="3"/>
  <c r="N364" i="3"/>
  <c r="O364" i="3" s="1"/>
  <c r="S364" i="3" s="1"/>
  <c r="F364" i="3"/>
  <c r="N363" i="3"/>
  <c r="O363" i="3" s="1"/>
  <c r="S363" i="3" s="1"/>
  <c r="F363" i="3"/>
  <c r="N362" i="3"/>
  <c r="O362" i="3" s="1"/>
  <c r="S362" i="3" s="1"/>
  <c r="F362" i="3"/>
  <c r="M359" i="3"/>
  <c r="N359" i="3"/>
  <c r="F359" i="3"/>
  <c r="N358" i="3"/>
  <c r="O358" i="3" s="1"/>
  <c r="S358" i="3" s="1"/>
  <c r="F358" i="3"/>
  <c r="N357" i="3"/>
  <c r="O357" i="3" s="1"/>
  <c r="S357" i="3" s="1"/>
  <c r="F357" i="3"/>
  <c r="M356" i="3"/>
  <c r="N356" i="3"/>
  <c r="F356" i="3"/>
  <c r="N355" i="3"/>
  <c r="O355" i="3" s="1"/>
  <c r="S355" i="3" s="1"/>
  <c r="F355" i="3"/>
  <c r="N354" i="3"/>
  <c r="O354" i="3" s="1"/>
  <c r="S354" i="3" s="1"/>
  <c r="F354" i="3"/>
  <c r="M353" i="3"/>
  <c r="N353" i="3"/>
  <c r="F353" i="3"/>
  <c r="M352" i="3"/>
  <c r="N352" i="3"/>
  <c r="F352" i="3"/>
  <c r="M351" i="3"/>
  <c r="N350" i="3"/>
  <c r="O350" i="3" s="1"/>
  <c r="S350" i="3" s="1"/>
  <c r="F350" i="3"/>
  <c r="N349" i="3"/>
  <c r="O349" i="3" s="1"/>
  <c r="S349" i="3" s="1"/>
  <c r="F349" i="3"/>
  <c r="O381" i="3" l="1"/>
  <c r="O383" i="3"/>
  <c r="O368" i="3"/>
  <c r="S368" i="3" s="1"/>
  <c r="O356" i="3"/>
  <c r="S356" i="3" s="1"/>
  <c r="O372" i="3"/>
  <c r="S372" i="3" s="1"/>
  <c r="O382" i="3"/>
  <c r="S378" i="3"/>
  <c r="S379" i="3"/>
  <c r="S377" i="3"/>
  <c r="S376" i="3"/>
  <c r="O371" i="3"/>
  <c r="S371" i="3" s="1"/>
  <c r="O369" i="3"/>
  <c r="S369" i="3" s="1"/>
  <c r="O353" i="3"/>
  <c r="S353" i="3" s="1"/>
  <c r="O359" i="3"/>
  <c r="S359" i="3" s="1"/>
  <c r="O352" i="3"/>
  <c r="S352" i="3" s="1"/>
  <c r="M347" i="3" l="1"/>
  <c r="N347" i="3"/>
  <c r="F347" i="3"/>
  <c r="N346" i="3"/>
  <c r="O346" i="3" s="1"/>
  <c r="S346" i="3" s="1"/>
  <c r="F346" i="3"/>
  <c r="M345" i="3"/>
  <c r="N345" i="3"/>
  <c r="O345" i="3" s="1"/>
  <c r="S345" i="3" s="1"/>
  <c r="F345" i="3"/>
  <c r="N344" i="3"/>
  <c r="O344" i="3" s="1"/>
  <c r="S344" i="3" s="1"/>
  <c r="F344" i="3"/>
  <c r="N343" i="3"/>
  <c r="O343" i="3" s="1"/>
  <c r="S343" i="3" s="1"/>
  <c r="F343" i="3"/>
  <c r="N342" i="3"/>
  <c r="O342" i="3" s="1"/>
  <c r="S342" i="3" s="1"/>
  <c r="F342" i="3"/>
  <c r="N341" i="3"/>
  <c r="O341" i="3" s="1"/>
  <c r="S341" i="3" s="1"/>
  <c r="F341" i="3"/>
  <c r="F348" i="3"/>
  <c r="F351" i="3"/>
  <c r="N348" i="3"/>
  <c r="O348" i="3" s="1"/>
  <c r="S348" i="3" s="1"/>
  <c r="N351" i="3"/>
  <c r="O351" i="3" s="1"/>
  <c r="S351" i="3" s="1"/>
  <c r="F360" i="3"/>
  <c r="F361" i="3"/>
  <c r="F374" i="3"/>
  <c r="F375" i="3"/>
  <c r="N360" i="3"/>
  <c r="O360" i="3" s="1"/>
  <c r="S360" i="3" s="1"/>
  <c r="N361" i="3"/>
  <c r="O361" i="3" s="1"/>
  <c r="S361" i="3" s="1"/>
  <c r="N374" i="3"/>
  <c r="O374" i="3" s="1"/>
  <c r="S374" i="3" s="1"/>
  <c r="N375" i="3"/>
  <c r="F131" i="3"/>
  <c r="F130" i="3"/>
  <c r="F129" i="3"/>
  <c r="F128" i="3"/>
  <c r="F127" i="3"/>
  <c r="F126" i="3"/>
  <c r="F125" i="3"/>
  <c r="F124" i="3"/>
  <c r="N337" i="3"/>
  <c r="O337" i="3" s="1"/>
  <c r="S337" i="3" s="1"/>
  <c r="F337" i="3"/>
  <c r="N336" i="3"/>
  <c r="O336" i="3" s="1"/>
  <c r="S336" i="3" s="1"/>
  <c r="F336" i="3"/>
  <c r="M335" i="3"/>
  <c r="N335" i="3"/>
  <c r="F335" i="3"/>
  <c r="M334" i="3"/>
  <c r="F338" i="3"/>
  <c r="F339" i="3"/>
  <c r="F340" i="3"/>
  <c r="F396" i="3"/>
  <c r="F397" i="3"/>
  <c r="N338" i="3"/>
  <c r="O338" i="3" s="1"/>
  <c r="S338" i="3" s="1"/>
  <c r="N339" i="3"/>
  <c r="O339" i="3" s="1"/>
  <c r="S339" i="3" s="1"/>
  <c r="N340" i="3"/>
  <c r="O340" i="3" s="1"/>
  <c r="S340" i="3" s="1"/>
  <c r="N396" i="3"/>
  <c r="O396" i="3" s="1"/>
  <c r="S396" i="3" s="1"/>
  <c r="N397" i="3"/>
  <c r="O397" i="3" s="1"/>
  <c r="S397" i="3" s="1"/>
  <c r="M333" i="3"/>
  <c r="N333" i="3"/>
  <c r="F333" i="3"/>
  <c r="M332" i="3"/>
  <c r="N332" i="3"/>
  <c r="F332" i="3"/>
  <c r="M331" i="3"/>
  <c r="F331" i="3"/>
  <c r="L330" i="3"/>
  <c r="N330" i="3" s="1"/>
  <c r="F330" i="3"/>
  <c r="M329" i="3"/>
  <c r="N329" i="3"/>
  <c r="F329" i="3"/>
  <c r="M328" i="3"/>
  <c r="O347" i="3" l="1"/>
  <c r="S347" i="3" s="1"/>
  <c r="O375" i="3"/>
  <c r="S375" i="3" s="1"/>
  <c r="S380" i="3"/>
  <c r="S381" i="3"/>
  <c r="S382" i="3"/>
  <c r="O333" i="3"/>
  <c r="S333" i="3" s="1"/>
  <c r="O329" i="3"/>
  <c r="S329" i="3" s="1"/>
  <c r="O332" i="3"/>
  <c r="S332" i="3" s="1"/>
  <c r="O335" i="3"/>
  <c r="S335" i="3" s="1"/>
  <c r="N331" i="3"/>
  <c r="O331" i="3" s="1"/>
  <c r="S331" i="3" s="1"/>
  <c r="O330" i="3"/>
  <c r="S330" i="3" s="1"/>
  <c r="N326" i="3"/>
  <c r="O326" i="3" s="1"/>
  <c r="S326" i="3" s="1"/>
  <c r="F326" i="3"/>
  <c r="M325" i="3"/>
  <c r="N325" i="3"/>
  <c r="F325" i="3"/>
  <c r="M324" i="3"/>
  <c r="N324" i="3"/>
  <c r="F324" i="3"/>
  <c r="M323" i="3"/>
  <c r="N323" i="3"/>
  <c r="F323" i="3"/>
  <c r="M322" i="3"/>
  <c r="M319" i="3"/>
  <c r="N321" i="3"/>
  <c r="F321" i="3"/>
  <c r="M320" i="3"/>
  <c r="N320" i="3"/>
  <c r="F320" i="3"/>
  <c r="F249" i="3"/>
  <c r="N249" i="3"/>
  <c r="O249" i="3" s="1"/>
  <c r="S249" i="3" s="1"/>
  <c r="O325" i="3" l="1"/>
  <c r="S325" i="3" s="1"/>
  <c r="S383" i="3"/>
  <c r="O324" i="3"/>
  <c r="S324" i="3" s="1"/>
  <c r="O323" i="3"/>
  <c r="S323" i="3" s="1"/>
  <c r="O321" i="3"/>
  <c r="S321" i="3" s="1"/>
  <c r="O320" i="3"/>
  <c r="S320" i="3" s="1"/>
  <c r="N317" i="3" l="1"/>
  <c r="O317" i="3" s="1"/>
  <c r="S317" i="3" s="1"/>
  <c r="F317" i="3"/>
  <c r="M315" i="3"/>
  <c r="N315" i="3"/>
  <c r="O315" i="3" s="1"/>
  <c r="S315" i="3" s="1"/>
  <c r="F315" i="3"/>
  <c r="M314" i="3"/>
  <c r="N314" i="3"/>
  <c r="F314" i="3"/>
  <c r="M313" i="3"/>
  <c r="N313" i="3"/>
  <c r="F313" i="3"/>
  <c r="N311" i="3"/>
  <c r="O311" i="3" s="1"/>
  <c r="S311" i="3" s="1"/>
  <c r="F311" i="3"/>
  <c r="O313" i="3" l="1"/>
  <c r="S313" i="3" s="1"/>
  <c r="O314" i="3"/>
  <c r="S314" i="3" s="1"/>
  <c r="N310" i="3" l="1"/>
  <c r="O310" i="3" s="1"/>
  <c r="S310" i="3" s="1"/>
  <c r="F310" i="3"/>
  <c r="N309" i="3"/>
  <c r="O309" i="3" s="1"/>
  <c r="S309" i="3" s="1"/>
  <c r="F309" i="3"/>
  <c r="AA3" i="3"/>
  <c r="N307" i="3" l="1"/>
  <c r="O307" i="3" s="1"/>
  <c r="S307" i="3" s="1"/>
  <c r="F307" i="3"/>
  <c r="N306" i="3"/>
  <c r="O306" i="3" s="1"/>
  <c r="S306" i="3" s="1"/>
  <c r="F306" i="3"/>
  <c r="N305" i="3"/>
  <c r="O305" i="3" s="1"/>
  <c r="S305" i="3" s="1"/>
  <c r="F305" i="3"/>
  <c r="N304" i="3"/>
  <c r="O304" i="3" s="1"/>
  <c r="S304" i="3" s="1"/>
  <c r="F304" i="3"/>
  <c r="N303" i="3"/>
  <c r="O303" i="3" s="1"/>
  <c r="S303" i="3" s="1"/>
  <c r="F303" i="3"/>
  <c r="M302" i="3" l="1"/>
  <c r="N302" i="3"/>
  <c r="F302" i="3"/>
  <c r="M301" i="3"/>
  <c r="N301" i="3"/>
  <c r="F301" i="3"/>
  <c r="N300" i="3"/>
  <c r="O300" i="3" s="1"/>
  <c r="S300" i="3" s="1"/>
  <c r="F300" i="3"/>
  <c r="N299" i="3"/>
  <c r="O299" i="3" s="1"/>
  <c r="S299" i="3" s="1"/>
  <c r="F299" i="3"/>
  <c r="M298" i="3"/>
  <c r="N298" i="3"/>
  <c r="F298" i="3"/>
  <c r="N297" i="3"/>
  <c r="O297" i="3" s="1"/>
  <c r="S297" i="3" s="1"/>
  <c r="F297" i="3"/>
  <c r="M296" i="3"/>
  <c r="M295" i="3"/>
  <c r="N296" i="3"/>
  <c r="F296" i="3"/>
  <c r="N295" i="3"/>
  <c r="F295" i="3"/>
  <c r="N294" i="3"/>
  <c r="O294" i="3" s="1"/>
  <c r="S294" i="3" s="1"/>
  <c r="F294" i="3"/>
  <c r="N293" i="3"/>
  <c r="O293" i="3" s="1"/>
  <c r="S293" i="3" s="1"/>
  <c r="F293" i="3"/>
  <c r="N292" i="3"/>
  <c r="O292" i="3" s="1"/>
  <c r="S292" i="3" s="1"/>
  <c r="F292" i="3"/>
  <c r="M289" i="3"/>
  <c r="M290" i="3"/>
  <c r="M291" i="3"/>
  <c r="F291" i="3"/>
  <c r="F290" i="3"/>
  <c r="N289" i="3"/>
  <c r="F289" i="3"/>
  <c r="N288" i="3"/>
  <c r="O288" i="3" s="1"/>
  <c r="S288" i="3" s="1"/>
  <c r="F288" i="3"/>
  <c r="M287" i="3"/>
  <c r="N287" i="3"/>
  <c r="F287" i="3"/>
  <c r="M286" i="3"/>
  <c r="N286" i="3"/>
  <c r="F286" i="3"/>
  <c r="M285" i="3"/>
  <c r="O289" i="3" l="1"/>
  <c r="S289" i="3" s="1"/>
  <c r="O287" i="3"/>
  <c r="S287" i="3" s="1"/>
  <c r="O301" i="3"/>
  <c r="S301" i="3" s="1"/>
  <c r="O295" i="3"/>
  <c r="S295" i="3" s="1"/>
  <c r="O302" i="3"/>
  <c r="S302" i="3" s="1"/>
  <c r="O298" i="3"/>
  <c r="S298" i="3" s="1"/>
  <c r="O296" i="3"/>
  <c r="S296" i="3" s="1"/>
  <c r="O286" i="3"/>
  <c r="S286" i="3" s="1"/>
  <c r="N291" i="3"/>
  <c r="O291" i="3" s="1"/>
  <c r="S291" i="3" s="1"/>
  <c r="N290" i="3"/>
  <c r="O290" i="3" s="1"/>
  <c r="S290" i="3" s="1"/>
  <c r="N284" i="3" l="1"/>
  <c r="F284" i="3"/>
  <c r="M283" i="3"/>
  <c r="N283" i="3"/>
  <c r="O283" i="3" s="1"/>
  <c r="S283" i="3" s="1"/>
  <c r="F283" i="3"/>
  <c r="N282" i="3"/>
  <c r="O282" i="3" s="1"/>
  <c r="S282" i="3" s="1"/>
  <c r="F282" i="3"/>
  <c r="M281" i="3"/>
  <c r="O284" i="3" l="1"/>
  <c r="S284" i="3" s="1"/>
  <c r="M276" i="3"/>
  <c r="N280" i="3"/>
  <c r="O280" i="3" s="1"/>
  <c r="S280" i="3" s="1"/>
  <c r="F280" i="3"/>
  <c r="M277" i="3"/>
  <c r="M278" i="3"/>
  <c r="N279" i="3"/>
  <c r="O279" i="3" s="1"/>
  <c r="S279" i="3" s="1"/>
  <c r="F279" i="3"/>
  <c r="N278" i="3"/>
  <c r="F278" i="3"/>
  <c r="O278" i="3" l="1"/>
  <c r="S278" i="3" s="1"/>
  <c r="N277" i="3"/>
  <c r="O277" i="3" s="1"/>
  <c r="S277" i="3" s="1"/>
  <c r="F277" i="3"/>
  <c r="N276" i="3"/>
  <c r="O276" i="3" s="1"/>
  <c r="S276" i="3" s="1"/>
  <c r="F276" i="3"/>
  <c r="F275" i="3"/>
  <c r="F274" i="3"/>
  <c r="F273" i="3"/>
  <c r="F272" i="3"/>
  <c r="F271" i="3"/>
  <c r="F270" i="3"/>
  <c r="F269" i="3"/>
  <c r="F268" i="3"/>
  <c r="F267" i="3"/>
  <c r="F266" i="3"/>
  <c r="F265" i="3"/>
  <c r="F259" i="3"/>
  <c r="F258" i="3"/>
  <c r="F257" i="3"/>
  <c r="F256" i="3"/>
  <c r="F255" i="3"/>
  <c r="F254" i="3"/>
  <c r="N275" i="3"/>
  <c r="O275" i="3" s="1"/>
  <c r="S275" i="3" s="1"/>
  <c r="N274" i="3"/>
  <c r="O274" i="3" s="1"/>
  <c r="S274" i="3" s="1"/>
  <c r="N273" i="3"/>
  <c r="O273" i="3" s="1"/>
  <c r="S273" i="3" s="1"/>
  <c r="O272" i="3"/>
  <c r="S272" i="3" s="1"/>
  <c r="N271" i="3"/>
  <c r="O271" i="3" s="1"/>
  <c r="S271" i="3" s="1"/>
  <c r="N270" i="3"/>
  <c r="O270" i="3" s="1"/>
  <c r="S270" i="3" s="1"/>
  <c r="N269" i="3"/>
  <c r="O269" i="3" s="1"/>
  <c r="S269" i="3" s="1"/>
  <c r="M268" i="3"/>
  <c r="N268" i="3"/>
  <c r="N267" i="3"/>
  <c r="O267" i="3" s="1"/>
  <c r="S267" i="3" s="1"/>
  <c r="M266" i="3"/>
  <c r="M265" i="3"/>
  <c r="N265" i="3"/>
  <c r="O265" i="3" s="1"/>
  <c r="S265" i="3" s="1"/>
  <c r="O268" i="3" l="1"/>
  <c r="S268" i="3" s="1"/>
  <c r="M262" i="3"/>
  <c r="M264" i="3"/>
  <c r="N264" i="3"/>
  <c r="F264" i="3"/>
  <c r="M263" i="3"/>
  <c r="N263" i="3"/>
  <c r="F263" i="3"/>
  <c r="N262" i="3"/>
  <c r="F262" i="3"/>
  <c r="N261" i="3"/>
  <c r="F261" i="3"/>
  <c r="M251" i="3"/>
  <c r="N258" i="3"/>
  <c r="M257" i="3"/>
  <c r="N256" i="3"/>
  <c r="N257" i="3"/>
  <c r="M256" i="3"/>
  <c r="N254" i="3"/>
  <c r="N253" i="3"/>
  <c r="F253" i="3"/>
  <c r="N252" i="3"/>
  <c r="F252" i="3"/>
  <c r="N251" i="3"/>
  <c r="F251" i="3"/>
  <c r="M242" i="3"/>
  <c r="M248" i="3"/>
  <c r="N248" i="3"/>
  <c r="F248" i="3"/>
  <c r="F201" i="3"/>
  <c r="N201" i="3"/>
  <c r="O201" i="3" s="1"/>
  <c r="N247" i="3"/>
  <c r="F247" i="3"/>
  <c r="M246" i="3"/>
  <c r="N246" i="3"/>
  <c r="F246" i="3"/>
  <c r="M245" i="3"/>
  <c r="N245" i="3"/>
  <c r="F245" i="3"/>
  <c r="N244" i="3"/>
  <c r="F244" i="3"/>
  <c r="F243" i="3"/>
  <c r="F242" i="3"/>
  <c r="N241" i="3"/>
  <c r="F241" i="3"/>
  <c r="M240" i="3"/>
  <c r="N240" i="3"/>
  <c r="F240" i="3"/>
  <c r="M239" i="3"/>
  <c r="N239" i="3"/>
  <c r="F239" i="3"/>
  <c r="M238" i="3"/>
  <c r="N238" i="3"/>
  <c r="F238" i="3"/>
  <c r="N237" i="3"/>
  <c r="F237" i="3"/>
  <c r="N236" i="3"/>
  <c r="F236" i="3"/>
  <c r="N235" i="3"/>
  <c r="F235" i="3"/>
  <c r="N234" i="3"/>
  <c r="F234" i="3"/>
  <c r="N233" i="3"/>
  <c r="F233" i="3"/>
  <c r="N231" i="3"/>
  <c r="F231" i="3"/>
  <c r="N230" i="3"/>
  <c r="F230" i="3"/>
  <c r="M229" i="3"/>
  <c r="N229" i="3"/>
  <c r="F229" i="3"/>
  <c r="N228" i="3"/>
  <c r="F228" i="3"/>
  <c r="M227" i="3"/>
  <c r="N227" i="3"/>
  <c r="F227" i="3"/>
  <c r="N226" i="3"/>
  <c r="F226" i="3"/>
  <c r="M221" i="3"/>
  <c r="N225" i="3"/>
  <c r="F225" i="3"/>
  <c r="N224" i="3"/>
  <c r="F224" i="3"/>
  <c r="M223" i="3"/>
  <c r="N223" i="3"/>
  <c r="F223" i="3"/>
  <c r="N222" i="3"/>
  <c r="F222" i="3"/>
  <c r="N221" i="3"/>
  <c r="F221" i="3"/>
  <c r="M220" i="3"/>
  <c r="N220" i="3"/>
  <c r="F220" i="3"/>
  <c r="M219" i="3"/>
  <c r="N219" i="3"/>
  <c r="F219" i="3"/>
  <c r="N218" i="3"/>
  <c r="F218" i="3"/>
  <c r="M217" i="3"/>
  <c r="N217" i="3"/>
  <c r="F217" i="3"/>
  <c r="M216" i="3"/>
  <c r="N216" i="3"/>
  <c r="F216" i="3"/>
  <c r="N215" i="3"/>
  <c r="F215" i="3"/>
  <c r="N214" i="3"/>
  <c r="F214" i="3"/>
  <c r="M211" i="3"/>
  <c r="M213" i="3"/>
  <c r="N213" i="3"/>
  <c r="F213" i="3"/>
  <c r="M212" i="3"/>
  <c r="F212" i="3"/>
  <c r="N211" i="3"/>
  <c r="F211" i="3"/>
  <c r="M210" i="3"/>
  <c r="N210" i="3"/>
  <c r="F210" i="3"/>
  <c r="M209" i="3"/>
  <c r="N209" i="3"/>
  <c r="F209" i="3"/>
  <c r="N208" i="3"/>
  <c r="F208" i="3"/>
  <c r="N206" i="3"/>
  <c r="F206" i="3"/>
  <c r="M205" i="3"/>
  <c r="N205" i="3"/>
  <c r="F205" i="3"/>
  <c r="M204" i="3"/>
  <c r="N20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2" i="3"/>
  <c r="N203" i="3"/>
  <c r="N207" i="3"/>
  <c r="N232" i="3"/>
  <c r="N250" i="3"/>
  <c r="N259" i="3"/>
  <c r="N260" i="3"/>
  <c r="N266" i="3"/>
  <c r="N281" i="3"/>
  <c r="N285" i="3"/>
  <c r="N308" i="3"/>
  <c r="N312" i="3"/>
  <c r="N316" i="3"/>
  <c r="N318" i="3"/>
  <c r="N319" i="3"/>
  <c r="N322" i="3"/>
  <c r="N327" i="3"/>
  <c r="N328" i="3"/>
  <c r="N334" i="3"/>
  <c r="N419" i="3"/>
  <c r="N659" i="3"/>
  <c r="F204" i="3"/>
  <c r="M203" i="3"/>
  <c r="F200" i="3"/>
  <c r="F199" i="3"/>
  <c r="F198" i="3"/>
  <c r="F197" i="3"/>
  <c r="F195" i="3"/>
  <c r="M196" i="3"/>
  <c r="F194" i="3"/>
  <c r="M193" i="3"/>
  <c r="F193" i="3"/>
  <c r="M192" i="3"/>
  <c r="F207" i="3"/>
  <c r="F203" i="3"/>
  <c r="F202" i="3"/>
  <c r="F196" i="3"/>
  <c r="F192" i="3"/>
  <c r="F191" i="3"/>
  <c r="F190" i="3"/>
  <c r="F187" i="3"/>
  <c r="F185" i="3"/>
  <c r="M184" i="3"/>
  <c r="F184" i="3"/>
  <c r="M183" i="3"/>
  <c r="F183" i="3"/>
  <c r="M182" i="3"/>
  <c r="F179" i="3"/>
  <c r="M178" i="3"/>
  <c r="F178" i="3"/>
  <c r="F177" i="3"/>
  <c r="M176" i="3"/>
  <c r="F175" i="3"/>
  <c r="F174" i="3"/>
  <c r="M173" i="3"/>
  <c r="F173" i="3"/>
  <c r="M172" i="3"/>
  <c r="F171" i="3"/>
  <c r="F170" i="3"/>
  <c r="M167" i="3"/>
  <c r="F169" i="3"/>
  <c r="M168" i="3"/>
  <c r="F168" i="3"/>
  <c r="S201" i="3" l="1"/>
  <c r="O256" i="3"/>
  <c r="O264" i="3"/>
  <c r="S264" i="3" s="1"/>
  <c r="O263" i="3"/>
  <c r="S263" i="3" s="1"/>
  <c r="O262" i="3"/>
  <c r="S262" i="3" s="1"/>
  <c r="O261" i="3"/>
  <c r="S261" i="3" s="1"/>
  <c r="O258" i="3"/>
  <c r="S258" i="3" s="1"/>
  <c r="O257" i="3"/>
  <c r="S257" i="3" s="1"/>
  <c r="O255" i="3"/>
  <c r="S255" i="3" s="1"/>
  <c r="O254" i="3"/>
  <c r="S254" i="3" s="1"/>
  <c r="O253" i="3"/>
  <c r="O252" i="3"/>
  <c r="S252" i="3" s="1"/>
  <c r="O251" i="3"/>
  <c r="S251" i="3" s="1"/>
  <c r="O248" i="3"/>
  <c r="S248" i="3" s="1"/>
  <c r="O247" i="3"/>
  <c r="S247" i="3" s="1"/>
  <c r="O246" i="3"/>
  <c r="S246" i="3" s="1"/>
  <c r="O245" i="3"/>
  <c r="S245" i="3" s="1"/>
  <c r="O244" i="3"/>
  <c r="S244" i="3" s="1"/>
  <c r="N243" i="3"/>
  <c r="O242" i="3"/>
  <c r="S242" i="3" s="1"/>
  <c r="O241" i="3"/>
  <c r="S241" i="3" s="1"/>
  <c r="O240" i="3"/>
  <c r="S240" i="3" s="1"/>
  <c r="O239" i="3"/>
  <c r="S239" i="3" s="1"/>
  <c r="O238" i="3"/>
  <c r="S238" i="3" s="1"/>
  <c r="O237" i="3"/>
  <c r="S237" i="3" s="1"/>
  <c r="O236" i="3"/>
  <c r="S236" i="3" s="1"/>
  <c r="O235" i="3"/>
  <c r="S235" i="3" s="1"/>
  <c r="O234" i="3"/>
  <c r="S234" i="3" s="1"/>
  <c r="O233" i="3"/>
  <c r="S233" i="3" s="1"/>
  <c r="O231" i="3"/>
  <c r="S231" i="3" s="1"/>
  <c r="O227" i="3"/>
  <c r="O230" i="3"/>
  <c r="S230" i="3" s="1"/>
  <c r="O229" i="3"/>
  <c r="S229" i="3" s="1"/>
  <c r="O228" i="3"/>
  <c r="S228" i="3" s="1"/>
  <c r="O226" i="3"/>
  <c r="S226" i="3" s="1"/>
  <c r="O225" i="3"/>
  <c r="S225" i="3" s="1"/>
  <c r="O224" i="3"/>
  <c r="S224" i="3" s="1"/>
  <c r="O223" i="3"/>
  <c r="S223" i="3" s="1"/>
  <c r="O222" i="3"/>
  <c r="S222" i="3" s="1"/>
  <c r="O221" i="3"/>
  <c r="S221" i="3" s="1"/>
  <c r="O220" i="3"/>
  <c r="S220" i="3" s="1"/>
  <c r="O219" i="3"/>
  <c r="S219" i="3" s="1"/>
  <c r="O218" i="3"/>
  <c r="S218" i="3" s="1"/>
  <c r="O217" i="3"/>
  <c r="S217" i="3" s="1"/>
  <c r="O216" i="3"/>
  <c r="S216" i="3" s="1"/>
  <c r="O215" i="3"/>
  <c r="S215" i="3" s="1"/>
  <c r="O214" i="3"/>
  <c r="S214" i="3" s="1"/>
  <c r="O213" i="3"/>
  <c r="S213" i="3" s="1"/>
  <c r="N212" i="3"/>
  <c r="O211" i="3"/>
  <c r="S211" i="3" s="1"/>
  <c r="O210" i="3"/>
  <c r="S210" i="3" s="1"/>
  <c r="O209" i="3"/>
  <c r="S209" i="3" s="1"/>
  <c r="O208" i="3"/>
  <c r="S208" i="3" s="1"/>
  <c r="O206" i="3"/>
  <c r="S206" i="3" s="1"/>
  <c r="O205" i="3"/>
  <c r="S205" i="3" s="1"/>
  <c r="O177" i="3"/>
  <c r="S177" i="3" s="1"/>
  <c r="O173" i="3"/>
  <c r="S173" i="3" s="1"/>
  <c r="O170" i="3"/>
  <c r="S170" i="3" s="1"/>
  <c r="O190" i="3"/>
  <c r="S190" i="3" s="1"/>
  <c r="O187" i="3"/>
  <c r="S187" i="3" s="1"/>
  <c r="O185" i="3"/>
  <c r="S185" i="3" s="1"/>
  <c r="O179" i="3"/>
  <c r="S179" i="3" s="1"/>
  <c r="O178" i="3"/>
  <c r="S178" i="3" s="1"/>
  <c r="O175" i="3"/>
  <c r="S175" i="3" s="1"/>
  <c r="O174" i="3"/>
  <c r="S174" i="3" s="1"/>
  <c r="O171" i="3"/>
  <c r="S171" i="3" s="1"/>
  <c r="O169" i="3"/>
  <c r="S169" i="3" s="1"/>
  <c r="O204" i="3"/>
  <c r="S204" i="3" s="1"/>
  <c r="O200" i="3"/>
  <c r="S200" i="3" s="1"/>
  <c r="O199" i="3"/>
  <c r="S199" i="3" s="1"/>
  <c r="O198" i="3"/>
  <c r="S198" i="3" s="1"/>
  <c r="O197" i="3"/>
  <c r="S197" i="3" s="1"/>
  <c r="O195" i="3"/>
  <c r="S195" i="3" s="1"/>
  <c r="O184" i="3"/>
  <c r="S184" i="3" s="1"/>
  <c r="O194" i="3"/>
  <c r="S194" i="3" s="1"/>
  <c r="O193" i="3"/>
  <c r="S193" i="3" s="1"/>
  <c r="O183" i="3"/>
  <c r="S183" i="3" s="1"/>
  <c r="O168" i="3"/>
  <c r="S168" i="3" s="1"/>
  <c r="O167" i="3"/>
  <c r="S167" i="3" s="1"/>
  <c r="F167" i="3"/>
  <c r="O166" i="3"/>
  <c r="S166" i="3" s="1"/>
  <c r="F166" i="3"/>
  <c r="M165" i="3"/>
  <c r="O165" i="3" s="1"/>
  <c r="S165" i="3" s="1"/>
  <c r="F165" i="3"/>
  <c r="M164" i="3"/>
  <c r="F164" i="3"/>
  <c r="O163" i="3"/>
  <c r="S163" i="3" s="1"/>
  <c r="F163" i="3"/>
  <c r="O162" i="3"/>
  <c r="S162" i="3" s="1"/>
  <c r="F162" i="3"/>
  <c r="O161" i="3"/>
  <c r="S161" i="3" s="1"/>
  <c r="F161" i="3"/>
  <c r="M160" i="3"/>
  <c r="O160" i="3" s="1"/>
  <c r="S160" i="3" s="1"/>
  <c r="F160" i="3"/>
  <c r="M159" i="3"/>
  <c r="F159" i="3"/>
  <c r="M158" i="3"/>
  <c r="O158" i="3" s="1"/>
  <c r="S158" i="3" s="1"/>
  <c r="F158" i="3"/>
  <c r="M157" i="3"/>
  <c r="O157" i="3" s="1"/>
  <c r="S157" i="3" s="1"/>
  <c r="F157" i="3"/>
  <c r="O156" i="3"/>
  <c r="S156" i="3" s="1"/>
  <c r="F156" i="3"/>
  <c r="M155" i="3"/>
  <c r="O155" i="3" s="1"/>
  <c r="S155" i="3" s="1"/>
  <c r="F155" i="3"/>
  <c r="S227" i="3" l="1"/>
  <c r="S256" i="3"/>
  <c r="S253" i="3"/>
  <c r="O243" i="3"/>
  <c r="S243" i="3" s="1"/>
  <c r="O212" i="3"/>
  <c r="S212" i="3" s="1"/>
  <c r="O164" i="3"/>
  <c r="S164" i="3" s="1"/>
  <c r="O159" i="3"/>
  <c r="S159" i="3" s="1"/>
  <c r="F154" i="3" l="1"/>
  <c r="F172" i="3"/>
  <c r="F176" i="3"/>
  <c r="F180" i="3"/>
  <c r="F181" i="3"/>
  <c r="F182" i="3"/>
  <c r="F186" i="3"/>
  <c r="F188" i="3"/>
  <c r="F189" i="3"/>
  <c r="F232" i="3"/>
  <c r="F250" i="3"/>
  <c r="F260" i="3"/>
  <c r="F281" i="3"/>
  <c r="F285" i="3"/>
  <c r="F308" i="3"/>
  <c r="F312" i="3"/>
  <c r="F316" i="3"/>
  <c r="F318" i="3"/>
  <c r="F319" i="3"/>
  <c r="F322" i="3"/>
  <c r="F327" i="3"/>
  <c r="F328" i="3"/>
  <c r="F334" i="3"/>
  <c r="O154" i="3"/>
  <c r="S154" i="3" s="1"/>
  <c r="O172" i="3"/>
  <c r="S172" i="3" s="1"/>
  <c r="O176" i="3"/>
  <c r="S176" i="3" s="1"/>
  <c r="O180" i="3"/>
  <c r="S180" i="3" s="1"/>
  <c r="O181" i="3"/>
  <c r="S181" i="3" s="1"/>
  <c r="O182" i="3"/>
  <c r="S182" i="3" s="1"/>
  <c r="O186" i="3"/>
  <c r="S186" i="3" s="1"/>
  <c r="O188" i="3"/>
  <c r="S188" i="3" s="1"/>
  <c r="O189" i="3"/>
  <c r="S189" i="3" s="1"/>
  <c r="O191" i="3"/>
  <c r="S191" i="3" s="1"/>
  <c r="O192" i="3"/>
  <c r="S192" i="3" s="1"/>
  <c r="O196" i="3"/>
  <c r="S196" i="3" s="1"/>
  <c r="O202" i="3"/>
  <c r="S202" i="3" s="1"/>
  <c r="O203" i="3"/>
  <c r="S203" i="3" s="1"/>
  <c r="O207" i="3"/>
  <c r="S207" i="3" s="1"/>
  <c r="O232" i="3"/>
  <c r="S232" i="3" s="1"/>
  <c r="O250" i="3"/>
  <c r="S250" i="3" s="1"/>
  <c r="O259" i="3"/>
  <c r="S259" i="3" s="1"/>
  <c r="O260" i="3"/>
  <c r="S260" i="3" s="1"/>
  <c r="O266" i="3"/>
  <c r="S266" i="3" s="1"/>
  <c r="O281" i="3"/>
  <c r="S281" i="3" s="1"/>
  <c r="O285" i="3"/>
  <c r="S285" i="3" s="1"/>
  <c r="O308" i="3"/>
  <c r="S308" i="3" s="1"/>
  <c r="O312" i="3"/>
  <c r="S312" i="3" s="1"/>
  <c r="O316" i="3"/>
  <c r="S316" i="3" s="1"/>
  <c r="O318" i="3"/>
  <c r="S318" i="3" s="1"/>
  <c r="O319" i="3"/>
  <c r="S319" i="3" s="1"/>
  <c r="O322" i="3"/>
  <c r="S322" i="3" s="1"/>
  <c r="O327" i="3"/>
  <c r="S327" i="3" s="1"/>
  <c r="O328" i="3"/>
  <c r="S328" i="3" s="1"/>
  <c r="O334" i="3"/>
  <c r="S334" i="3" s="1"/>
  <c r="F151" i="3"/>
  <c r="F150" i="3"/>
  <c r="F149" i="3"/>
  <c r="F148" i="3"/>
  <c r="M143" i="3"/>
  <c r="M145" i="3"/>
  <c r="O145" i="3" s="1"/>
  <c r="S145" i="3" s="1"/>
  <c r="F145" i="3"/>
  <c r="M144" i="3"/>
  <c r="F144" i="3"/>
  <c r="F143" i="3"/>
  <c r="M142" i="3"/>
  <c r="F142" i="3"/>
  <c r="M141" i="3"/>
  <c r="O140" i="3"/>
  <c r="S140" i="3" s="1"/>
  <c r="F140" i="3"/>
  <c r="O139" i="3"/>
  <c r="S139" i="3" s="1"/>
  <c r="F139" i="3"/>
  <c r="O138" i="3"/>
  <c r="S138" i="3" s="1"/>
  <c r="F138" i="3"/>
  <c r="O137" i="3"/>
  <c r="S137" i="3" s="1"/>
  <c r="F137" i="3"/>
  <c r="M136" i="3"/>
  <c r="O136" i="3" s="1"/>
  <c r="S136" i="3" s="1"/>
  <c r="O133" i="3"/>
  <c r="S133" i="3" s="1"/>
  <c r="F133" i="3"/>
  <c r="F135" i="3"/>
  <c r="F136" i="3"/>
  <c r="F141" i="3"/>
  <c r="O135" i="3"/>
  <c r="S135" i="3" s="1"/>
  <c r="F146" i="3"/>
  <c r="F147" i="3"/>
  <c r="O146" i="3"/>
  <c r="S146" i="3" s="1"/>
  <c r="O147" i="3"/>
  <c r="S147" i="3" s="1"/>
  <c r="O148" i="3"/>
  <c r="S148" i="3" s="1"/>
  <c r="F134" i="3"/>
  <c r="O134" i="3"/>
  <c r="S134" i="3" s="1"/>
  <c r="O149" i="3"/>
  <c r="S149" i="3" s="1"/>
  <c r="O150" i="3"/>
  <c r="S150" i="3" s="1"/>
  <c r="F152" i="3"/>
  <c r="F153" i="3"/>
  <c r="F419" i="3"/>
  <c r="O151" i="3"/>
  <c r="S151" i="3" s="1"/>
  <c r="O152" i="3"/>
  <c r="S152" i="3" s="1"/>
  <c r="O153" i="3"/>
  <c r="S153" i="3" s="1"/>
  <c r="M125" i="3"/>
  <c r="O126" i="3"/>
  <c r="S126" i="3" s="1"/>
  <c r="M127" i="3"/>
  <c r="M128" i="3"/>
  <c r="O128" i="3" s="1"/>
  <c r="S128" i="3" s="1"/>
  <c r="O130" i="3"/>
  <c r="S130" i="3" s="1"/>
  <c r="M124" i="3"/>
  <c r="M123" i="3"/>
  <c r="O122" i="3"/>
  <c r="S122" i="3" s="1"/>
  <c r="F122" i="3"/>
  <c r="O120" i="3"/>
  <c r="S120" i="3" s="1"/>
  <c r="F120" i="3"/>
  <c r="O144" i="3" l="1"/>
  <c r="S144" i="3" s="1"/>
  <c r="O143" i="3"/>
  <c r="S143" i="3" s="1"/>
  <c r="O142" i="3"/>
  <c r="S142" i="3" s="1"/>
  <c r="O141" i="3"/>
  <c r="S141" i="3" s="1"/>
  <c r="O419" i="3"/>
  <c r="S419" i="3" s="1"/>
  <c r="O124" i="3"/>
  <c r="S124" i="3" s="1"/>
  <c r="O127" i="3"/>
  <c r="S127" i="3" s="1"/>
  <c r="O129" i="3"/>
  <c r="S129" i="3" s="1"/>
  <c r="O125" i="3"/>
  <c r="S125" i="3" s="1"/>
  <c r="O119" i="3"/>
  <c r="S119" i="3" s="1"/>
  <c r="F119" i="3"/>
  <c r="M118" i="3"/>
  <c r="F121" i="3" l="1"/>
  <c r="F123" i="3"/>
  <c r="O121" i="3"/>
  <c r="S121" i="3" s="1"/>
  <c r="O123" i="3"/>
  <c r="S123" i="3" s="1"/>
  <c r="M114" i="3"/>
  <c r="M109" i="3"/>
  <c r="F110" i="3"/>
  <c r="F111" i="3"/>
  <c r="F112" i="3"/>
  <c r="F113" i="3"/>
  <c r="F114" i="3"/>
  <c r="F115" i="3"/>
  <c r="F116" i="3"/>
  <c r="F117" i="3"/>
  <c r="F118" i="3"/>
  <c r="O110" i="3"/>
  <c r="S110" i="3" s="1"/>
  <c r="O111" i="3"/>
  <c r="S111" i="3" s="1"/>
  <c r="O112" i="3"/>
  <c r="S112" i="3" s="1"/>
  <c r="O113" i="3"/>
  <c r="S113" i="3" s="1"/>
  <c r="O115" i="3"/>
  <c r="S115" i="3" s="1"/>
  <c r="O116" i="3"/>
  <c r="S116" i="3" s="1"/>
  <c r="O117" i="3"/>
  <c r="S117" i="3" s="1"/>
  <c r="O118" i="3"/>
  <c r="S118" i="3" s="1"/>
  <c r="M100" i="3"/>
  <c r="M105" i="3"/>
  <c r="O106" i="3"/>
  <c r="S106" i="3" s="1"/>
  <c r="F106" i="3"/>
  <c r="F105" i="3"/>
  <c r="M104" i="3"/>
  <c r="F104" i="3"/>
  <c r="M103" i="3"/>
  <c r="F103" i="3"/>
  <c r="M102" i="3"/>
  <c r="F102" i="3"/>
  <c r="O101" i="3"/>
  <c r="S101" i="3" s="1"/>
  <c r="F101" i="3"/>
  <c r="F100" i="3"/>
  <c r="F99" i="3"/>
  <c r="M98" i="3"/>
  <c r="O97" i="3"/>
  <c r="S97" i="3" s="1"/>
  <c r="F97" i="3"/>
  <c r="M96" i="3"/>
  <c r="F93" i="3"/>
  <c r="O93" i="3"/>
  <c r="S93" i="3" s="1"/>
  <c r="O95" i="3"/>
  <c r="S95" i="3" s="1"/>
  <c r="F95" i="3"/>
  <c r="O92" i="3"/>
  <c r="S92" i="3" s="1"/>
  <c r="F92" i="3"/>
  <c r="O91" i="3"/>
  <c r="S91" i="3" s="1"/>
  <c r="F91" i="3"/>
  <c r="O90" i="3"/>
  <c r="S90" i="3" s="1"/>
  <c r="F90" i="3"/>
  <c r="M89" i="3"/>
  <c r="F89" i="3"/>
  <c r="F85" i="3"/>
  <c r="O85" i="3"/>
  <c r="S85" i="3" s="1"/>
  <c r="O114" i="3" l="1"/>
  <c r="S114" i="3" s="1"/>
  <c r="O105" i="3"/>
  <c r="S105" i="3" s="1"/>
  <c r="O104" i="3"/>
  <c r="S104" i="3" s="1"/>
  <c r="O103" i="3"/>
  <c r="S103" i="3" s="1"/>
  <c r="O102" i="3"/>
  <c r="S102" i="3" s="1"/>
  <c r="O100" i="3"/>
  <c r="S100" i="3" s="1"/>
  <c r="O89" i="3"/>
  <c r="S89" i="3" s="1"/>
  <c r="O99" i="3"/>
  <c r="S99" i="3" s="1"/>
  <c r="M88" i="3"/>
  <c r="F88" i="3"/>
  <c r="M87" i="3"/>
  <c r="F87" i="3"/>
  <c r="M84" i="3"/>
  <c r="F84" i="3"/>
  <c r="O83" i="3"/>
  <c r="S83" i="3" s="1"/>
  <c r="F83" i="3"/>
  <c r="O82" i="3"/>
  <c r="S82" i="3" s="1"/>
  <c r="F82" i="3"/>
  <c r="F86" i="3"/>
  <c r="O86" i="3"/>
  <c r="S86" i="3" s="1"/>
  <c r="F94" i="3"/>
  <c r="F96" i="3"/>
  <c r="F98" i="3"/>
  <c r="O94" i="3"/>
  <c r="S94" i="3" s="1"/>
  <c r="O96" i="3"/>
  <c r="S96" i="3" s="1"/>
  <c r="O98" i="3"/>
  <c r="S98" i="3" s="1"/>
  <c r="O78" i="3"/>
  <c r="S78" i="3" s="1"/>
  <c r="F78" i="3"/>
  <c r="F77" i="3"/>
  <c r="M76" i="3"/>
  <c r="M75" i="3"/>
  <c r="F75" i="3"/>
  <c r="F74" i="3"/>
  <c r="M73" i="3"/>
  <c r="M72" i="3"/>
  <c r="M71" i="3"/>
  <c r="M69" i="3"/>
  <c r="F72" i="3"/>
  <c r="F71" i="3"/>
  <c r="O70" i="3"/>
  <c r="S70" i="3" s="1"/>
  <c r="F70" i="3"/>
  <c r="F69" i="3"/>
  <c r="F73" i="3"/>
  <c r="F76" i="3"/>
  <c r="F79" i="3"/>
  <c r="F80" i="3"/>
  <c r="F81" i="3"/>
  <c r="O79" i="3"/>
  <c r="S79" i="3" s="1"/>
  <c r="O81" i="3"/>
  <c r="S81" i="3" s="1"/>
  <c r="F107" i="3"/>
  <c r="F108" i="3"/>
  <c r="F109" i="3"/>
  <c r="F132" i="3"/>
  <c r="O107" i="3"/>
  <c r="S107" i="3" s="1"/>
  <c r="O68" i="3"/>
  <c r="S68" i="3" s="1"/>
  <c r="F68" i="3"/>
  <c r="O67" i="3"/>
  <c r="S67" i="3" s="1"/>
  <c r="F67" i="3"/>
  <c r="O66" i="3"/>
  <c r="S66" i="3" s="1"/>
  <c r="F66" i="3"/>
  <c r="O65" i="3"/>
  <c r="S65" i="3" s="1"/>
  <c r="F65" i="3"/>
  <c r="M64" i="3"/>
  <c r="F64" i="3"/>
  <c r="O63" i="3"/>
  <c r="S63" i="3" s="1"/>
  <c r="F63" i="3"/>
  <c r="O62" i="3"/>
  <c r="S62" i="3" s="1"/>
  <c r="F62" i="3"/>
  <c r="M61" i="3"/>
  <c r="F59" i="3"/>
  <c r="O59" i="3"/>
  <c r="S59" i="3" s="1"/>
  <c r="O58" i="3"/>
  <c r="S58" i="3" s="1"/>
  <c r="F58" i="3"/>
  <c r="M54" i="3"/>
  <c r="F54" i="3"/>
  <c r="O53" i="3"/>
  <c r="S53" i="3" s="1"/>
  <c r="F53" i="3"/>
  <c r="O52" i="3"/>
  <c r="S52" i="3" s="1"/>
  <c r="F52" i="3"/>
  <c r="F51" i="3"/>
  <c r="M49" i="3"/>
  <c r="M50" i="3"/>
  <c r="F50" i="3"/>
  <c r="F49" i="3"/>
  <c r="F55" i="3"/>
  <c r="F56" i="3"/>
  <c r="F57" i="3"/>
  <c r="O55" i="3"/>
  <c r="S55" i="3" s="1"/>
  <c r="O56" i="3"/>
  <c r="S56" i="3" s="1"/>
  <c r="O57" i="3"/>
  <c r="S57" i="3" s="1"/>
  <c r="F60" i="3"/>
  <c r="F61" i="3"/>
  <c r="O48" i="3"/>
  <c r="S48" i="3" s="1"/>
  <c r="F48" i="3"/>
  <c r="O47" i="3"/>
  <c r="S47" i="3" s="1"/>
  <c r="F47" i="3"/>
  <c r="O88" i="3" l="1"/>
  <c r="S88" i="3" s="1"/>
  <c r="O87" i="3"/>
  <c r="S87" i="3" s="1"/>
  <c r="O84" i="3"/>
  <c r="S84" i="3" s="1"/>
  <c r="O73" i="3"/>
  <c r="S73" i="3" s="1"/>
  <c r="O75" i="3"/>
  <c r="S75" i="3" s="1"/>
  <c r="O69" i="3"/>
  <c r="S69" i="3" s="1"/>
  <c r="O49" i="3"/>
  <c r="S49" i="3" s="1"/>
  <c r="O61" i="3"/>
  <c r="S61" i="3" s="1"/>
  <c r="O72" i="3"/>
  <c r="S72" i="3" s="1"/>
  <c r="O77" i="3"/>
  <c r="S77" i="3" s="1"/>
  <c r="O76" i="3"/>
  <c r="S76" i="3" s="1"/>
  <c r="O74" i="3"/>
  <c r="S74" i="3" s="1"/>
  <c r="O71" i="3"/>
  <c r="S71" i="3" s="1"/>
  <c r="O132" i="3"/>
  <c r="S132" i="3" s="1"/>
  <c r="O80" i="3"/>
  <c r="S80" i="3" s="1"/>
  <c r="O108" i="3"/>
  <c r="S108" i="3" s="1"/>
  <c r="O64" i="3"/>
  <c r="S64" i="3" s="1"/>
  <c r="O109" i="3"/>
  <c r="S109" i="3" s="1"/>
  <c r="O50" i="3"/>
  <c r="S50" i="3" s="1"/>
  <c r="O54" i="3"/>
  <c r="S54" i="3" s="1"/>
  <c r="O51" i="3"/>
  <c r="S51" i="3" s="1"/>
  <c r="O60" i="3"/>
  <c r="S60" i="3" s="1"/>
  <c r="M45" i="3" l="1"/>
  <c r="F45" i="3"/>
  <c r="M44" i="3"/>
  <c r="F43" i="3"/>
  <c r="M42" i="3"/>
  <c r="O43" i="3"/>
  <c r="S43" i="3" s="1"/>
  <c r="F42" i="3"/>
  <c r="O41" i="3"/>
  <c r="S41" i="3" s="1"/>
  <c r="F41" i="3"/>
  <c r="M40" i="3"/>
  <c r="F40" i="3"/>
  <c r="M39" i="3"/>
  <c r="F39" i="3"/>
  <c r="M38" i="3"/>
  <c r="F38" i="3"/>
  <c r="M37" i="3"/>
  <c r="F37" i="3"/>
  <c r="M36" i="3"/>
  <c r="O35" i="3"/>
  <c r="S35" i="3" s="1"/>
  <c r="F35" i="3"/>
  <c r="O33" i="3"/>
  <c r="S33" i="3" s="1"/>
  <c r="F33" i="3"/>
  <c r="O40" i="3" l="1"/>
  <c r="S40" i="3" s="1"/>
  <c r="O45" i="3"/>
  <c r="S45" i="3" s="1"/>
  <c r="O42" i="3"/>
  <c r="S42" i="3" s="1"/>
  <c r="O37" i="3"/>
  <c r="S37" i="3" s="1"/>
  <c r="O39" i="3"/>
  <c r="S39" i="3" s="1"/>
  <c r="O38" i="3"/>
  <c r="S38" i="3" s="1"/>
  <c r="O31" i="3" l="1"/>
  <c r="S31" i="3" s="1"/>
  <c r="F31" i="3"/>
  <c r="F6" i="3" l="1"/>
  <c r="O6" i="3"/>
  <c r="S6" i="3" s="1"/>
  <c r="F5" i="3"/>
  <c r="M30" i="3"/>
  <c r="F30" i="3"/>
  <c r="M29" i="3"/>
  <c r="F29" i="3"/>
  <c r="F28" i="3"/>
  <c r="M27" i="3"/>
  <c r="O26" i="3"/>
  <c r="S26" i="3" s="1"/>
  <c r="F26" i="3"/>
  <c r="O25" i="3"/>
  <c r="S25" i="3" s="1"/>
  <c r="F25" i="3"/>
  <c r="O24" i="3"/>
  <c r="S24" i="3" s="1"/>
  <c r="F24" i="3"/>
  <c r="O23" i="3"/>
  <c r="S23" i="3" s="1"/>
  <c r="F23" i="3"/>
  <c r="O18" i="3"/>
  <c r="S18" i="3" s="1"/>
  <c r="F18" i="3"/>
  <c r="O21" i="3"/>
  <c r="S21" i="3" s="1"/>
  <c r="F21" i="3"/>
  <c r="O20" i="3"/>
  <c r="S20" i="3" s="1"/>
  <c r="F20" i="3"/>
  <c r="M19" i="3"/>
  <c r="F19" i="3"/>
  <c r="O17" i="3"/>
  <c r="S17" i="3" s="1"/>
  <c r="F17" i="3"/>
  <c r="M16" i="3"/>
  <c r="M15" i="3"/>
  <c r="M14" i="3"/>
  <c r="F15" i="3"/>
  <c r="O12" i="3"/>
  <c r="S12" i="3" s="1"/>
  <c r="F12" i="3"/>
  <c r="O11" i="3"/>
  <c r="S11" i="3" s="1"/>
  <c r="F11" i="3"/>
  <c r="O10" i="3"/>
  <c r="S10" i="3" s="1"/>
  <c r="F10" i="3"/>
  <c r="O8" i="3"/>
  <c r="S8" i="3" s="1"/>
  <c r="F8" i="3"/>
  <c r="F9" i="3"/>
  <c r="F13" i="3"/>
  <c r="F14" i="3"/>
  <c r="F16" i="3"/>
  <c r="F22" i="3"/>
  <c r="F27" i="3"/>
  <c r="F32" i="3"/>
  <c r="F34" i="3"/>
  <c r="F36" i="3"/>
  <c r="F44" i="3"/>
  <c r="F46" i="3"/>
  <c r="F659" i="3"/>
  <c r="F7" i="3"/>
  <c r="O5" i="3" l="1"/>
  <c r="S5" i="3" s="1"/>
  <c r="O19" i="3"/>
  <c r="S19" i="3" s="1"/>
  <c r="O30" i="3"/>
  <c r="S30" i="3" s="1"/>
  <c r="O29" i="3"/>
  <c r="S29" i="3" s="1"/>
  <c r="O28" i="3"/>
  <c r="S28" i="3" s="1"/>
  <c r="O15" i="3"/>
  <c r="S15" i="3" s="1"/>
  <c r="E13" i="9" l="1"/>
  <c r="E12" i="9"/>
  <c r="E10" i="9"/>
  <c r="E9" i="9"/>
  <c r="I12" i="21" l="1"/>
  <c r="I11" i="21"/>
  <c r="I10" i="21"/>
  <c r="I9" i="21"/>
  <c r="G12" i="21"/>
  <c r="G11" i="21"/>
  <c r="G10" i="21"/>
  <c r="G9" i="21"/>
  <c r="E12" i="21"/>
  <c r="E11" i="21"/>
  <c r="E10" i="21"/>
  <c r="C12" i="21"/>
  <c r="C11" i="21"/>
  <c r="C10" i="21"/>
  <c r="H11" i="21" l="1"/>
  <c r="K10" i="21"/>
  <c r="L12" i="21"/>
  <c r="K12" i="21"/>
  <c r="L11" i="21"/>
  <c r="K11" i="21"/>
  <c r="F11" i="21"/>
  <c r="J11" i="21"/>
  <c r="D11" i="21"/>
  <c r="L10" i="21"/>
  <c r="P116" i="21"/>
  <c r="P120" i="21"/>
  <c r="P107" i="21"/>
  <c r="P111" i="21"/>
  <c r="M11" i="21" l="1"/>
  <c r="D17" i="9"/>
  <c r="P122" i="21" s="1"/>
  <c r="E9" i="21" s="1"/>
  <c r="F9" i="21" s="1"/>
  <c r="D16" i="9"/>
  <c r="P121" i="21" s="1"/>
  <c r="D13" i="9"/>
  <c r="P118" i="21" s="1"/>
  <c r="D12" i="9"/>
  <c r="P117" i="21" s="1"/>
  <c r="C13" i="9"/>
  <c r="P109" i="21" s="1"/>
  <c r="C17" i="9"/>
  <c r="P113" i="21" s="1"/>
  <c r="C9" i="21" s="1"/>
  <c r="C16" i="9"/>
  <c r="P112" i="21" s="1"/>
  <c r="D14" i="9"/>
  <c r="P119" i="21" s="1"/>
  <c r="C14" i="9"/>
  <c r="P110" i="21" s="1"/>
  <c r="C12" i="9"/>
  <c r="P108" i="21" s="1"/>
  <c r="D10" i="9"/>
  <c r="P115" i="21" s="1"/>
  <c r="C10" i="9"/>
  <c r="P106" i="21" s="1"/>
  <c r="D9" i="9"/>
  <c r="P114" i="21" s="1"/>
  <c r="C9" i="9"/>
  <c r="P105" i="21" s="1"/>
  <c r="L9" i="21" l="1"/>
  <c r="M9" i="21" s="1"/>
  <c r="K9" i="21"/>
  <c r="D9" i="21"/>
  <c r="C18" i="9"/>
  <c r="F18" i="9"/>
  <c r="E18" i="9"/>
  <c r="D18" i="9"/>
  <c r="L5" i="9" l="1"/>
  <c r="M5" i="9"/>
  <c r="K5" i="9"/>
  <c r="J5" i="9"/>
  <c r="N5" i="9" l="1"/>
  <c r="O33" i="13" l="1"/>
  <c r="D33" i="13"/>
  <c r="E33" i="13"/>
  <c r="F33" i="13"/>
  <c r="G33" i="13"/>
  <c r="H33" i="13"/>
  <c r="I33" i="13"/>
  <c r="J33" i="13"/>
  <c r="K33" i="13"/>
  <c r="L33" i="13"/>
  <c r="M33" i="13"/>
  <c r="N33" i="13"/>
  <c r="C33" i="13"/>
  <c r="D36" i="13"/>
  <c r="E36" i="13" s="1"/>
  <c r="F36" i="13" s="1"/>
  <c r="G36" i="13" s="1"/>
  <c r="H36" i="13" s="1"/>
  <c r="I36" i="13" s="1"/>
  <c r="J36" i="13" s="1"/>
  <c r="K36" i="13" s="1"/>
  <c r="L36" i="13" s="1"/>
  <c r="M36" i="13" s="1"/>
  <c r="N36" i="13" s="1"/>
  <c r="O23" i="13" l="1"/>
  <c r="D27" i="13"/>
  <c r="E27" i="13" s="1"/>
  <c r="C30" i="13"/>
  <c r="O26" i="13"/>
  <c r="D24" i="13"/>
  <c r="E24" i="13" l="1"/>
  <c r="F24" i="13" s="1"/>
  <c r="G24" i="13" s="1"/>
  <c r="H24" i="13" s="1"/>
  <c r="I24" i="13" s="1"/>
  <c r="J24" i="13" s="1"/>
  <c r="K24" i="13" s="1"/>
  <c r="L24" i="13" s="1"/>
  <c r="M24" i="13" s="1"/>
  <c r="N24" i="13" s="1"/>
  <c r="F27" i="13"/>
  <c r="G27" i="13" s="1"/>
  <c r="H27" i="13" s="1"/>
  <c r="I27" i="13" s="1"/>
  <c r="J27" i="13" s="1"/>
  <c r="K27" i="13" s="1"/>
  <c r="L27" i="13" s="1"/>
  <c r="M27" i="13" s="1"/>
  <c r="N27" i="13" s="1"/>
  <c r="O27" i="13" s="1"/>
  <c r="O24" i="13" l="1"/>
  <c r="O28" i="13"/>
  <c r="C18" i="19"/>
  <c r="E18" i="19"/>
  <c r="E10" i="19"/>
  <c r="D18" i="19"/>
  <c r="F18" i="19"/>
  <c r="C16" i="19"/>
  <c r="E11" i="19"/>
  <c r="F10" i="19"/>
  <c r="F14" i="19"/>
  <c r="D16" i="19"/>
  <c r="C10" i="19"/>
  <c r="F13" i="19"/>
  <c r="E15" i="19"/>
  <c r="C14" i="19"/>
  <c r="E14" i="19"/>
  <c r="C13" i="19"/>
  <c r="F11" i="19"/>
  <c r="D11" i="19"/>
  <c r="C11" i="19"/>
  <c r="F15" i="19"/>
  <c r="E13" i="19"/>
  <c r="D15" i="19"/>
  <c r="E12" i="19"/>
  <c r="D12" i="19"/>
  <c r="E16" i="19"/>
  <c r="D14" i="19"/>
  <c r="C15" i="19"/>
  <c r="D10" i="19"/>
  <c r="D13" i="19"/>
  <c r="K11" i="19"/>
  <c r="M11" i="19"/>
  <c r="E51" i="19"/>
  <c r="L11" i="19"/>
  <c r="J12" i="19"/>
  <c r="F51" i="19"/>
  <c r="D36" i="19"/>
  <c r="J11" i="19"/>
  <c r="L12" i="19"/>
  <c r="C36" i="19"/>
  <c r="M12" i="19"/>
  <c r="D51" i="19"/>
  <c r="K12" i="19"/>
  <c r="E36" i="19"/>
  <c r="F36" i="19"/>
  <c r="D51" i="9"/>
  <c r="C19" i="19" l="1"/>
  <c r="N12" i="19"/>
  <c r="N11" i="19"/>
  <c r="D19" i="19"/>
  <c r="E19" i="19"/>
  <c r="F19" i="19"/>
  <c r="O11" i="19" l="1"/>
  <c r="M10" i="19"/>
  <c r="F21" i="19"/>
  <c r="D21" i="19"/>
  <c r="K10" i="19"/>
  <c r="J10" i="19"/>
  <c r="E21" i="19"/>
  <c r="L10" i="19"/>
  <c r="D7" i="19"/>
  <c r="C21" i="19"/>
  <c r="F7" i="19"/>
  <c r="C7" i="19"/>
  <c r="E7" i="19"/>
  <c r="N10" i="19" l="1"/>
  <c r="P10" i="19" s="1"/>
  <c r="I20" i="19" s="1"/>
  <c r="O10" i="19" l="1"/>
  <c r="I17" i="19" s="1"/>
  <c r="I11" i="18" l="1"/>
  <c r="I15" i="18" l="1"/>
  <c r="I14" i="18"/>
  <c r="I13" i="18"/>
  <c r="J3" i="18"/>
  <c r="J4" i="18"/>
  <c r="J5" i="18"/>
  <c r="J6" i="18"/>
  <c r="J7" i="18"/>
  <c r="I4" i="18"/>
  <c r="I5" i="18"/>
  <c r="I6" i="18"/>
  <c r="I7" i="18"/>
  <c r="I3" i="18"/>
  <c r="H4" i="18"/>
  <c r="H5" i="18"/>
  <c r="H6" i="18"/>
  <c r="H7" i="18"/>
  <c r="H3" i="18"/>
  <c r="G7" i="18"/>
  <c r="G6" i="18"/>
  <c r="G5" i="18"/>
  <c r="G4" i="18"/>
  <c r="G3" i="18"/>
  <c r="AW3" i="18"/>
  <c r="AW4" i="18"/>
  <c r="AW5" i="18"/>
  <c r="AW6" i="18"/>
  <c r="AW7" i="18"/>
  <c r="I10" i="18" l="1"/>
  <c r="AS3" i="18"/>
  <c r="AS4" i="18"/>
  <c r="AS5" i="18"/>
  <c r="AS6" i="18"/>
  <c r="AS7" i="18"/>
  <c r="AN24" i="18"/>
  <c r="E34" i="9" l="1"/>
  <c r="F34" i="9"/>
  <c r="K7" i="9"/>
  <c r="M7" i="9"/>
  <c r="J8" i="9"/>
  <c r="K8" i="9"/>
  <c r="M8" i="9"/>
  <c r="L8" i="9"/>
  <c r="L7" i="9"/>
  <c r="J7" i="9"/>
  <c r="N8" i="9" l="1"/>
  <c r="O8" i="9" s="1"/>
  <c r="N7" i="9"/>
  <c r="O7" i="9" s="1"/>
  <c r="E6" i="9"/>
  <c r="E20" i="9"/>
  <c r="F6" i="9"/>
  <c r="F20" i="9"/>
  <c r="M6" i="9"/>
  <c r="F36" i="9"/>
  <c r="L6" i="9"/>
  <c r="C34" i="9"/>
  <c r="D34" i="9"/>
  <c r="C36" i="9"/>
  <c r="J6" i="9" l="1"/>
  <c r="C6" i="9"/>
  <c r="C20" i="9"/>
  <c r="D6" i="9"/>
  <c r="D20" i="9"/>
  <c r="D36" i="9"/>
  <c r="E36" i="9"/>
  <c r="K6" i="9"/>
  <c r="N6" i="9" l="1"/>
  <c r="O6" i="9" s="1"/>
  <c r="I11" i="9" s="1"/>
  <c r="E11" i="18" l="1"/>
  <c r="E15" i="18" l="1"/>
  <c r="AO3" i="18" l="1"/>
  <c r="AO4" i="18"/>
  <c r="AO5" i="18"/>
  <c r="AO6" i="18"/>
  <c r="AO7" i="18"/>
  <c r="AL7" i="18"/>
  <c r="AL6" i="18"/>
  <c r="AL5" i="18"/>
  <c r="AL4" i="18"/>
  <c r="AL3" i="18"/>
  <c r="E14" i="18" l="1"/>
  <c r="E13" i="18"/>
  <c r="AJ17" i="18" l="1"/>
  <c r="Y3" i="18"/>
  <c r="AK3" i="18"/>
  <c r="AK4" i="18"/>
  <c r="AK5" i="18"/>
  <c r="AK6" i="18"/>
  <c r="AK7" i="18"/>
  <c r="AG3" i="18"/>
  <c r="AG4" i="18"/>
  <c r="AG5" i="18"/>
  <c r="AG6" i="18"/>
  <c r="AG7" i="18"/>
  <c r="AJ11" i="18"/>
  <c r="AJ20" i="18" s="1"/>
  <c r="AK20" i="18" s="1"/>
  <c r="AH9" i="18"/>
  <c r="AF11" i="18"/>
  <c r="AG19" i="18" s="1"/>
  <c r="AD9" i="18"/>
  <c r="Q19" i="18"/>
  <c r="M19" i="18"/>
  <c r="I19" i="18"/>
  <c r="E19" i="18"/>
  <c r="BZ14" i="18"/>
  <c r="Y14" i="18"/>
  <c r="M51" i="18" s="1"/>
  <c r="BZ13" i="18"/>
  <c r="Y13" i="18"/>
  <c r="M50" i="18" s="1"/>
  <c r="BX11" i="18"/>
  <c r="BY19" i="18" s="1"/>
  <c r="BT11" i="18"/>
  <c r="BU19" i="18" s="1"/>
  <c r="BP11" i="18"/>
  <c r="BP20" i="18" s="1"/>
  <c r="BL11" i="18"/>
  <c r="BL20" i="18" s="1"/>
  <c r="BM20" i="18" s="1"/>
  <c r="BH11" i="18"/>
  <c r="BH20" i="18" s="1"/>
  <c r="BI20" i="18" s="1"/>
  <c r="BD11" i="18"/>
  <c r="AZ11" i="18"/>
  <c r="AV11" i="18"/>
  <c r="AW19" i="18" s="1"/>
  <c r="AR11" i="18"/>
  <c r="AS19" i="18" s="1"/>
  <c r="AN11" i="18"/>
  <c r="AO19" i="18" s="1"/>
  <c r="Y11" i="18"/>
  <c r="BZ7" i="18"/>
  <c r="E7" i="18"/>
  <c r="D7" i="18"/>
  <c r="C7" i="18"/>
  <c r="Y7" i="18" s="1"/>
  <c r="BZ6" i="18"/>
  <c r="D6" i="18"/>
  <c r="E6" i="18"/>
  <c r="C6" i="18"/>
  <c r="Y6" i="18" s="1"/>
  <c r="BZ5" i="18"/>
  <c r="D5" i="18"/>
  <c r="E5" i="18"/>
  <c r="C5" i="18"/>
  <c r="Y5" i="18" s="1"/>
  <c r="BZ4" i="18"/>
  <c r="D4" i="18"/>
  <c r="E4" i="18"/>
  <c r="C4" i="18"/>
  <c r="Y4" i="18" s="1"/>
  <c r="BZ3" i="18"/>
  <c r="D3" i="18"/>
  <c r="I8" i="18"/>
  <c r="E3" i="18"/>
  <c r="C3" i="18"/>
  <c r="Q7" i="11"/>
  <c r="Q6" i="11"/>
  <c r="Q5" i="11"/>
  <c r="Q4" i="11"/>
  <c r="O7" i="11"/>
  <c r="O6" i="11"/>
  <c r="O5" i="11"/>
  <c r="O4" i="11"/>
  <c r="O3" i="11"/>
  <c r="BL9" i="11"/>
  <c r="BP9" i="11"/>
  <c r="AZ12" i="18" l="1"/>
  <c r="AZ17" i="18" s="1"/>
  <c r="AN17" i="18"/>
  <c r="AR20" i="18"/>
  <c r="AS20" i="18" s="1"/>
  <c r="BX20" i="18"/>
  <c r="BY20" i="18" s="1"/>
  <c r="E8" i="18"/>
  <c r="M8" i="18"/>
  <c r="M10" i="18" s="1"/>
  <c r="BH12" i="18"/>
  <c r="BH17" i="18" s="1"/>
  <c r="N51" i="18"/>
  <c r="AF20" i="18"/>
  <c r="AG20" i="18" s="1"/>
  <c r="AN20" i="18"/>
  <c r="AO20" i="18" s="1"/>
  <c r="U8" i="18"/>
  <c r="Y15" i="18"/>
  <c r="BD20" i="18"/>
  <c r="BE20" i="18" s="1"/>
  <c r="BT20" i="18"/>
  <c r="BU20" i="18" s="1"/>
  <c r="AJ12" i="18"/>
  <c r="AK19" i="18"/>
  <c r="F7" i="18"/>
  <c r="Z7" i="18" s="1"/>
  <c r="F4" i="18"/>
  <c r="Z4" i="18" s="1"/>
  <c r="F3" i="18"/>
  <c r="Z3" i="18" s="1"/>
  <c r="AF17" i="18"/>
  <c r="I9" i="18"/>
  <c r="I22" i="18"/>
  <c r="J19" i="18" s="1"/>
  <c r="U10" i="18"/>
  <c r="E10" i="18"/>
  <c r="E22" i="18"/>
  <c r="F19" i="18" s="1"/>
  <c r="BQ20" i="18"/>
  <c r="M52" i="18"/>
  <c r="N52" i="18" s="1"/>
  <c r="BE19" i="18"/>
  <c r="N50" i="18"/>
  <c r="Y19" i="18"/>
  <c r="M46" i="18" s="1"/>
  <c r="F6" i="18"/>
  <c r="Z6" i="18" s="1"/>
  <c r="BP12" i="18"/>
  <c r="BP17" i="18" s="1"/>
  <c r="BM19" i="18"/>
  <c r="BD12" i="18"/>
  <c r="BD17" i="18" s="1"/>
  <c r="BA19" i="18"/>
  <c r="BL12" i="18"/>
  <c r="BL17" i="18" s="1"/>
  <c r="BI19" i="18"/>
  <c r="F5" i="18"/>
  <c r="Z5" i="18" s="1"/>
  <c r="AN12" i="18"/>
  <c r="BT12" i="18"/>
  <c r="BT17" i="18" s="1"/>
  <c r="BQ19" i="18"/>
  <c r="AV20" i="18"/>
  <c r="AW20" i="18" s="1"/>
  <c r="M22" i="18"/>
  <c r="Q8" i="18"/>
  <c r="BZ11" i="18"/>
  <c r="M43" i="18" s="1"/>
  <c r="M9" i="18"/>
  <c r="AR12" i="18"/>
  <c r="AR17" i="18" s="1"/>
  <c r="BX12" i="18"/>
  <c r="BX17" i="18" s="1"/>
  <c r="AV12" i="18"/>
  <c r="AV17" i="18" s="1"/>
  <c r="AZ20" i="18"/>
  <c r="BA20" i="18" s="1"/>
  <c r="BT13" i="11"/>
  <c r="Q20" i="18" l="1"/>
  <c r="E20" i="18"/>
  <c r="F20" i="18" s="1"/>
  <c r="M20" i="18"/>
  <c r="N20" i="18" s="1"/>
  <c r="N19" i="18"/>
  <c r="N46" i="18"/>
  <c r="Q9" i="18"/>
  <c r="Q10" i="18"/>
  <c r="Q22" i="18"/>
  <c r="R19" i="18" s="1"/>
  <c r="Y8" i="18"/>
  <c r="I20" i="18"/>
  <c r="J20" i="18" s="1"/>
  <c r="U9" i="18"/>
  <c r="BT3" i="11"/>
  <c r="BT4" i="11"/>
  <c r="BT5" i="11"/>
  <c r="BT6" i="11"/>
  <c r="BT7" i="11"/>
  <c r="BT14" i="11"/>
  <c r="Y22" i="18" l="1"/>
  <c r="R20" i="18"/>
  <c r="Y20" i="18"/>
  <c r="Z22" i="18" l="1"/>
  <c r="Z23" i="18" s="1"/>
  <c r="M47" i="18"/>
  <c r="Z20" i="18"/>
  <c r="N47" i="18" l="1"/>
  <c r="M48" i="18"/>
  <c r="N48" i="18" l="1"/>
  <c r="M53" i="18"/>
  <c r="N53" i="18" s="1"/>
  <c r="O659" i="3" l="1"/>
  <c r="S659" i="3" s="1"/>
  <c r="O14" i="3" l="1"/>
  <c r="S14" i="3" s="1"/>
  <c r="O13" i="3"/>
  <c r="S13" i="3" s="1"/>
  <c r="O34" i="3"/>
  <c r="S34" i="3" s="1"/>
  <c r="O36" i="3"/>
  <c r="S36" i="3" s="1"/>
  <c r="F51" i="9"/>
  <c r="E66" i="9"/>
  <c r="D66" i="9"/>
  <c r="F66" i="9"/>
  <c r="E51" i="9"/>
  <c r="C51" i="9"/>
  <c r="S14" i="11" l="1"/>
  <c r="M51" i="11" s="1"/>
  <c r="S13" i="11"/>
  <c r="M50" i="11" s="1"/>
  <c r="S11" i="11"/>
  <c r="Q19" i="11"/>
  <c r="M19" i="11"/>
  <c r="I19" i="11"/>
  <c r="E19" i="11"/>
  <c r="Q15" i="11"/>
  <c r="M15" i="11"/>
  <c r="I15" i="11"/>
  <c r="E15" i="11"/>
  <c r="BS7" i="11"/>
  <c r="BS6" i="11"/>
  <c r="BS5" i="11"/>
  <c r="BS4" i="11"/>
  <c r="BS3" i="11"/>
  <c r="N50" i="11" l="1"/>
  <c r="S15" i="11"/>
  <c r="M52" i="11"/>
  <c r="N52" i="11" s="1"/>
  <c r="S19" i="11"/>
  <c r="M46" i="11" s="1"/>
  <c r="N46" i="11" s="1"/>
  <c r="N51" i="11"/>
  <c r="R110" i="6" l="1"/>
  <c r="R58" i="6"/>
  <c r="Q3" i="11"/>
  <c r="BR11" i="11"/>
  <c r="BS19" i="11" l="1"/>
  <c r="BR20" i="11"/>
  <c r="BS20" i="11" s="1"/>
  <c r="R6" i="11"/>
  <c r="R3" i="11"/>
  <c r="R4" i="11"/>
  <c r="R5" i="11"/>
  <c r="R7" i="11"/>
  <c r="C11" i="13" l="1"/>
  <c r="O25" i="13" l="1"/>
  <c r="D30" i="13"/>
  <c r="D11" i="13" s="1"/>
  <c r="O22" i="13" l="1"/>
  <c r="E30" i="13"/>
  <c r="E11" i="13" s="1"/>
  <c r="U167" i="6"/>
  <c r="U128" i="6"/>
  <c r="U117" i="6"/>
  <c r="U75" i="6"/>
  <c r="U69" i="6"/>
  <c r="U63" i="6"/>
  <c r="U60" i="6"/>
  <c r="U50" i="6"/>
  <c r="D12" i="13"/>
  <c r="F6" i="13" l="1"/>
  <c r="F30" i="13"/>
  <c r="F11" i="13" s="1"/>
  <c r="F8" i="13"/>
  <c r="F10" i="13" s="1"/>
  <c r="E8" i="13"/>
  <c r="D8" i="13"/>
  <c r="D10" i="13" s="1"/>
  <c r="D13" i="13" s="1"/>
  <c r="C8" i="13"/>
  <c r="C10" i="13" s="1"/>
  <c r="F13" i="13" l="1"/>
  <c r="F15" i="13" s="1"/>
  <c r="C13" i="13"/>
  <c r="C15" i="13" s="1"/>
  <c r="G6" i="13"/>
  <c r="G30" i="13"/>
  <c r="G11" i="13" s="1"/>
  <c r="E10" i="13"/>
  <c r="E13" i="13" s="1"/>
  <c r="E15" i="13" s="1"/>
  <c r="D15" i="13"/>
  <c r="H6" i="13" l="1"/>
  <c r="G8" i="13"/>
  <c r="G10" i="13" s="1"/>
  <c r="H30" i="13"/>
  <c r="H11" i="13" s="1"/>
  <c r="G13" i="13" l="1"/>
  <c r="G15" i="13" s="1"/>
  <c r="I6" i="13"/>
  <c r="H8" i="13"/>
  <c r="H10" i="13" s="1"/>
  <c r="H13" i="13" s="1"/>
  <c r="H15" i="13" s="1"/>
  <c r="I30" i="13"/>
  <c r="I11" i="13" s="1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F154" i="6"/>
  <c r="F155" i="6"/>
  <c r="F156" i="6"/>
  <c r="F157" i="6"/>
  <c r="F158" i="6"/>
  <c r="F159" i="6"/>
  <c r="F160" i="6"/>
  <c r="F161" i="6"/>
  <c r="F162" i="6"/>
  <c r="F163" i="6"/>
  <c r="H154" i="6"/>
  <c r="H155" i="6"/>
  <c r="H156" i="6"/>
  <c r="H157" i="6"/>
  <c r="H158" i="6"/>
  <c r="H159" i="6"/>
  <c r="H160" i="6"/>
  <c r="H161" i="6"/>
  <c r="H162" i="6"/>
  <c r="H163" i="6"/>
  <c r="J160" i="6"/>
  <c r="J161" i="6"/>
  <c r="J162" i="6"/>
  <c r="J163" i="6"/>
  <c r="J164" i="6"/>
  <c r="I158" i="6"/>
  <c r="I159" i="6"/>
  <c r="I160" i="6"/>
  <c r="I161" i="6"/>
  <c r="I162" i="6"/>
  <c r="D154" i="6"/>
  <c r="D155" i="6"/>
  <c r="D156" i="6"/>
  <c r="D157" i="6"/>
  <c r="D158" i="6"/>
  <c r="D159" i="6"/>
  <c r="D160" i="6"/>
  <c r="D161" i="6"/>
  <c r="D162" i="6"/>
  <c r="D163" i="6"/>
  <c r="D164" i="6"/>
  <c r="E154" i="6"/>
  <c r="E155" i="6"/>
  <c r="E156" i="6"/>
  <c r="E157" i="6"/>
  <c r="E158" i="6"/>
  <c r="E159" i="6"/>
  <c r="E160" i="6"/>
  <c r="E161" i="6"/>
  <c r="E162" i="6"/>
  <c r="E163" i="6"/>
  <c r="E164" i="6"/>
  <c r="R163" i="6"/>
  <c r="R165" i="6"/>
  <c r="N162" i="6"/>
  <c r="N163" i="6"/>
  <c r="N164" i="6"/>
  <c r="F164" i="6"/>
  <c r="H164" i="6"/>
  <c r="I163" i="6"/>
  <c r="I164" i="6"/>
  <c r="L162" i="6"/>
  <c r="L163" i="6"/>
  <c r="L164" i="6"/>
  <c r="M162" i="6"/>
  <c r="M163" i="6"/>
  <c r="M164" i="6"/>
  <c r="Q162" i="6"/>
  <c r="Q163" i="6"/>
  <c r="Q164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R114" i="6"/>
  <c r="P116" i="6"/>
  <c r="D116" i="6"/>
  <c r="E116" i="6"/>
  <c r="F116" i="6"/>
  <c r="H116" i="6"/>
  <c r="I116" i="6"/>
  <c r="J116" i="6"/>
  <c r="L116" i="6"/>
  <c r="M116" i="6"/>
  <c r="Q116" i="6"/>
  <c r="P115" i="6"/>
  <c r="D115" i="6"/>
  <c r="E115" i="6"/>
  <c r="F115" i="6"/>
  <c r="H115" i="6"/>
  <c r="I115" i="6"/>
  <c r="J115" i="6"/>
  <c r="L115" i="6"/>
  <c r="M115" i="6"/>
  <c r="Q115" i="6"/>
  <c r="P103" i="6"/>
  <c r="D103" i="6"/>
  <c r="E103" i="6"/>
  <c r="F103" i="6"/>
  <c r="H103" i="6"/>
  <c r="I103" i="6"/>
  <c r="J103" i="6"/>
  <c r="L103" i="6"/>
  <c r="M103" i="6"/>
  <c r="Q103" i="6"/>
  <c r="P102" i="6"/>
  <c r="D102" i="6"/>
  <c r="E102" i="6"/>
  <c r="F102" i="6"/>
  <c r="H102" i="6"/>
  <c r="I102" i="6"/>
  <c r="J102" i="6"/>
  <c r="L102" i="6"/>
  <c r="M102" i="6"/>
  <c r="Q102" i="6"/>
  <c r="P114" i="6"/>
  <c r="P101" i="6"/>
  <c r="P104" i="6"/>
  <c r="P105" i="6"/>
  <c r="P106" i="6"/>
  <c r="P107" i="6"/>
  <c r="P108" i="6"/>
  <c r="P109" i="6"/>
  <c r="P110" i="6"/>
  <c r="N101" i="6"/>
  <c r="D101" i="6"/>
  <c r="E101" i="6"/>
  <c r="F101" i="6"/>
  <c r="H101" i="6"/>
  <c r="I101" i="6"/>
  <c r="J101" i="6"/>
  <c r="L101" i="6"/>
  <c r="M101" i="6"/>
  <c r="Q101" i="6"/>
  <c r="N117" i="6"/>
  <c r="N114" i="6"/>
  <c r="N113" i="6"/>
  <c r="N112" i="6"/>
  <c r="N111" i="6"/>
  <c r="N110" i="6"/>
  <c r="N109" i="6"/>
  <c r="N108" i="6"/>
  <c r="N107" i="6"/>
  <c r="N106" i="6"/>
  <c r="N105" i="6"/>
  <c r="N104" i="6"/>
  <c r="N100" i="6"/>
  <c r="N99" i="6"/>
  <c r="N98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D114" i="6"/>
  <c r="E114" i="6"/>
  <c r="F114" i="6"/>
  <c r="H114" i="6"/>
  <c r="I114" i="6"/>
  <c r="J114" i="6"/>
  <c r="L114" i="6"/>
  <c r="M114" i="6"/>
  <c r="Q114" i="6"/>
  <c r="D110" i="6"/>
  <c r="E110" i="6"/>
  <c r="F110" i="6"/>
  <c r="H110" i="6"/>
  <c r="I110" i="6"/>
  <c r="J110" i="6"/>
  <c r="L110" i="6"/>
  <c r="M110" i="6"/>
  <c r="Q110" i="6"/>
  <c r="D58" i="6"/>
  <c r="E58" i="6"/>
  <c r="F58" i="6"/>
  <c r="H58" i="6"/>
  <c r="I58" i="6"/>
  <c r="J58" i="6"/>
  <c r="L58" i="6"/>
  <c r="M58" i="6"/>
  <c r="Q58" i="6"/>
  <c r="S58" i="6" s="1"/>
  <c r="P129" i="6"/>
  <c r="P128" i="6"/>
  <c r="P127" i="6"/>
  <c r="P126" i="6"/>
  <c r="P125" i="6"/>
  <c r="P124" i="6"/>
  <c r="P123" i="6"/>
  <c r="P122" i="6"/>
  <c r="P121" i="6"/>
  <c r="P120" i="6"/>
  <c r="P119" i="6"/>
  <c r="P118" i="6"/>
  <c r="P117" i="6"/>
  <c r="P113" i="6"/>
  <c r="P112" i="6"/>
  <c r="P111" i="6"/>
  <c r="P100" i="6"/>
  <c r="P99" i="6"/>
  <c r="P98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7" i="6"/>
  <c r="P56" i="6"/>
  <c r="P55" i="6"/>
  <c r="P54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O116" i="6" l="1"/>
  <c r="J6" i="13"/>
  <c r="I8" i="13"/>
  <c r="I10" i="13" s="1"/>
  <c r="I13" i="13" s="1"/>
  <c r="I15" i="13" s="1"/>
  <c r="J30" i="13"/>
  <c r="J11" i="13" s="1"/>
  <c r="G158" i="6"/>
  <c r="G156" i="6"/>
  <c r="G157" i="6"/>
  <c r="G164" i="6"/>
  <c r="G154" i="6"/>
  <c r="G160" i="6"/>
  <c r="G159" i="6"/>
  <c r="G162" i="6"/>
  <c r="G161" i="6"/>
  <c r="G163" i="6"/>
  <c r="G155" i="6"/>
  <c r="K164" i="6"/>
  <c r="K163" i="6"/>
  <c r="K162" i="6"/>
  <c r="O163" i="6"/>
  <c r="O164" i="6"/>
  <c r="O162" i="6"/>
  <c r="S163" i="6"/>
  <c r="O115" i="6"/>
  <c r="K115" i="6"/>
  <c r="K103" i="6"/>
  <c r="G116" i="6"/>
  <c r="K116" i="6"/>
  <c r="G115" i="6"/>
  <c r="G102" i="6"/>
  <c r="O102" i="6"/>
  <c r="G103" i="6"/>
  <c r="O103" i="6"/>
  <c r="G101" i="6"/>
  <c r="K102" i="6"/>
  <c r="S114" i="6"/>
  <c r="S110" i="6"/>
  <c r="O110" i="6"/>
  <c r="O101" i="6"/>
  <c r="K101" i="6"/>
  <c r="K114" i="6"/>
  <c r="O114" i="6"/>
  <c r="K110" i="6"/>
  <c r="G114" i="6"/>
  <c r="O58" i="6"/>
  <c r="G110" i="6"/>
  <c r="G58" i="6"/>
  <c r="K58" i="6"/>
  <c r="R161" i="6"/>
  <c r="R159" i="6"/>
  <c r="R157" i="6"/>
  <c r="R154" i="6"/>
  <c r="R149" i="6"/>
  <c r="R148" i="6"/>
  <c r="R147" i="6"/>
  <c r="R146" i="6"/>
  <c r="R144" i="6"/>
  <c r="R132" i="6"/>
  <c r="R131" i="6"/>
  <c r="R130" i="6"/>
  <c r="R128" i="6"/>
  <c r="R127" i="6"/>
  <c r="R125" i="6"/>
  <c r="R122" i="6"/>
  <c r="R117" i="6"/>
  <c r="R113" i="6"/>
  <c r="R111" i="6"/>
  <c r="R108" i="6"/>
  <c r="R107" i="6"/>
  <c r="R106" i="6"/>
  <c r="R105" i="6"/>
  <c r="R99" i="6"/>
  <c r="R92" i="6"/>
  <c r="R91" i="6"/>
  <c r="R89" i="6"/>
  <c r="R85" i="6"/>
  <c r="R84" i="6"/>
  <c r="R83" i="6"/>
  <c r="R81" i="6"/>
  <c r="R79" i="6"/>
  <c r="R78" i="6"/>
  <c r="R77" i="6"/>
  <c r="R76" i="6"/>
  <c r="R75" i="6"/>
  <c r="R74" i="6"/>
  <c r="R73" i="6"/>
  <c r="R72" i="6"/>
  <c r="R71" i="6"/>
  <c r="R70" i="6"/>
  <c r="R65" i="6"/>
  <c r="R64" i="6"/>
  <c r="R63" i="6"/>
  <c r="R62" i="6"/>
  <c r="R61" i="6"/>
  <c r="R60" i="6"/>
  <c r="R59" i="6"/>
  <c r="R56" i="6"/>
  <c r="R53" i="6"/>
  <c r="R52" i="6"/>
  <c r="R51" i="6"/>
  <c r="R49" i="6"/>
  <c r="R47" i="6"/>
  <c r="R46" i="6"/>
  <c r="R43" i="6"/>
  <c r="R41" i="6"/>
  <c r="R40" i="6"/>
  <c r="R39" i="6"/>
  <c r="R38" i="6"/>
  <c r="R35" i="6"/>
  <c r="R34" i="6"/>
  <c r="R27" i="6"/>
  <c r="R24" i="6"/>
  <c r="R14" i="6"/>
  <c r="R12" i="6"/>
  <c r="R10" i="6"/>
  <c r="R8" i="6"/>
  <c r="R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4" i="6"/>
  <c r="Q55" i="6"/>
  <c r="Q56" i="6"/>
  <c r="Q57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8" i="6"/>
  <c r="Q99" i="6"/>
  <c r="Q100" i="6"/>
  <c r="Q104" i="6"/>
  <c r="Q105" i="6"/>
  <c r="Q106" i="6"/>
  <c r="Q107" i="6"/>
  <c r="Q108" i="6"/>
  <c r="Q109" i="6"/>
  <c r="Q111" i="6"/>
  <c r="Q112" i="6"/>
  <c r="Q113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5" i="6"/>
  <c r="Q6" i="6"/>
  <c r="K6" i="13" l="1"/>
  <c r="J8" i="13"/>
  <c r="J10" i="13" s="1"/>
  <c r="J13" i="13" s="1"/>
  <c r="J15" i="13" s="1"/>
  <c r="K30" i="13"/>
  <c r="K11" i="13" s="1"/>
  <c r="T163" i="6"/>
  <c r="T114" i="6"/>
  <c r="T110" i="6"/>
  <c r="T58" i="6"/>
  <c r="L6" i="13" l="1"/>
  <c r="K8" i="13"/>
  <c r="K10" i="13" s="1"/>
  <c r="K13" i="13" s="1"/>
  <c r="K15" i="13" s="1"/>
  <c r="L30" i="13"/>
  <c r="L11" i="13" s="1"/>
  <c r="R164" i="6"/>
  <c r="S164" i="6" s="1"/>
  <c r="T164" i="6" s="1"/>
  <c r="M6" i="13" l="1"/>
  <c r="L8" i="13"/>
  <c r="L10" i="13" s="1"/>
  <c r="L13" i="13" s="1"/>
  <c r="L15" i="13" s="1"/>
  <c r="O21" i="13"/>
  <c r="M30" i="13"/>
  <c r="M11" i="13" s="1"/>
  <c r="R101" i="6"/>
  <c r="S101" i="6" s="1"/>
  <c r="T101" i="6" s="1"/>
  <c r="R103" i="6"/>
  <c r="S103" i="6" s="1"/>
  <c r="T103" i="6" s="1"/>
  <c r="R102" i="6"/>
  <c r="S102" i="6" s="1"/>
  <c r="T102" i="6" s="1"/>
  <c r="N6" i="13" l="1"/>
  <c r="M8" i="13"/>
  <c r="M10" i="13" s="1"/>
  <c r="M13" i="13" s="1"/>
  <c r="M15" i="13" s="1"/>
  <c r="R162" i="6"/>
  <c r="S162" i="6" s="1"/>
  <c r="T162" i="6" s="1"/>
  <c r="N30" i="13" l="1"/>
  <c r="N11" i="13" s="1"/>
  <c r="N8" i="13"/>
  <c r="N10" i="13" s="1"/>
  <c r="R98" i="6"/>
  <c r="R160" i="6"/>
  <c r="N13" i="13" l="1"/>
  <c r="N15" i="13" s="1"/>
  <c r="R100" i="6"/>
  <c r="R158" i="6" l="1"/>
  <c r="R155" i="6" l="1"/>
  <c r="R156" i="6"/>
  <c r="R153" i="6" l="1"/>
  <c r="R152" i="6"/>
  <c r="R151" i="6"/>
  <c r="R150" i="6"/>
  <c r="R145" i="6"/>
  <c r="R142" i="6"/>
  <c r="R141" i="6"/>
  <c r="R140" i="6"/>
  <c r="R139" i="6"/>
  <c r="R138" i="6"/>
  <c r="R137" i="6"/>
  <c r="R136" i="6"/>
  <c r="R135" i="6"/>
  <c r="R134" i="6"/>
  <c r="R133" i="6"/>
  <c r="R129" i="6"/>
  <c r="R96" i="6"/>
  <c r="R95" i="6"/>
  <c r="R94" i="6"/>
  <c r="R93" i="6"/>
  <c r="R80" i="6"/>
  <c r="R69" i="6"/>
  <c r="R68" i="6"/>
  <c r="R67" i="6"/>
  <c r="R66" i="6"/>
  <c r="Q80" i="6"/>
  <c r="BN11" i="11" l="1"/>
  <c r="BO7" i="11"/>
  <c r="BO6" i="11"/>
  <c r="BO5" i="11"/>
  <c r="BO4" i="11"/>
  <c r="BO3" i="11"/>
  <c r="BR12" i="11" l="1"/>
  <c r="BR17" i="11" s="1"/>
  <c r="BO19" i="11"/>
  <c r="BN20" i="11"/>
  <c r="BO20" i="11" s="1"/>
  <c r="Q8" i="11" l="1"/>
  <c r="Q22" i="11" l="1"/>
  <c r="R19" i="11" s="1"/>
  <c r="Q10" i="11"/>
  <c r="M7" i="11" l="1"/>
  <c r="M6" i="11"/>
  <c r="M5" i="11"/>
  <c r="M4" i="11"/>
  <c r="M3" i="11"/>
  <c r="K7" i="11"/>
  <c r="K6" i="11"/>
  <c r="K5" i="11"/>
  <c r="K4" i="11"/>
  <c r="K3" i="11"/>
  <c r="I7" i="11"/>
  <c r="I6" i="11"/>
  <c r="I5" i="11"/>
  <c r="I4" i="11"/>
  <c r="I3" i="11"/>
  <c r="G7" i="11"/>
  <c r="G6" i="11"/>
  <c r="G5" i="11"/>
  <c r="G4" i="11"/>
  <c r="G3" i="11"/>
  <c r="C7" i="11"/>
  <c r="C6" i="11"/>
  <c r="S6" i="11" s="1"/>
  <c r="C5" i="11"/>
  <c r="C4" i="11"/>
  <c r="S4" i="11" s="1"/>
  <c r="C3" i="11"/>
  <c r="E7" i="11"/>
  <c r="E6" i="11"/>
  <c r="E5" i="11"/>
  <c r="E4" i="11"/>
  <c r="E3" i="11"/>
  <c r="BJ11" i="11"/>
  <c r="BK3" i="11"/>
  <c r="BK4" i="11"/>
  <c r="BK5" i="11"/>
  <c r="BK6" i="11"/>
  <c r="BK7" i="11"/>
  <c r="BG3" i="11"/>
  <c r="BG4" i="11"/>
  <c r="BG5" i="11"/>
  <c r="BG6" i="11"/>
  <c r="BG7" i="11"/>
  <c r="BF11" i="11"/>
  <c r="S5" i="11" l="1"/>
  <c r="S7" i="11"/>
  <c r="S3" i="11"/>
  <c r="BN12" i="11"/>
  <c r="BN17" i="11" s="1"/>
  <c r="BJ20" i="11"/>
  <c r="Q20" i="11" s="1"/>
  <c r="R20" i="11" s="1"/>
  <c r="BK19" i="11"/>
  <c r="BG19" i="11"/>
  <c r="BF20" i="11"/>
  <c r="BG20" i="11" s="1"/>
  <c r="N3" i="11"/>
  <c r="N5" i="11"/>
  <c r="F5" i="11"/>
  <c r="N4" i="11"/>
  <c r="F6" i="11"/>
  <c r="F7" i="11"/>
  <c r="N6" i="11"/>
  <c r="N7" i="11"/>
  <c r="F3" i="11"/>
  <c r="J4" i="11"/>
  <c r="J5" i="11"/>
  <c r="J6" i="11"/>
  <c r="J7" i="11"/>
  <c r="F4" i="11"/>
  <c r="E8" i="11"/>
  <c r="J3" i="11"/>
  <c r="BJ12" i="11"/>
  <c r="BJ17" i="11" s="1"/>
  <c r="I8" i="11"/>
  <c r="I22" i="11" s="1"/>
  <c r="J19" i="11" s="1"/>
  <c r="M8" i="11"/>
  <c r="M22" i="11" s="1"/>
  <c r="N19" i="11" s="1"/>
  <c r="E22" i="11" l="1"/>
  <c r="S8" i="11"/>
  <c r="F19" i="11"/>
  <c r="S22" i="11"/>
  <c r="I10" i="11"/>
  <c r="E10" i="11"/>
  <c r="BK20" i="11"/>
  <c r="M10" i="11"/>
  <c r="Q9" i="11"/>
  <c r="T4" i="11"/>
  <c r="T6" i="11"/>
  <c r="T5" i="11"/>
  <c r="T7" i="11"/>
  <c r="T3" i="11"/>
  <c r="I9" i="11"/>
  <c r="M9" i="11"/>
  <c r="BE7" i="11" l="1"/>
  <c r="BE6" i="11"/>
  <c r="BE5" i="11"/>
  <c r="BE4" i="11"/>
  <c r="BE3" i="11"/>
  <c r="BC3" i="11"/>
  <c r="BC4" i="11"/>
  <c r="BC5" i="11"/>
  <c r="BC6" i="11"/>
  <c r="BC7" i="11"/>
  <c r="BB11" i="11"/>
  <c r="BA7" i="11"/>
  <c r="BA6" i="11"/>
  <c r="BA5" i="11"/>
  <c r="BA4" i="11"/>
  <c r="BA3" i="11"/>
  <c r="AX11" i="11"/>
  <c r="AT11" i="11"/>
  <c r="AY3" i="11"/>
  <c r="AY4" i="11"/>
  <c r="AY5" i="11"/>
  <c r="AY6" i="11"/>
  <c r="AY7" i="11"/>
  <c r="AW7" i="11"/>
  <c r="AW6" i="11"/>
  <c r="AW5" i="11"/>
  <c r="AW4" i="11"/>
  <c r="AW3" i="11"/>
  <c r="AU3" i="11"/>
  <c r="AU4" i="11"/>
  <c r="AU5" i="11"/>
  <c r="AU6" i="11"/>
  <c r="AU7" i="11"/>
  <c r="AS7" i="11"/>
  <c r="AS6" i="11"/>
  <c r="AS5" i="11"/>
  <c r="AS4" i="11"/>
  <c r="AS3" i="11"/>
  <c r="AQ3" i="11"/>
  <c r="AQ4" i="11"/>
  <c r="AQ5" i="11"/>
  <c r="AQ6" i="11"/>
  <c r="AQ7" i="11"/>
  <c r="AO7" i="11"/>
  <c r="AO6" i="11"/>
  <c r="AO5" i="11"/>
  <c r="AO4" i="11"/>
  <c r="AO3" i="11"/>
  <c r="AP11" i="11"/>
  <c r="AM3" i="11"/>
  <c r="AM4" i="11"/>
  <c r="AM5" i="11"/>
  <c r="AM6" i="11"/>
  <c r="AM7" i="11"/>
  <c r="AL11" i="11"/>
  <c r="AK7" i="11"/>
  <c r="AK6" i="11"/>
  <c r="AK5" i="11"/>
  <c r="AK4" i="11"/>
  <c r="AK3" i="11"/>
  <c r="AI3" i="11"/>
  <c r="AI4" i="11"/>
  <c r="AI5" i="11"/>
  <c r="AI6" i="11"/>
  <c r="AI7" i="11"/>
  <c r="AH11" i="11"/>
  <c r="AG7" i="11"/>
  <c r="AG6" i="11"/>
  <c r="AG5" i="11"/>
  <c r="AG4" i="11"/>
  <c r="AG3" i="11"/>
  <c r="AC7" i="11"/>
  <c r="AC6" i="11"/>
  <c r="AC5" i="11"/>
  <c r="AC4" i="11"/>
  <c r="AC3" i="11"/>
  <c r="Y7" i="11"/>
  <c r="Y6" i="11"/>
  <c r="Y5" i="11"/>
  <c r="Y4" i="11"/>
  <c r="Y3" i="11"/>
  <c r="AE3" i="11"/>
  <c r="AE4" i="11"/>
  <c r="AE5" i="11"/>
  <c r="AE6" i="11"/>
  <c r="AE7" i="11"/>
  <c r="AD11" i="11"/>
  <c r="AA3" i="11"/>
  <c r="AA4" i="11"/>
  <c r="AA5" i="11"/>
  <c r="AA6" i="11"/>
  <c r="AA7" i="11"/>
  <c r="Z11" i="11"/>
  <c r="BT11" i="11" l="1"/>
  <c r="AD20" i="11"/>
  <c r="AE20" i="11" s="1"/>
  <c r="AE19" i="11"/>
  <c r="BB20" i="11"/>
  <c r="BC20" i="11" s="1"/>
  <c r="BC19" i="11"/>
  <c r="AH20" i="11"/>
  <c r="AI20" i="11" s="1"/>
  <c r="AI19" i="11"/>
  <c r="AU19" i="11"/>
  <c r="AT20" i="11"/>
  <c r="AU20" i="11" s="1"/>
  <c r="AL20" i="11"/>
  <c r="AM19" i="11"/>
  <c r="AA19" i="11"/>
  <c r="Z20" i="11"/>
  <c r="Z17" i="11"/>
  <c r="AP20" i="11"/>
  <c r="AQ20" i="11" s="1"/>
  <c r="AQ19" i="11"/>
  <c r="AX20" i="11"/>
  <c r="AY19" i="11"/>
  <c r="M43" i="11"/>
  <c r="L6" i="11"/>
  <c r="H4" i="11"/>
  <c r="D6" i="11"/>
  <c r="D5" i="11"/>
  <c r="L5" i="11"/>
  <c r="L7" i="11"/>
  <c r="L4" i="11"/>
  <c r="L3" i="11"/>
  <c r="H5" i="11"/>
  <c r="H3" i="11"/>
  <c r="D7" i="11"/>
  <c r="H6" i="11"/>
  <c r="H7" i="11"/>
  <c r="D3" i="11"/>
  <c r="D4" i="11"/>
  <c r="AT12" i="11"/>
  <c r="AT17" i="11" s="1"/>
  <c r="AP12" i="11"/>
  <c r="AP17" i="11" s="1"/>
  <c r="AL12" i="11"/>
  <c r="AL17" i="11" s="1"/>
  <c r="AH12" i="11"/>
  <c r="AH17" i="11" s="1"/>
  <c r="AD12" i="11"/>
  <c r="AD17" i="11" s="1"/>
  <c r="M20" i="11" l="1"/>
  <c r="N20" i="11" s="1"/>
  <c r="E20" i="11"/>
  <c r="F20" i="11" s="1"/>
  <c r="I20" i="11"/>
  <c r="J20" i="11" s="1"/>
  <c r="AM20" i="11"/>
  <c r="AY20" i="11"/>
  <c r="AA20" i="11"/>
  <c r="S20" i="11" l="1"/>
  <c r="M47" i="11" l="1"/>
  <c r="T22" i="11"/>
  <c r="T23" i="11" s="1"/>
  <c r="T20" i="11"/>
  <c r="BF12" i="11"/>
  <c r="BF17" i="11" s="1"/>
  <c r="BB12" i="11"/>
  <c r="BB17" i="11" s="1"/>
  <c r="AX12" i="11"/>
  <c r="AX17" i="11" s="1"/>
  <c r="M48" i="11" l="1"/>
  <c r="N47" i="11"/>
  <c r="N48" i="11" l="1"/>
  <c r="M53" i="11"/>
  <c r="N53" i="11" s="1"/>
  <c r="N57" i="6" l="1"/>
  <c r="N56" i="6"/>
  <c r="N55" i="6"/>
  <c r="K173" i="8" l="1"/>
  <c r="O173" i="8"/>
  <c r="G168" i="6"/>
  <c r="K168" i="6"/>
  <c r="O168" i="6"/>
  <c r="S168" i="6"/>
  <c r="G173" i="8"/>
  <c r="S173" i="8"/>
  <c r="T168" i="6" l="1"/>
  <c r="T173" i="8"/>
  <c r="O7" i="8" l="1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6" i="8"/>
  <c r="O174" i="8" s="1"/>
  <c r="S6" i="6"/>
  <c r="S8" i="6"/>
  <c r="S10" i="6"/>
  <c r="S12" i="6"/>
  <c r="S14" i="6"/>
  <c r="S24" i="6"/>
  <c r="S27" i="6"/>
  <c r="S34" i="6"/>
  <c r="S35" i="6"/>
  <c r="S38" i="6"/>
  <c r="S39" i="6"/>
  <c r="S40" i="6"/>
  <c r="S41" i="6"/>
  <c r="S43" i="6"/>
  <c r="S46" i="6"/>
  <c r="S47" i="6"/>
  <c r="S49" i="6"/>
  <c r="S51" i="6"/>
  <c r="S52" i="6"/>
  <c r="S53" i="6"/>
  <c r="S56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3" i="6"/>
  <c r="S84" i="6"/>
  <c r="S85" i="6"/>
  <c r="S89" i="6"/>
  <c r="S91" i="6"/>
  <c r="S92" i="6"/>
  <c r="S93" i="6"/>
  <c r="S94" i="6"/>
  <c r="S95" i="6"/>
  <c r="S96" i="6"/>
  <c r="S98" i="6"/>
  <c r="S99" i="6"/>
  <c r="S100" i="6"/>
  <c r="S105" i="6"/>
  <c r="S106" i="6"/>
  <c r="S107" i="6"/>
  <c r="S108" i="6"/>
  <c r="S111" i="6"/>
  <c r="S113" i="6"/>
  <c r="S117" i="6"/>
  <c r="S122" i="6"/>
  <c r="S125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5" i="6"/>
  <c r="S167" i="6"/>
  <c r="K49" i="6"/>
  <c r="K98" i="6"/>
  <c r="K160" i="6"/>
  <c r="K161" i="6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K174" i="8" l="1"/>
  <c r="S174" i="8"/>
  <c r="G174" i="8"/>
  <c r="T170" i="8"/>
  <c r="T162" i="8"/>
  <c r="T154" i="8"/>
  <c r="T146" i="8"/>
  <c r="T138" i="8"/>
  <c r="T130" i="8"/>
  <c r="T122" i="8"/>
  <c r="T114" i="8"/>
  <c r="T106" i="8"/>
  <c r="T98" i="8"/>
  <c r="T90" i="8"/>
  <c r="T82" i="8"/>
  <c r="T74" i="8"/>
  <c r="T66" i="8"/>
  <c r="T58" i="8"/>
  <c r="T50" i="8"/>
  <c r="T42" i="8"/>
  <c r="T34" i="8"/>
  <c r="T26" i="8"/>
  <c r="T18" i="8"/>
  <c r="T10" i="8"/>
  <c r="T169" i="8"/>
  <c r="T153" i="8"/>
  <c r="T145" i="8"/>
  <c r="T137" i="8"/>
  <c r="T129" i="8"/>
  <c r="T113" i="8"/>
  <c r="T105" i="8"/>
  <c r="T97" i="8"/>
  <c r="T89" i="8"/>
  <c r="T81" i="8"/>
  <c r="T73" i="8"/>
  <c r="T65" i="8"/>
  <c r="T57" i="8"/>
  <c r="T49" i="8"/>
  <c r="T41" i="8"/>
  <c r="T33" i="8"/>
  <c r="T25" i="8"/>
  <c r="T17" i="8"/>
  <c r="T9" i="8"/>
  <c r="T161" i="8"/>
  <c r="T121" i="8"/>
  <c r="T128" i="8"/>
  <c r="T96" i="8"/>
  <c r="T64" i="8"/>
  <c r="T24" i="8"/>
  <c r="T167" i="8"/>
  <c r="T127" i="8"/>
  <c r="T95" i="8"/>
  <c r="T79" i="8"/>
  <c r="T63" i="8"/>
  <c r="T31" i="8"/>
  <c r="T144" i="8"/>
  <c r="T112" i="8"/>
  <c r="T72" i="8"/>
  <c r="T32" i="8"/>
  <c r="T143" i="8"/>
  <c r="T111" i="8"/>
  <c r="T15" i="8"/>
  <c r="T168" i="8"/>
  <c r="T136" i="8"/>
  <c r="T88" i="8"/>
  <c r="T56" i="8"/>
  <c r="T8" i="8"/>
  <c r="T151" i="8"/>
  <c r="T103" i="8"/>
  <c r="T23" i="8"/>
  <c r="T152" i="8"/>
  <c r="T120" i="8"/>
  <c r="T80" i="8"/>
  <c r="T48" i="8"/>
  <c r="T16" i="8"/>
  <c r="T159" i="8"/>
  <c r="T135" i="8"/>
  <c r="T119" i="8"/>
  <c r="T87" i="8"/>
  <c r="T71" i="8"/>
  <c r="T55" i="8"/>
  <c r="T47" i="8"/>
  <c r="T39" i="8"/>
  <c r="T7" i="8"/>
  <c r="T171" i="8"/>
  <c r="T163" i="8"/>
  <c r="T155" i="8"/>
  <c r="T147" i="8"/>
  <c r="T139" i="8"/>
  <c r="T131" i="8"/>
  <c r="T123" i="8"/>
  <c r="T115" i="8"/>
  <c r="T107" i="8"/>
  <c r="T99" i="8"/>
  <c r="T91" i="8"/>
  <c r="T83" i="8"/>
  <c r="T75" i="8"/>
  <c r="T67" i="8"/>
  <c r="T59" i="8"/>
  <c r="T51" i="8"/>
  <c r="T43" i="8"/>
  <c r="T35" i="8"/>
  <c r="T27" i="8"/>
  <c r="T19" i="8"/>
  <c r="T11" i="8"/>
  <c r="T160" i="8"/>
  <c r="T104" i="8"/>
  <c r="T40" i="8"/>
  <c r="T166" i="8"/>
  <c r="T158" i="8"/>
  <c r="T150" i="8"/>
  <c r="T142" i="8"/>
  <c r="T134" i="8"/>
  <c r="T126" i="8"/>
  <c r="T118" i="8"/>
  <c r="T110" i="8"/>
  <c r="T102" i="8"/>
  <c r="T94" i="8"/>
  <c r="T86" i="8"/>
  <c r="T78" i="8"/>
  <c r="T70" i="8"/>
  <c r="T62" i="8"/>
  <c r="T54" i="8"/>
  <c r="T46" i="8"/>
  <c r="T38" i="8"/>
  <c r="T30" i="8"/>
  <c r="T22" i="8"/>
  <c r="T14" i="8"/>
  <c r="T6" i="8"/>
  <c r="T165" i="8"/>
  <c r="T157" i="8"/>
  <c r="T149" i="8"/>
  <c r="T141" i="8"/>
  <c r="T133" i="8"/>
  <c r="T125" i="8"/>
  <c r="T117" i="8"/>
  <c r="T109" i="8"/>
  <c r="T101" i="8"/>
  <c r="T93" i="8"/>
  <c r="T85" i="8"/>
  <c r="T77" i="8"/>
  <c r="T69" i="8"/>
  <c r="T61" i="8"/>
  <c r="T53" i="8"/>
  <c r="T45" i="8"/>
  <c r="T37" i="8"/>
  <c r="T29" i="8"/>
  <c r="T21" i="8"/>
  <c r="T13" i="8"/>
  <c r="T172" i="8"/>
  <c r="T164" i="8"/>
  <c r="T156" i="8"/>
  <c r="T148" i="8"/>
  <c r="T140" i="8"/>
  <c r="T132" i="8"/>
  <c r="T124" i="8"/>
  <c r="T116" i="8"/>
  <c r="T108" i="8"/>
  <c r="T100" i="8"/>
  <c r="T92" i="8"/>
  <c r="T84" i="8"/>
  <c r="T76" i="8"/>
  <c r="T68" i="8"/>
  <c r="T60" i="8"/>
  <c r="T52" i="8"/>
  <c r="T44" i="8"/>
  <c r="T36" i="8"/>
  <c r="T28" i="8"/>
  <c r="T20" i="8"/>
  <c r="T12" i="8"/>
  <c r="M174" i="8" l="1"/>
  <c r="L174" i="8"/>
  <c r="J174" i="8"/>
  <c r="F174" i="8"/>
  <c r="E174" i="8"/>
  <c r="D174" i="8"/>
  <c r="H174" i="8" l="1"/>
  <c r="I174" i="8"/>
  <c r="T174" i="8" l="1"/>
  <c r="U174" i="8" s="1"/>
  <c r="O121" i="6" l="1"/>
  <c r="L133" i="6"/>
  <c r="O166" i="6"/>
  <c r="O167" i="6"/>
  <c r="J133" i="6"/>
  <c r="I133" i="6"/>
  <c r="H133" i="6"/>
  <c r="K167" i="6"/>
  <c r="F133" i="6"/>
  <c r="E133" i="6"/>
  <c r="D133" i="6"/>
  <c r="G166" i="6"/>
  <c r="G167" i="6"/>
  <c r="S166" i="6" l="1"/>
  <c r="K133" i="6"/>
  <c r="G133" i="6"/>
  <c r="G121" i="6"/>
  <c r="T167" i="6"/>
  <c r="K166" i="6"/>
  <c r="T166" i="6" s="1"/>
  <c r="K121" i="6"/>
  <c r="O7" i="3" l="1"/>
  <c r="O22" i="3"/>
  <c r="S22" i="3" s="1"/>
  <c r="S7" i="3" l="1"/>
  <c r="O16" i="3" l="1"/>
  <c r="S16" i="3" s="1"/>
  <c r="O46" i="3" l="1"/>
  <c r="S46" i="3" s="1"/>
  <c r="O44" i="3" l="1"/>
  <c r="S44" i="3" s="1"/>
  <c r="O32" i="3" l="1"/>
  <c r="S32" i="3" s="1"/>
  <c r="O27" i="3" l="1"/>
  <c r="S27" i="3" s="1"/>
  <c r="O9" i="3" l="1"/>
  <c r="S9" i="3" l="1"/>
  <c r="M133" i="6"/>
  <c r="O133" i="6" s="1"/>
  <c r="T133" i="6" s="1"/>
  <c r="M49" i="6" l="1"/>
  <c r="O49" i="6" s="1"/>
  <c r="T49" i="6" s="1"/>
  <c r="M17" i="6" l="1"/>
  <c r="M18" i="6"/>
  <c r="M16" i="6"/>
  <c r="M15" i="6"/>
  <c r="M14" i="6"/>
  <c r="M13" i="6"/>
  <c r="M12" i="6"/>
  <c r="M98" i="6"/>
  <c r="L98" i="6"/>
  <c r="M165" i="6"/>
  <c r="L160" i="6"/>
  <c r="L161" i="6"/>
  <c r="L165" i="6"/>
  <c r="O165" i="6" l="1"/>
  <c r="O98" i="6"/>
  <c r="T98" i="6" s="1"/>
  <c r="M161" i="6"/>
  <c r="O161" i="6" s="1"/>
  <c r="T161" i="6" s="1"/>
  <c r="M160" i="6" l="1"/>
  <c r="O160" i="6" s="1"/>
  <c r="T160" i="6" s="1"/>
  <c r="M50" i="6" l="1"/>
  <c r="M87" i="6" l="1"/>
  <c r="L12" i="6" l="1"/>
  <c r="O12" i="6" s="1"/>
  <c r="L13" i="6"/>
  <c r="O13" i="6" s="1"/>
  <c r="L14" i="6"/>
  <c r="O14" i="6" s="1"/>
  <c r="L15" i="6"/>
  <c r="O15" i="6" s="1"/>
  <c r="L16" i="6"/>
  <c r="O16" i="6" s="1"/>
  <c r="M100" i="6" l="1"/>
  <c r="M99" i="6"/>
  <c r="L100" i="6"/>
  <c r="J100" i="6"/>
  <c r="K100" i="6" s="1"/>
  <c r="O100" i="6" l="1"/>
  <c r="T100" i="6" s="1"/>
  <c r="J13" i="6" l="1"/>
  <c r="J14" i="6"/>
  <c r="J15" i="6"/>
  <c r="J16" i="6"/>
  <c r="J159" i="6"/>
  <c r="K159" i="6" s="1"/>
  <c r="L159" i="6"/>
  <c r="M159" i="6"/>
  <c r="J99" i="6"/>
  <c r="K99" i="6" s="1"/>
  <c r="L99" i="6"/>
  <c r="O99" i="6" s="1"/>
  <c r="O159" i="6" l="1"/>
  <c r="T159" i="6" s="1"/>
  <c r="T99" i="6"/>
  <c r="L158" i="6" l="1"/>
  <c r="M158" i="6"/>
  <c r="J158" i="6"/>
  <c r="K158" i="6" s="1"/>
  <c r="O158" i="6" l="1"/>
  <c r="T158" i="6" s="1"/>
  <c r="I16" i="6" l="1"/>
  <c r="I15" i="6"/>
  <c r="I14" i="6"/>
  <c r="I13" i="6"/>
  <c r="J154" i="6" l="1"/>
  <c r="L154" i="6"/>
  <c r="M154" i="6"/>
  <c r="J155" i="6"/>
  <c r="L155" i="6"/>
  <c r="M155" i="6"/>
  <c r="J156" i="6"/>
  <c r="L156" i="6"/>
  <c r="M156" i="6"/>
  <c r="J157" i="6"/>
  <c r="L157" i="6"/>
  <c r="M157" i="6"/>
  <c r="I154" i="6"/>
  <c r="I155" i="6"/>
  <c r="I156" i="6"/>
  <c r="I157" i="6"/>
  <c r="K154" i="6" l="1"/>
  <c r="O154" i="6"/>
  <c r="K157" i="6"/>
  <c r="O157" i="6"/>
  <c r="O156" i="6"/>
  <c r="K156" i="6"/>
  <c r="K155" i="6"/>
  <c r="O155" i="6"/>
  <c r="T154" i="6" l="1"/>
  <c r="T156" i="6"/>
  <c r="T157" i="6"/>
  <c r="T155" i="6"/>
  <c r="H16" i="6" l="1"/>
  <c r="K16" i="6" s="1"/>
  <c r="H15" i="6"/>
  <c r="K15" i="6" s="1"/>
  <c r="H14" i="6"/>
  <c r="K14" i="6" s="1"/>
  <c r="H13" i="6"/>
  <c r="K13" i="6" s="1"/>
  <c r="F16" i="6" l="1"/>
  <c r="F15" i="6"/>
  <c r="F14" i="6"/>
  <c r="F13" i="6"/>
  <c r="E35" i="6" l="1"/>
  <c r="E15" i="6" l="1"/>
  <c r="E14" i="6"/>
  <c r="E13" i="6"/>
  <c r="E16" i="6" l="1"/>
  <c r="D16" i="6" l="1"/>
  <c r="G16" i="6" s="1"/>
  <c r="D15" i="6"/>
  <c r="G15" i="6" s="1"/>
  <c r="D14" i="6"/>
  <c r="G14" i="6" s="1"/>
  <c r="T14" i="6" s="1"/>
  <c r="D13" i="6"/>
  <c r="G13" i="6" s="1"/>
  <c r="M153" i="6" l="1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2" i="6"/>
  <c r="M131" i="6"/>
  <c r="M130" i="6"/>
  <c r="M129" i="6"/>
  <c r="M128" i="6"/>
  <c r="M127" i="6"/>
  <c r="M126" i="6"/>
  <c r="M125" i="6"/>
  <c r="M124" i="6"/>
  <c r="M123" i="6"/>
  <c r="M122" i="6"/>
  <c r="M120" i="6"/>
  <c r="M119" i="6"/>
  <c r="M118" i="6"/>
  <c r="M117" i="6"/>
  <c r="M113" i="6"/>
  <c r="M112" i="6"/>
  <c r="M111" i="6"/>
  <c r="M109" i="6"/>
  <c r="M108" i="6"/>
  <c r="M107" i="6"/>
  <c r="M106" i="6"/>
  <c r="M105" i="6"/>
  <c r="M104" i="6"/>
  <c r="M97" i="6"/>
  <c r="M96" i="6"/>
  <c r="M95" i="6"/>
  <c r="M94" i="6"/>
  <c r="M93" i="6"/>
  <c r="M92" i="6"/>
  <c r="M91" i="6"/>
  <c r="M90" i="6"/>
  <c r="M89" i="6"/>
  <c r="M88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69" i="6"/>
  <c r="M68" i="6"/>
  <c r="M67" i="6"/>
  <c r="M66" i="6"/>
  <c r="M65" i="6"/>
  <c r="M63" i="6"/>
  <c r="M62" i="6"/>
  <c r="M61" i="6"/>
  <c r="M60" i="6"/>
  <c r="M59" i="6"/>
  <c r="M57" i="6"/>
  <c r="M56" i="6"/>
  <c r="M55" i="6"/>
  <c r="M54" i="6"/>
  <c r="M53" i="6"/>
  <c r="M52" i="6"/>
  <c r="M51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1" i="6"/>
  <c r="M10" i="6"/>
  <c r="M9" i="6"/>
  <c r="M8" i="6"/>
  <c r="M7" i="6"/>
  <c r="M6" i="6"/>
  <c r="L153" i="6"/>
  <c r="L152" i="6"/>
  <c r="O152" i="6" s="1"/>
  <c r="L151" i="6"/>
  <c r="L150" i="6"/>
  <c r="O150" i="6" s="1"/>
  <c r="L149" i="6"/>
  <c r="O149" i="6" s="1"/>
  <c r="L148" i="6"/>
  <c r="L147" i="6"/>
  <c r="L146" i="6"/>
  <c r="L145" i="6"/>
  <c r="L144" i="6"/>
  <c r="O144" i="6" s="1"/>
  <c r="L143" i="6"/>
  <c r="L142" i="6"/>
  <c r="O142" i="6" s="1"/>
  <c r="L141" i="6"/>
  <c r="O141" i="6" s="1"/>
  <c r="L140" i="6"/>
  <c r="L139" i="6"/>
  <c r="L138" i="6"/>
  <c r="L137" i="6"/>
  <c r="L136" i="6"/>
  <c r="O136" i="6" s="1"/>
  <c r="L135" i="6"/>
  <c r="L134" i="6"/>
  <c r="O134" i="6" s="1"/>
  <c r="L132" i="6"/>
  <c r="O132" i="6" s="1"/>
  <c r="L131" i="6"/>
  <c r="L130" i="6"/>
  <c r="L129" i="6"/>
  <c r="L128" i="6"/>
  <c r="L127" i="6"/>
  <c r="L126" i="6"/>
  <c r="O126" i="6" s="1"/>
  <c r="L125" i="6"/>
  <c r="O125" i="6" s="1"/>
  <c r="L124" i="6"/>
  <c r="O124" i="6" s="1"/>
  <c r="L123" i="6"/>
  <c r="L122" i="6"/>
  <c r="L120" i="6"/>
  <c r="L119" i="6"/>
  <c r="L118" i="6"/>
  <c r="O118" i="6" s="1"/>
  <c r="L117" i="6"/>
  <c r="O117" i="6" s="1"/>
  <c r="L113" i="6"/>
  <c r="O113" i="6" s="1"/>
  <c r="L112" i="6"/>
  <c r="O112" i="6" s="1"/>
  <c r="L111" i="6"/>
  <c r="L109" i="6"/>
  <c r="L108" i="6"/>
  <c r="L107" i="6"/>
  <c r="L106" i="6"/>
  <c r="O106" i="6" s="1"/>
  <c r="L105" i="6"/>
  <c r="O105" i="6" s="1"/>
  <c r="L104" i="6"/>
  <c r="O104" i="6" s="1"/>
  <c r="L97" i="6"/>
  <c r="L96" i="6"/>
  <c r="L95" i="6"/>
  <c r="L94" i="6"/>
  <c r="L93" i="6"/>
  <c r="L92" i="6"/>
  <c r="O92" i="6" s="1"/>
  <c r="L91" i="6"/>
  <c r="O91" i="6" s="1"/>
  <c r="L90" i="6"/>
  <c r="O90" i="6" s="1"/>
  <c r="L89" i="6"/>
  <c r="O89" i="6" s="1"/>
  <c r="L88" i="6"/>
  <c r="L87" i="6"/>
  <c r="O87" i="6" s="1"/>
  <c r="L86" i="6"/>
  <c r="L85" i="6"/>
  <c r="L84" i="6"/>
  <c r="L83" i="6"/>
  <c r="O83" i="6" s="1"/>
  <c r="L82" i="6"/>
  <c r="O82" i="6" s="1"/>
  <c r="L81" i="6"/>
  <c r="O81" i="6" s="1"/>
  <c r="L80" i="6"/>
  <c r="L79" i="6"/>
  <c r="L78" i="6"/>
  <c r="L77" i="6"/>
  <c r="L76" i="6"/>
  <c r="L75" i="6"/>
  <c r="O75" i="6" s="1"/>
  <c r="L74" i="6"/>
  <c r="O74" i="6" s="1"/>
  <c r="L73" i="6"/>
  <c r="O73" i="6" s="1"/>
  <c r="L72" i="6"/>
  <c r="L71" i="6"/>
  <c r="L69" i="6"/>
  <c r="L68" i="6"/>
  <c r="L67" i="6"/>
  <c r="L66" i="6"/>
  <c r="O66" i="6" s="1"/>
  <c r="L65" i="6"/>
  <c r="O65" i="6" s="1"/>
  <c r="L63" i="6"/>
  <c r="O63" i="6" s="1"/>
  <c r="L62" i="6"/>
  <c r="L61" i="6"/>
  <c r="L60" i="6"/>
  <c r="L59" i="6"/>
  <c r="L57" i="6"/>
  <c r="L56" i="6"/>
  <c r="O56" i="6" s="1"/>
  <c r="L55" i="6"/>
  <c r="O55" i="6" s="1"/>
  <c r="L54" i="6"/>
  <c r="L53" i="6"/>
  <c r="L52" i="6"/>
  <c r="L51" i="6"/>
  <c r="L50" i="6"/>
  <c r="O50" i="6" s="1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O18" i="6" s="1"/>
  <c r="L17" i="6"/>
  <c r="O17" i="6" s="1"/>
  <c r="L11" i="6"/>
  <c r="L10" i="6"/>
  <c r="L9" i="6"/>
  <c r="L8" i="6"/>
  <c r="O8" i="6" s="1"/>
  <c r="L7" i="6"/>
  <c r="O7" i="6" s="1"/>
  <c r="L6" i="6"/>
  <c r="J165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2" i="6"/>
  <c r="J131" i="6"/>
  <c r="J130" i="6"/>
  <c r="J129" i="6"/>
  <c r="J128" i="6"/>
  <c r="J127" i="6"/>
  <c r="J126" i="6"/>
  <c r="J125" i="6"/>
  <c r="J124" i="6"/>
  <c r="J123" i="6"/>
  <c r="J122" i="6"/>
  <c r="J120" i="6"/>
  <c r="J119" i="6"/>
  <c r="J118" i="6"/>
  <c r="J117" i="6"/>
  <c r="J113" i="6"/>
  <c r="J112" i="6"/>
  <c r="J111" i="6"/>
  <c r="J109" i="6"/>
  <c r="J108" i="6"/>
  <c r="J107" i="6"/>
  <c r="J106" i="6"/>
  <c r="J105" i="6"/>
  <c r="J104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69" i="6"/>
  <c r="J68" i="6"/>
  <c r="J67" i="6"/>
  <c r="J66" i="6"/>
  <c r="J65" i="6"/>
  <c r="J63" i="6"/>
  <c r="J62" i="6"/>
  <c r="J61" i="6"/>
  <c r="J60" i="6"/>
  <c r="J59" i="6"/>
  <c r="J57" i="6"/>
  <c r="J56" i="6"/>
  <c r="J55" i="6"/>
  <c r="J54" i="6"/>
  <c r="J53" i="6"/>
  <c r="J52" i="6"/>
  <c r="J51" i="6"/>
  <c r="J50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2" i="6"/>
  <c r="J11" i="6"/>
  <c r="J10" i="6"/>
  <c r="J9" i="6"/>
  <c r="J8" i="6"/>
  <c r="J7" i="6"/>
  <c r="J6" i="6"/>
  <c r="I165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2" i="6"/>
  <c r="I131" i="6"/>
  <c r="I130" i="6"/>
  <c r="I129" i="6"/>
  <c r="I128" i="6"/>
  <c r="I127" i="6"/>
  <c r="I126" i="6"/>
  <c r="I125" i="6"/>
  <c r="I124" i="6"/>
  <c r="I123" i="6"/>
  <c r="I122" i="6"/>
  <c r="I120" i="6"/>
  <c r="I119" i="6"/>
  <c r="I118" i="6"/>
  <c r="I117" i="6"/>
  <c r="I113" i="6"/>
  <c r="I112" i="6"/>
  <c r="I111" i="6"/>
  <c r="I109" i="6"/>
  <c r="I108" i="6"/>
  <c r="I107" i="6"/>
  <c r="I106" i="6"/>
  <c r="I105" i="6"/>
  <c r="I104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69" i="6"/>
  <c r="I68" i="6"/>
  <c r="I67" i="6"/>
  <c r="I66" i="6"/>
  <c r="I65" i="6"/>
  <c r="I63" i="6"/>
  <c r="I62" i="6"/>
  <c r="I61" i="6"/>
  <c r="I60" i="6"/>
  <c r="I59" i="6"/>
  <c r="I57" i="6"/>
  <c r="I56" i="6"/>
  <c r="I55" i="6"/>
  <c r="I54" i="6"/>
  <c r="I53" i="6"/>
  <c r="I52" i="6"/>
  <c r="I51" i="6"/>
  <c r="I50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2" i="6"/>
  <c r="I11" i="6"/>
  <c r="I10" i="6"/>
  <c r="I9" i="6"/>
  <c r="I8" i="6"/>
  <c r="I7" i="6"/>
  <c r="I6" i="6"/>
  <c r="H165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2" i="6"/>
  <c r="H131" i="6"/>
  <c r="H130" i="6"/>
  <c r="H129" i="6"/>
  <c r="H128" i="6"/>
  <c r="H127" i="6"/>
  <c r="H126" i="6"/>
  <c r="H125" i="6"/>
  <c r="H124" i="6"/>
  <c r="H123" i="6"/>
  <c r="H122" i="6"/>
  <c r="H120" i="6"/>
  <c r="H119" i="6"/>
  <c r="H118" i="6"/>
  <c r="H117" i="6"/>
  <c r="H113" i="6"/>
  <c r="H112" i="6"/>
  <c r="H111" i="6"/>
  <c r="H109" i="6"/>
  <c r="H108" i="6"/>
  <c r="H107" i="6"/>
  <c r="H106" i="6"/>
  <c r="H105" i="6"/>
  <c r="H104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69" i="6"/>
  <c r="H68" i="6"/>
  <c r="H67" i="6"/>
  <c r="H66" i="6"/>
  <c r="H65" i="6"/>
  <c r="H63" i="6"/>
  <c r="H62" i="6"/>
  <c r="H61" i="6"/>
  <c r="H60" i="6"/>
  <c r="H59" i="6"/>
  <c r="H57" i="6"/>
  <c r="H56" i="6"/>
  <c r="H55" i="6"/>
  <c r="H54" i="6"/>
  <c r="H53" i="6"/>
  <c r="H52" i="6"/>
  <c r="H51" i="6"/>
  <c r="H50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2" i="6"/>
  <c r="H11" i="6"/>
  <c r="H10" i="6"/>
  <c r="H9" i="6"/>
  <c r="H8" i="6"/>
  <c r="H7" i="6"/>
  <c r="H6" i="6"/>
  <c r="F165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2" i="6"/>
  <c r="F131" i="6"/>
  <c r="F130" i="6"/>
  <c r="F129" i="6"/>
  <c r="F128" i="6"/>
  <c r="F127" i="6"/>
  <c r="F126" i="6"/>
  <c r="F125" i="6"/>
  <c r="F124" i="6"/>
  <c r="F123" i="6"/>
  <c r="F122" i="6"/>
  <c r="F120" i="6"/>
  <c r="F119" i="6"/>
  <c r="F118" i="6"/>
  <c r="F117" i="6"/>
  <c r="F113" i="6"/>
  <c r="F112" i="6"/>
  <c r="F111" i="6"/>
  <c r="F109" i="6"/>
  <c r="F108" i="6"/>
  <c r="F107" i="6"/>
  <c r="F106" i="6"/>
  <c r="F105" i="6"/>
  <c r="F104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69" i="6"/>
  <c r="F68" i="6"/>
  <c r="F67" i="6"/>
  <c r="F66" i="6"/>
  <c r="F65" i="6"/>
  <c r="F63" i="6"/>
  <c r="F62" i="6"/>
  <c r="F61" i="6"/>
  <c r="F60" i="6"/>
  <c r="F59" i="6"/>
  <c r="F57" i="6"/>
  <c r="F56" i="6"/>
  <c r="F55" i="6"/>
  <c r="F54" i="6"/>
  <c r="F53" i="6"/>
  <c r="F51" i="6"/>
  <c r="F50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2" i="6"/>
  <c r="F10" i="6"/>
  <c r="F9" i="6"/>
  <c r="F8" i="6"/>
  <c r="F7" i="6"/>
  <c r="F6" i="6"/>
  <c r="E165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2" i="6"/>
  <c r="E131" i="6"/>
  <c r="E130" i="6"/>
  <c r="E129" i="6"/>
  <c r="E128" i="6"/>
  <c r="E127" i="6"/>
  <c r="E126" i="6"/>
  <c r="E125" i="6"/>
  <c r="E124" i="6"/>
  <c r="E123" i="6"/>
  <c r="E122" i="6"/>
  <c r="E120" i="6"/>
  <c r="E119" i="6"/>
  <c r="E118" i="6"/>
  <c r="E117" i="6"/>
  <c r="E113" i="6"/>
  <c r="E112" i="6"/>
  <c r="E111" i="6"/>
  <c r="E109" i="6"/>
  <c r="E108" i="6"/>
  <c r="E107" i="6"/>
  <c r="E106" i="6"/>
  <c r="E105" i="6"/>
  <c r="E104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3" i="6"/>
  <c r="E62" i="6"/>
  <c r="E61" i="6"/>
  <c r="E60" i="6"/>
  <c r="E59" i="6"/>
  <c r="E57" i="6"/>
  <c r="E56" i="6"/>
  <c r="E55" i="6"/>
  <c r="E54" i="6"/>
  <c r="E53" i="6"/>
  <c r="E52" i="6"/>
  <c r="E51" i="6"/>
  <c r="E50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2" i="6"/>
  <c r="E11" i="6"/>
  <c r="E10" i="6"/>
  <c r="E9" i="6"/>
  <c r="E8" i="6"/>
  <c r="E7" i="6"/>
  <c r="E6" i="6"/>
  <c r="D7" i="6"/>
  <c r="D8" i="6"/>
  <c r="D9" i="6"/>
  <c r="D10" i="6"/>
  <c r="D11" i="6"/>
  <c r="D12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50" i="6"/>
  <c r="D51" i="6"/>
  <c r="D52" i="6"/>
  <c r="D53" i="6"/>
  <c r="D54" i="6"/>
  <c r="D55" i="6"/>
  <c r="D56" i="6"/>
  <c r="D57" i="6"/>
  <c r="D59" i="6"/>
  <c r="D60" i="6"/>
  <c r="D61" i="6"/>
  <c r="D62" i="6"/>
  <c r="D63" i="6"/>
  <c r="D65" i="6"/>
  <c r="D66" i="6"/>
  <c r="D67" i="6"/>
  <c r="D68" i="6"/>
  <c r="D69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104" i="6"/>
  <c r="D105" i="6"/>
  <c r="D106" i="6"/>
  <c r="D107" i="6"/>
  <c r="D108" i="6"/>
  <c r="D109" i="6"/>
  <c r="D111" i="6"/>
  <c r="D112" i="6"/>
  <c r="D113" i="6"/>
  <c r="D117" i="6"/>
  <c r="D118" i="6"/>
  <c r="D119" i="6"/>
  <c r="D120" i="6"/>
  <c r="D122" i="6"/>
  <c r="D123" i="6"/>
  <c r="D124" i="6"/>
  <c r="D125" i="6"/>
  <c r="D126" i="6"/>
  <c r="D127" i="6"/>
  <c r="D128" i="6"/>
  <c r="D129" i="6"/>
  <c r="D130" i="6"/>
  <c r="D131" i="6"/>
  <c r="D132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65" i="6"/>
  <c r="G149" i="6" l="1"/>
  <c r="G141" i="6"/>
  <c r="G112" i="6"/>
  <c r="G97" i="6"/>
  <c r="G89" i="6"/>
  <c r="G81" i="6"/>
  <c r="G73" i="6"/>
  <c r="G131" i="6"/>
  <c r="G123" i="6"/>
  <c r="K122" i="6"/>
  <c r="K130" i="6"/>
  <c r="K139" i="6"/>
  <c r="K147" i="6"/>
  <c r="G125" i="6"/>
  <c r="O22" i="6"/>
  <c r="O30" i="6"/>
  <c r="O38" i="6"/>
  <c r="O46" i="6"/>
  <c r="O23" i="6"/>
  <c r="O31" i="6"/>
  <c r="O39" i="6"/>
  <c r="O47" i="6"/>
  <c r="O57" i="6"/>
  <c r="O67" i="6"/>
  <c r="O128" i="6"/>
  <c r="K62" i="6"/>
  <c r="K72" i="6"/>
  <c r="K80" i="6"/>
  <c r="K88" i="6"/>
  <c r="K96" i="6"/>
  <c r="K111" i="6"/>
  <c r="K123" i="6"/>
  <c r="K131" i="6"/>
  <c r="K18" i="6"/>
  <c r="K26" i="6"/>
  <c r="K34" i="6"/>
  <c r="K42" i="6"/>
  <c r="K51" i="6"/>
  <c r="K60" i="6"/>
  <c r="K69" i="6"/>
  <c r="K138" i="6"/>
  <c r="K146" i="6"/>
  <c r="K165" i="6"/>
  <c r="K8" i="6"/>
  <c r="K20" i="6"/>
  <c r="K28" i="6"/>
  <c r="K36" i="6"/>
  <c r="K44" i="6"/>
  <c r="K53" i="6"/>
  <c r="G63" i="6"/>
  <c r="G54" i="6"/>
  <c r="K23" i="6"/>
  <c r="K31" i="6"/>
  <c r="K39" i="6"/>
  <c r="K47" i="6"/>
  <c r="K56" i="6"/>
  <c r="K75" i="6"/>
  <c r="K83" i="6"/>
  <c r="K91" i="6"/>
  <c r="K105" i="6"/>
  <c r="K117" i="6"/>
  <c r="K135" i="6"/>
  <c r="K143" i="6"/>
  <c r="K151" i="6"/>
  <c r="K12" i="6"/>
  <c r="K24" i="6"/>
  <c r="K32" i="6"/>
  <c r="K40" i="6"/>
  <c r="K48" i="6"/>
  <c r="K57" i="6"/>
  <c r="K67" i="6"/>
  <c r="K127" i="6"/>
  <c r="G147" i="6"/>
  <c r="G139" i="6"/>
  <c r="G109" i="6"/>
  <c r="G95" i="6"/>
  <c r="G87" i="6"/>
  <c r="G79" i="6"/>
  <c r="G71" i="6"/>
  <c r="K59" i="6"/>
  <c r="K77" i="6"/>
  <c r="K85" i="6"/>
  <c r="K93" i="6"/>
  <c r="K107" i="6"/>
  <c r="K119" i="6"/>
  <c r="G65" i="6"/>
  <c r="O11" i="6"/>
  <c r="O19" i="6"/>
  <c r="O27" i="6"/>
  <c r="O35" i="6"/>
  <c r="O43" i="6"/>
  <c r="O71" i="6"/>
  <c r="O79" i="6"/>
  <c r="O53" i="6"/>
  <c r="O62" i="6"/>
  <c r="O72" i="6"/>
  <c r="O80" i="6"/>
  <c r="O88" i="6"/>
  <c r="O96" i="6"/>
  <c r="O111" i="6"/>
  <c r="O123" i="6"/>
  <c r="O131" i="6"/>
  <c r="O140" i="6"/>
  <c r="O148" i="6"/>
  <c r="G28" i="6"/>
  <c r="G20" i="6"/>
  <c r="G55" i="6"/>
  <c r="G46" i="6"/>
  <c r="G38" i="6"/>
  <c r="O10" i="6"/>
  <c r="G129" i="6"/>
  <c r="G120" i="6"/>
  <c r="G108" i="6"/>
  <c r="G94" i="6"/>
  <c r="G86" i="6"/>
  <c r="G78" i="6"/>
  <c r="G60" i="6"/>
  <c r="G153" i="6"/>
  <c r="G145" i="6"/>
  <c r="G137" i="6"/>
  <c r="G128" i="6"/>
  <c r="O25" i="6"/>
  <c r="O33" i="6"/>
  <c r="O41" i="6"/>
  <c r="G32" i="6"/>
  <c r="G24" i="6"/>
  <c r="O51" i="6"/>
  <c r="O60" i="6"/>
  <c r="O69" i="6"/>
  <c r="O122" i="6"/>
  <c r="O130" i="6"/>
  <c r="O139" i="6"/>
  <c r="O147" i="6"/>
  <c r="G12" i="6"/>
  <c r="O9" i="6"/>
  <c r="O24" i="6"/>
  <c r="O32" i="6"/>
  <c r="O40" i="6"/>
  <c r="O48" i="6"/>
  <c r="O59" i="6"/>
  <c r="O77" i="6"/>
  <c r="O85" i="6"/>
  <c r="G144" i="6"/>
  <c r="G57" i="6"/>
  <c r="G48" i="6"/>
  <c r="G40" i="6"/>
  <c r="O94" i="6"/>
  <c r="O108" i="6"/>
  <c r="O120" i="6"/>
  <c r="O138" i="6"/>
  <c r="O146" i="6"/>
  <c r="G152" i="6"/>
  <c r="G136" i="6"/>
  <c r="G117" i="6"/>
  <c r="K73" i="6"/>
  <c r="K81" i="6"/>
  <c r="K89" i="6"/>
  <c r="T89" i="6" s="1"/>
  <c r="K97" i="6"/>
  <c r="K112" i="6"/>
  <c r="K141" i="6"/>
  <c r="T141" i="6" s="1"/>
  <c r="K149" i="6"/>
  <c r="T149" i="6" s="1"/>
  <c r="K10" i="6"/>
  <c r="K65" i="6"/>
  <c r="K125" i="6"/>
  <c r="D70" i="6"/>
  <c r="D64" i="6"/>
  <c r="F70" i="6"/>
  <c r="H70" i="6"/>
  <c r="K22" i="6"/>
  <c r="K30" i="6"/>
  <c r="K38" i="6"/>
  <c r="K46" i="6"/>
  <c r="T46" i="6" s="1"/>
  <c r="K55" i="6"/>
  <c r="K63" i="6"/>
  <c r="K71" i="6"/>
  <c r="K79" i="6"/>
  <c r="K87" i="6"/>
  <c r="K95" i="6"/>
  <c r="K109" i="6"/>
  <c r="K129" i="6"/>
  <c r="K137" i="6"/>
  <c r="K145" i="6"/>
  <c r="K153" i="6"/>
  <c r="I64" i="6"/>
  <c r="J70" i="6"/>
  <c r="M64" i="6"/>
  <c r="H64" i="6"/>
  <c r="O21" i="6"/>
  <c r="O29" i="6"/>
  <c r="O37" i="6"/>
  <c r="O45" i="6"/>
  <c r="L70" i="6"/>
  <c r="I70" i="6"/>
  <c r="M70" i="6"/>
  <c r="F64" i="6"/>
  <c r="G165" i="6"/>
  <c r="E64" i="6"/>
  <c r="E169" i="6" s="1"/>
  <c r="J64" i="6"/>
  <c r="L64" i="6"/>
  <c r="G105" i="6"/>
  <c r="G91" i="6"/>
  <c r="G83" i="6"/>
  <c r="G75" i="6"/>
  <c r="G67" i="6"/>
  <c r="G51" i="6"/>
  <c r="G29" i="6"/>
  <c r="G21" i="6"/>
  <c r="K11" i="6"/>
  <c r="K21" i="6"/>
  <c r="K29" i="6"/>
  <c r="K37" i="6"/>
  <c r="K45" i="6"/>
  <c r="K54" i="6"/>
  <c r="K78" i="6"/>
  <c r="K86" i="6"/>
  <c r="K94" i="6"/>
  <c r="K108" i="6"/>
  <c r="K120" i="6"/>
  <c r="K128" i="6"/>
  <c r="K136" i="6"/>
  <c r="K144" i="6"/>
  <c r="K152" i="6"/>
  <c r="G10" i="6"/>
  <c r="O20" i="6"/>
  <c r="O28" i="6"/>
  <c r="O36" i="6"/>
  <c r="O44" i="6"/>
  <c r="G150" i="6"/>
  <c r="G142" i="6"/>
  <c r="G134" i="6"/>
  <c r="G126" i="6"/>
  <c r="G118" i="6"/>
  <c r="G106" i="6"/>
  <c r="G92" i="6"/>
  <c r="G84" i="6"/>
  <c r="G76" i="6"/>
  <c r="G68" i="6"/>
  <c r="O54" i="6"/>
  <c r="O78" i="6"/>
  <c r="O86" i="6"/>
  <c r="O95" i="6"/>
  <c r="O109" i="6"/>
  <c r="O129" i="6"/>
  <c r="O137" i="6"/>
  <c r="O145" i="6"/>
  <c r="O153" i="6"/>
  <c r="G44" i="6"/>
  <c r="G146" i="6"/>
  <c r="G138" i="6"/>
  <c r="G130" i="6"/>
  <c r="G122" i="6"/>
  <c r="G111" i="6"/>
  <c r="G96" i="6"/>
  <c r="G88" i="6"/>
  <c r="G80" i="6"/>
  <c r="G72" i="6"/>
  <c r="G59" i="6"/>
  <c r="G56" i="6"/>
  <c r="G47" i="6"/>
  <c r="G39" i="6"/>
  <c r="G30" i="6"/>
  <c r="G22" i="6"/>
  <c r="G61" i="6"/>
  <c r="G31" i="6"/>
  <c r="G23" i="6"/>
  <c r="G36" i="6"/>
  <c r="K9" i="6"/>
  <c r="K19" i="6"/>
  <c r="K27" i="6"/>
  <c r="K35" i="6"/>
  <c r="K43" i="6"/>
  <c r="K52" i="6"/>
  <c r="K61" i="6"/>
  <c r="K68" i="6"/>
  <c r="K76" i="6"/>
  <c r="K84" i="6"/>
  <c r="K92" i="6"/>
  <c r="K106" i="6"/>
  <c r="K118" i="6"/>
  <c r="K126" i="6"/>
  <c r="K134" i="6"/>
  <c r="K142" i="6"/>
  <c r="K150" i="6"/>
  <c r="O26" i="6"/>
  <c r="O34" i="6"/>
  <c r="O42" i="6"/>
  <c r="G45" i="6"/>
  <c r="G37" i="6"/>
  <c r="O52" i="6"/>
  <c r="O61" i="6"/>
  <c r="O68" i="6"/>
  <c r="O76" i="6"/>
  <c r="O84" i="6"/>
  <c r="G107" i="6"/>
  <c r="G69" i="6"/>
  <c r="G62" i="6"/>
  <c r="G53" i="6"/>
  <c r="O93" i="6"/>
  <c r="O107" i="6"/>
  <c r="O119" i="6"/>
  <c r="O127" i="6"/>
  <c r="O135" i="6"/>
  <c r="O151" i="6"/>
  <c r="G135" i="6"/>
  <c r="G93" i="6"/>
  <c r="G43" i="6"/>
  <c r="G35" i="6"/>
  <c r="G27" i="6"/>
  <c r="G19" i="6"/>
  <c r="G9" i="6"/>
  <c r="G151" i="6"/>
  <c r="G127" i="6"/>
  <c r="G77" i="6"/>
  <c r="G143" i="6"/>
  <c r="G119" i="6"/>
  <c r="G85" i="6"/>
  <c r="G148" i="6"/>
  <c r="G140" i="6"/>
  <c r="G132" i="6"/>
  <c r="G124" i="6"/>
  <c r="G113" i="6"/>
  <c r="G104" i="6"/>
  <c r="G90" i="6"/>
  <c r="G82" i="6"/>
  <c r="G74" i="6"/>
  <c r="G66" i="6"/>
  <c r="G50" i="6"/>
  <c r="G41" i="6"/>
  <c r="G33" i="6"/>
  <c r="G25" i="6"/>
  <c r="K7" i="6"/>
  <c r="K17" i="6"/>
  <c r="K25" i="6"/>
  <c r="K33" i="6"/>
  <c r="K41" i="6"/>
  <c r="K50" i="6"/>
  <c r="K66" i="6"/>
  <c r="K74" i="6"/>
  <c r="K82" i="6"/>
  <c r="K90" i="6"/>
  <c r="K104" i="6"/>
  <c r="K113" i="6"/>
  <c r="K124" i="6"/>
  <c r="K132" i="6"/>
  <c r="K140" i="6"/>
  <c r="K148" i="6"/>
  <c r="O6" i="6"/>
  <c r="G42" i="6"/>
  <c r="G34" i="6"/>
  <c r="G26" i="6"/>
  <c r="G18" i="6"/>
  <c r="G8" i="6"/>
  <c r="K6" i="6"/>
  <c r="G17" i="6"/>
  <c r="G7" i="6"/>
  <c r="T111" i="6" l="1"/>
  <c r="T73" i="6"/>
  <c r="T125" i="6"/>
  <c r="T81" i="6"/>
  <c r="T72" i="6"/>
  <c r="T8" i="6"/>
  <c r="T131" i="6"/>
  <c r="T165" i="6"/>
  <c r="T63" i="6"/>
  <c r="T62" i="6"/>
  <c r="T47" i="6"/>
  <c r="T117" i="6"/>
  <c r="T75" i="6"/>
  <c r="T56" i="6"/>
  <c r="T39" i="6"/>
  <c r="T83" i="6"/>
  <c r="T146" i="6"/>
  <c r="T105" i="6"/>
  <c r="T128" i="6"/>
  <c r="T147" i="6"/>
  <c r="T144" i="6"/>
  <c r="T67" i="6"/>
  <c r="T12" i="6"/>
  <c r="T93" i="6"/>
  <c r="T91" i="6"/>
  <c r="T139" i="6"/>
  <c r="T40" i="6"/>
  <c r="T51" i="6"/>
  <c r="T153" i="6"/>
  <c r="T122" i="6"/>
  <c r="T65" i="6"/>
  <c r="T53" i="6"/>
  <c r="T138" i="6"/>
  <c r="T134" i="6"/>
  <c r="T38" i="6"/>
  <c r="G64" i="6"/>
  <c r="T150" i="6"/>
  <c r="T79" i="6"/>
  <c r="T24" i="6"/>
  <c r="T85" i="6"/>
  <c r="T69" i="6"/>
  <c r="T130" i="6"/>
  <c r="T95" i="6"/>
  <c r="T108" i="6"/>
  <c r="T80" i="6"/>
  <c r="T10" i="6"/>
  <c r="T71" i="6"/>
  <c r="T59" i="6"/>
  <c r="J169" i="6"/>
  <c r="T96" i="6"/>
  <c r="L169" i="6"/>
  <c r="T152" i="6"/>
  <c r="T137" i="6"/>
  <c r="O70" i="6"/>
  <c r="K70" i="6"/>
  <c r="H169" i="6"/>
  <c r="T94" i="6"/>
  <c r="T60" i="6"/>
  <c r="T106" i="6"/>
  <c r="I169" i="6"/>
  <c r="T77" i="6"/>
  <c r="T78" i="6"/>
  <c r="M169" i="6"/>
  <c r="T145" i="6"/>
  <c r="T136" i="6"/>
  <c r="T142" i="6"/>
  <c r="T92" i="6"/>
  <c r="K64" i="6"/>
  <c r="T129" i="6"/>
  <c r="O64" i="6"/>
  <c r="T84" i="6"/>
  <c r="G70" i="6"/>
  <c r="T76" i="6"/>
  <c r="T61" i="6"/>
  <c r="T74" i="6"/>
  <c r="T148" i="6"/>
  <c r="T35" i="6"/>
  <c r="T34" i="6"/>
  <c r="T151" i="6"/>
  <c r="T66" i="6"/>
  <c r="T140" i="6"/>
  <c r="T27" i="6"/>
  <c r="T135" i="6"/>
  <c r="T68" i="6"/>
  <c r="T41" i="6"/>
  <c r="T127" i="6"/>
  <c r="T107" i="6"/>
  <c r="T113" i="6"/>
  <c r="T43" i="6"/>
  <c r="T132" i="6"/>
  <c r="T70" i="6" l="1"/>
  <c r="K169" i="6"/>
  <c r="T64" i="6"/>
  <c r="F52" i="6"/>
  <c r="G52" i="6" s="1"/>
  <c r="T52" i="6" s="1"/>
  <c r="F11" i="6" l="1"/>
  <c r="G11" i="6" l="1"/>
  <c r="F169" i="6"/>
  <c r="D6" i="6" l="1"/>
  <c r="G6" i="6" l="1"/>
  <c r="D169" i="6"/>
  <c r="T6" i="6" l="1"/>
  <c r="G169" i="6"/>
  <c r="U28" i="6" l="1"/>
  <c r="R116" i="6" l="1"/>
  <c r="S116" i="6" s="1"/>
  <c r="T116" i="6" s="1"/>
  <c r="R115" i="6" l="1"/>
  <c r="S115" i="6" s="1"/>
  <c r="T115" i="6" s="1"/>
  <c r="R126" i="6" l="1"/>
  <c r="S126" i="6" s="1"/>
  <c r="T126" i="6" s="1"/>
  <c r="R124" i="6"/>
  <c r="S124" i="6" s="1"/>
  <c r="T124" i="6" s="1"/>
  <c r="R123" i="6"/>
  <c r="S123" i="6" s="1"/>
  <c r="T123" i="6" s="1"/>
  <c r="R121" i="6"/>
  <c r="S121" i="6" s="1"/>
  <c r="T121" i="6" s="1"/>
  <c r="R120" i="6"/>
  <c r="S120" i="6" s="1"/>
  <c r="T120" i="6" s="1"/>
  <c r="R119" i="6"/>
  <c r="S119" i="6" s="1"/>
  <c r="T119" i="6" s="1"/>
  <c r="R118" i="6"/>
  <c r="S118" i="6" s="1"/>
  <c r="T118" i="6" s="1"/>
  <c r="R112" i="6"/>
  <c r="S112" i="6" s="1"/>
  <c r="T112" i="6" s="1"/>
  <c r="R109" i="6"/>
  <c r="S109" i="6" s="1"/>
  <c r="T109" i="6" s="1"/>
  <c r="R104" i="6"/>
  <c r="S104" i="6" s="1"/>
  <c r="T104" i="6" s="1"/>
  <c r="R90" i="6"/>
  <c r="S90" i="6" s="1"/>
  <c r="T90" i="6" s="1"/>
  <c r="R88" i="6"/>
  <c r="S88" i="6" s="1"/>
  <c r="T88" i="6" s="1"/>
  <c r="R87" i="6"/>
  <c r="S87" i="6" s="1"/>
  <c r="T87" i="6" s="1"/>
  <c r="R86" i="6"/>
  <c r="S86" i="6" s="1"/>
  <c r="T86" i="6" s="1"/>
  <c r="R82" i="6"/>
  <c r="S82" i="6" s="1"/>
  <c r="T82" i="6" s="1"/>
  <c r="R57" i="6"/>
  <c r="S57" i="6" s="1"/>
  <c r="T57" i="6" s="1"/>
  <c r="R55" i="6"/>
  <c r="S55" i="6" s="1"/>
  <c r="T55" i="6" s="1"/>
  <c r="R54" i="6"/>
  <c r="S54" i="6" s="1"/>
  <c r="T54" i="6" s="1"/>
  <c r="R50" i="6"/>
  <c r="S50" i="6" s="1"/>
  <c r="T50" i="6" s="1"/>
  <c r="R48" i="6"/>
  <c r="S48" i="6" s="1"/>
  <c r="T48" i="6" s="1"/>
  <c r="R45" i="6"/>
  <c r="S45" i="6" s="1"/>
  <c r="T45" i="6" s="1"/>
  <c r="R44" i="6"/>
  <c r="S44" i="6" s="1"/>
  <c r="T44" i="6" s="1"/>
  <c r="R42" i="6"/>
  <c r="S42" i="6" s="1"/>
  <c r="T42" i="6" s="1"/>
  <c r="R37" i="6"/>
  <c r="S37" i="6" s="1"/>
  <c r="T37" i="6" s="1"/>
  <c r="R36" i="6"/>
  <c r="S36" i="6" s="1"/>
  <c r="T36" i="6" s="1"/>
  <c r="R33" i="6"/>
  <c r="S33" i="6" s="1"/>
  <c r="T33" i="6" s="1"/>
  <c r="R32" i="6"/>
  <c r="S32" i="6" s="1"/>
  <c r="T32" i="6" s="1"/>
  <c r="R31" i="6"/>
  <c r="S31" i="6" s="1"/>
  <c r="T31" i="6" s="1"/>
  <c r="R30" i="6"/>
  <c r="S30" i="6" s="1"/>
  <c r="T30" i="6" s="1"/>
  <c r="R29" i="6"/>
  <c r="S29" i="6" s="1"/>
  <c r="T29" i="6" s="1"/>
  <c r="R28" i="6"/>
  <c r="R26" i="6"/>
  <c r="S26" i="6" s="1"/>
  <c r="T26" i="6" s="1"/>
  <c r="R25" i="6"/>
  <c r="S25" i="6" s="1"/>
  <c r="T25" i="6" s="1"/>
  <c r="R23" i="6"/>
  <c r="S23" i="6" s="1"/>
  <c r="T23" i="6" s="1"/>
  <c r="R22" i="6"/>
  <c r="S22" i="6" s="1"/>
  <c r="T22" i="6" s="1"/>
  <c r="R21" i="6"/>
  <c r="S21" i="6" s="1"/>
  <c r="T21" i="6" s="1"/>
  <c r="R20" i="6"/>
  <c r="S20" i="6" s="1"/>
  <c r="T20" i="6" s="1"/>
  <c r="R19" i="6"/>
  <c r="S19" i="6" s="1"/>
  <c r="T19" i="6" s="1"/>
  <c r="R18" i="6"/>
  <c r="S18" i="6" s="1"/>
  <c r="T18" i="6" s="1"/>
  <c r="R17" i="6"/>
  <c r="S17" i="6" s="1"/>
  <c r="T17" i="6" s="1"/>
  <c r="R16" i="6"/>
  <c r="S16" i="6" s="1"/>
  <c r="T16" i="6" s="1"/>
  <c r="R15" i="6"/>
  <c r="S15" i="6" s="1"/>
  <c r="T15" i="6" s="1"/>
  <c r="R13" i="6"/>
  <c r="S13" i="6" s="1"/>
  <c r="T13" i="6" s="1"/>
  <c r="R11" i="6"/>
  <c r="S11" i="6" s="1"/>
  <c r="T11" i="6" s="1"/>
  <c r="R9" i="6"/>
  <c r="S9" i="6" s="1"/>
  <c r="T9" i="6" s="1"/>
  <c r="R7" i="6"/>
  <c r="S7" i="6" s="1"/>
  <c r="T7" i="6" s="1"/>
  <c r="S28" i="6" l="1"/>
  <c r="T28" i="6" l="1"/>
  <c r="N97" i="6" l="1"/>
  <c r="O97" i="6" s="1"/>
  <c r="R143" i="6" l="1"/>
  <c r="R97" i="6"/>
  <c r="Q143" i="6"/>
  <c r="Q97" i="6"/>
  <c r="P143" i="6"/>
  <c r="P97" i="6"/>
  <c r="N143" i="6"/>
  <c r="R169" i="6" l="1"/>
  <c r="Q169" i="6"/>
  <c r="S143" i="6"/>
  <c r="P169" i="6"/>
  <c r="S97" i="6"/>
  <c r="N169" i="6"/>
  <c r="O143" i="6"/>
  <c r="S169" i="6" l="1"/>
  <c r="T97" i="6"/>
  <c r="T143" i="6"/>
  <c r="O169" i="6"/>
  <c r="T169" i="6" l="1"/>
  <c r="BI7" i="11" l="1"/>
  <c r="P7" i="11" s="1"/>
  <c r="BI6" i="11"/>
  <c r="P6" i="11" s="1"/>
  <c r="BI5" i="11"/>
  <c r="P5" i="11" s="1"/>
  <c r="BI4" i="11"/>
  <c r="P4" i="11" s="1"/>
  <c r="BI3" i="11"/>
  <c r="P3" i="11" s="1"/>
  <c r="O131" i="3" l="1"/>
  <c r="S131" i="3" s="1"/>
  <c r="S660" i="3" s="1"/>
  <c r="B3" i="3" s="1"/>
  <c r="O66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Contabilidad Sonrie Pro</author>
  </authors>
  <commentList>
    <comment ref="BF22" authorId="0" shapeId="0" xr:uid="{9AE7B12C-DFB5-4957-B11B-ACBFC6BA97E4}">
      <text>
        <r>
          <rPr>
            <b/>
            <sz val="9"/>
            <color indexed="81"/>
            <rFont val="Tahoma"/>
            <family val="2"/>
          </rPr>
          <t>Contabilidad Sonrie Pro:</t>
        </r>
        <r>
          <rPr>
            <sz val="9"/>
            <color indexed="81"/>
            <rFont val="Tahoma"/>
            <family val="2"/>
          </rPr>
          <t xml:space="preserve">
Aguinaldo </t>
        </r>
      </text>
    </comment>
    <comment ref="BR22" authorId="0" shapeId="0" xr:uid="{711CF2F1-23C1-4713-AD5A-8646B1A4ABA3}">
      <text>
        <r>
          <rPr>
            <b/>
            <sz val="9"/>
            <color indexed="81"/>
            <rFont val="Tahoma"/>
            <family val="2"/>
          </rPr>
          <t>Contabilidad Sonrie Pro:</t>
        </r>
        <r>
          <rPr>
            <sz val="9"/>
            <color indexed="81"/>
            <rFont val="Tahoma"/>
            <family val="2"/>
          </rPr>
          <t xml:space="preserve">
Aguinaldo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Contabilidad Sonrie Pro</author>
  </authors>
  <commentList>
    <comment ref="BL22" authorId="0" shapeId="0" xr:uid="{829AD266-083A-4902-8153-055E0B4C79F3}">
      <text>
        <r>
          <rPr>
            <b/>
            <sz val="9"/>
            <color indexed="81"/>
            <rFont val="Tahoma"/>
            <family val="2"/>
          </rPr>
          <t>Contabilidad Sonrie Pro:</t>
        </r>
        <r>
          <rPr>
            <sz val="9"/>
            <color indexed="81"/>
            <rFont val="Tahoma"/>
            <family val="2"/>
          </rPr>
          <t xml:space="preserve">
Aguinaldo </t>
        </r>
      </text>
    </comment>
    <comment ref="BX22" authorId="0" shapeId="0" xr:uid="{F06EA912-7C25-4A96-8288-673BA9F7BAB5}">
      <text>
        <r>
          <rPr>
            <b/>
            <sz val="9"/>
            <color indexed="81"/>
            <rFont val="Tahoma"/>
            <family val="2"/>
          </rPr>
          <t>Contabilidad Sonrie Pro:</t>
        </r>
        <r>
          <rPr>
            <sz val="9"/>
            <color indexed="81"/>
            <rFont val="Tahoma"/>
            <family val="2"/>
          </rPr>
          <t xml:space="preserve">
Aguinaldo 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FE87F3-7AAD-4655-88B3-60ECC1029EDB}" keepAlive="1" name="Consulta - Page001" description="Conexión a la consulta 'Page001' en el libro." type="5" refreshedVersion="0" background="1">
    <dbPr connection="Provider=Microsoft.Mashup.OleDb.1;Data Source=$Workbook$;Location=Page001;Extended Properties=&quot;&quot;" command="SELECT * FROM [Page001]"/>
  </connection>
</connections>
</file>

<file path=xl/sharedStrings.xml><?xml version="1.0" encoding="utf-8"?>
<sst xmlns="http://schemas.openxmlformats.org/spreadsheetml/2006/main" count="5180" uniqueCount="591">
  <si>
    <t>Nombre Solicitante</t>
  </si>
  <si>
    <t xml:space="preserve">Cuenta </t>
  </si>
  <si>
    <t xml:space="preserve">Subcuenta </t>
  </si>
  <si>
    <t>Cuentas</t>
  </si>
  <si>
    <t xml:space="preserve">Subcuentas </t>
  </si>
  <si>
    <t>Oficina</t>
  </si>
  <si>
    <t>Operacionales</t>
  </si>
  <si>
    <t xml:space="preserve">Siga Sonriendo </t>
  </si>
  <si>
    <t xml:space="preserve">Viajes </t>
  </si>
  <si>
    <t>Extras</t>
  </si>
  <si>
    <t xml:space="preserve">Otros </t>
  </si>
  <si>
    <t>Marketing</t>
  </si>
  <si>
    <t xml:space="preserve">Monto Neto </t>
  </si>
  <si>
    <t>Iva</t>
  </si>
  <si>
    <t xml:space="preserve">Monto Exento </t>
  </si>
  <si>
    <t xml:space="preserve">Total </t>
  </si>
  <si>
    <t>Davis Torres</t>
  </si>
  <si>
    <t xml:space="preserve">David Herce </t>
  </si>
  <si>
    <t xml:space="preserve"> David Herce </t>
  </si>
  <si>
    <t xml:space="preserve">Manuel Guajardo </t>
  </si>
  <si>
    <t xml:space="preserve">Tomas Castro </t>
  </si>
  <si>
    <t>Adolfo Quintana</t>
  </si>
  <si>
    <t>Semana</t>
  </si>
  <si>
    <t>Mes</t>
  </si>
  <si>
    <t xml:space="preserve">Pagado por </t>
  </si>
  <si>
    <t xml:space="preserve">Notario y Legal </t>
  </si>
  <si>
    <t xml:space="preserve">Otros Gastos de Oficina </t>
  </si>
  <si>
    <t>Reparaciones y remodelaciones</t>
  </si>
  <si>
    <t>Bencina</t>
  </si>
  <si>
    <t>Estacionamiento</t>
  </si>
  <si>
    <t>Bus- Peaje</t>
  </si>
  <si>
    <t>Taxi - Uber</t>
  </si>
  <si>
    <t xml:space="preserve">Metro - tarjeta Bip </t>
  </si>
  <si>
    <t xml:space="preserve">Peoneta - Yale </t>
  </si>
  <si>
    <t>Comisiones Bancarias</t>
  </si>
  <si>
    <t>Estacionamiento Ofic. 25</t>
  </si>
  <si>
    <t xml:space="preserve">Campañas Facebook </t>
  </si>
  <si>
    <t xml:space="preserve">Insumos Dentales </t>
  </si>
  <si>
    <t>Gastos de Ambulancia</t>
  </si>
  <si>
    <t xml:space="preserve">Peajes / Estacionamientos </t>
  </si>
  <si>
    <t>Hospedaje</t>
  </si>
  <si>
    <t>Combustible</t>
  </si>
  <si>
    <t>Gastos Argentina</t>
  </si>
  <si>
    <t>Autopistas CS / Heca SA</t>
  </si>
  <si>
    <t xml:space="preserve">Otros  </t>
  </si>
  <si>
    <t>Almacenaje Importaciones</t>
  </si>
  <si>
    <t>DIN Importaciones</t>
  </si>
  <si>
    <t xml:space="preserve">Honorarios </t>
  </si>
  <si>
    <t>Servipag</t>
  </si>
  <si>
    <t>Insumos para Presentaciones</t>
  </si>
  <si>
    <t xml:space="preserve">Agencia Publicitaria </t>
  </si>
  <si>
    <t>Servicio de Encomienda</t>
  </si>
  <si>
    <t xml:space="preserve">Gastos Varios </t>
  </si>
  <si>
    <t xml:space="preserve">Pasajes Latam </t>
  </si>
  <si>
    <t xml:space="preserve">Equipos de Protección personal </t>
  </si>
  <si>
    <t xml:space="preserve">Artículos de Aseo </t>
  </si>
  <si>
    <t xml:space="preserve">Artículos de Oficina </t>
  </si>
  <si>
    <t xml:space="preserve">Gastos Furgón </t>
  </si>
  <si>
    <t>Teléfono celular</t>
  </si>
  <si>
    <t>Envíos y encomiendas</t>
  </si>
  <si>
    <t xml:space="preserve">Pasajes Bus - Aéreos </t>
  </si>
  <si>
    <t xml:space="preserve">Pagos Cristóbal </t>
  </si>
  <si>
    <t xml:space="preserve">Gastos Otros Países - Chile </t>
  </si>
  <si>
    <t>Pasajes Aéreos CS</t>
  </si>
  <si>
    <t>Presentación Doctores</t>
  </si>
  <si>
    <t xml:space="preserve">Café / Doctores Colación </t>
  </si>
  <si>
    <t>Pólizas de garantías Licitaciones</t>
  </si>
  <si>
    <t>Alvaro Martínez</t>
  </si>
  <si>
    <t>76723245-4</t>
  </si>
  <si>
    <t>76886693-7</t>
  </si>
  <si>
    <t>77422425-4</t>
  </si>
  <si>
    <t>77219167-7</t>
  </si>
  <si>
    <t>Rut  Empresa</t>
  </si>
  <si>
    <t>Heca Global SPA</t>
  </si>
  <si>
    <t>Hecaglobal Instruments SPA</t>
  </si>
  <si>
    <t>Siga Sonriendo SPA</t>
  </si>
  <si>
    <t>Sonrie Pro Financial SPA</t>
  </si>
  <si>
    <t xml:space="preserve"> Empresa</t>
  </si>
  <si>
    <t xml:space="preserve">Fecha de Pago </t>
  </si>
  <si>
    <t xml:space="preserve">Pagado Por </t>
  </si>
  <si>
    <t>Tipo Doc</t>
  </si>
  <si>
    <t>Factura</t>
  </si>
  <si>
    <t>Nro Rend.</t>
  </si>
  <si>
    <t xml:space="preserve">Saldo Fondo </t>
  </si>
  <si>
    <t xml:space="preserve">Monto </t>
  </si>
  <si>
    <t>Total general</t>
  </si>
  <si>
    <t/>
  </si>
  <si>
    <t xml:space="preserve"> </t>
  </si>
  <si>
    <t xml:space="preserve">Fecha </t>
  </si>
  <si>
    <t xml:space="preserve">Banco Internacional HGI </t>
  </si>
  <si>
    <t>Nombre del Solicitante</t>
  </si>
  <si>
    <t xml:space="preserve">Cuentas por cobrar Empleado </t>
  </si>
  <si>
    <t>Imposiciones del personal</t>
  </si>
  <si>
    <t xml:space="preserve">Gastos de Personal </t>
  </si>
  <si>
    <t>Rodrigo Letelier</t>
  </si>
  <si>
    <t>Gastos de Viajes</t>
  </si>
  <si>
    <t>Fernando Stange</t>
  </si>
  <si>
    <t>Gastos Legales</t>
  </si>
  <si>
    <t>Instituto Salud Publica (CDA)</t>
  </si>
  <si>
    <t xml:space="preserve">Suma de Total </t>
  </si>
  <si>
    <t xml:space="preserve">Dailin Arellano </t>
  </si>
  <si>
    <t xml:space="preserve">Publicidad / Marketing </t>
  </si>
  <si>
    <t xml:space="preserve">Importaciones / Export. </t>
  </si>
  <si>
    <t>C.C.</t>
  </si>
  <si>
    <t>SS</t>
  </si>
  <si>
    <t>CS</t>
  </si>
  <si>
    <t>MIXTO</t>
  </si>
  <si>
    <t>O. PAÍS</t>
  </si>
  <si>
    <t>C. ORDEN</t>
  </si>
  <si>
    <t xml:space="preserve">Gastos de Representacion </t>
  </si>
  <si>
    <t xml:space="preserve">No Genera Pago </t>
  </si>
  <si>
    <t xml:space="preserve"> Saldo  </t>
  </si>
  <si>
    <t>Cash USD</t>
  </si>
  <si>
    <t>Alejandra Olivares</t>
  </si>
  <si>
    <t xml:space="preserve">Reporte Mensual Rendiciones </t>
  </si>
  <si>
    <t>CL</t>
  </si>
  <si>
    <t>Rendiciones</t>
  </si>
  <si>
    <t>ALG</t>
  </si>
  <si>
    <t>EMPRESA RECICLADORA PLANETA LIMPIO</t>
  </si>
  <si>
    <t>Equipos de protección al Personal</t>
  </si>
  <si>
    <t>Articulos de OFICINA (Dimerc, TodoToner)</t>
  </si>
  <si>
    <t>AGUA MINERAL</t>
  </si>
  <si>
    <t>Mantencion de Aires Acondicionados / Impresoras/ GEOVICTORIA</t>
  </si>
  <si>
    <t>INTERNET CLARO /  ENTEL CELULARES</t>
  </si>
  <si>
    <t>OFICINA 450-455-460 GASTOS ENTRE HECAGLOBAL / HGI</t>
  </si>
  <si>
    <t>OFICINA 455 EGAÑA - ARRIENDO / VERISURE / ENTEL INTERNET</t>
  </si>
  <si>
    <t xml:space="preserve">OFICINA 450-455-460 EGAÑA Gasto Comun  </t>
  </si>
  <si>
    <t xml:space="preserve">OFICINA 450-455-460 EGAÑA - AGUAS ANDINAS </t>
  </si>
  <si>
    <t xml:space="preserve">OFICINA 450-455-460 EGAÑA - ENEL </t>
  </si>
  <si>
    <t>OFICINA 520-525-530 - ARRIENDO / VERISURE / ENTEL INTERNET / ENTEL TELEFONIA</t>
  </si>
  <si>
    <t xml:space="preserve">OFICINA 520-525-530 EGAÑA Gasto Comun  </t>
  </si>
  <si>
    <t xml:space="preserve">OFICINA 520-525-530 EGAÑA AGUAS ANDINAS </t>
  </si>
  <si>
    <t xml:space="preserve">OFICINA 520-525-530 EGAÑA - ENEL </t>
  </si>
  <si>
    <t>OFICINA 510 EGAÑA - ARRIENDO / GASTO COMUN / VERISURE</t>
  </si>
  <si>
    <t xml:space="preserve">OFICINA 510 EGAÑA - AGUAS ANDINAS - ENEL </t>
  </si>
  <si>
    <t>ESTACIONJAMIENTO STREET CENTER</t>
  </si>
  <si>
    <t>MARKETING. Por Rendiciones</t>
  </si>
  <si>
    <t>POLIZA CONTRA INCENDIOS</t>
  </si>
  <si>
    <t>GASTOS REMODELACION OFICINAS</t>
  </si>
  <si>
    <t xml:space="preserve">Gastos de OFICINA de rendiciones </t>
  </si>
  <si>
    <t>ASB Contadores / W &amp; A ASESORIAS / KRESTON AUDITORES</t>
  </si>
  <si>
    <t>Autopista Central</t>
  </si>
  <si>
    <t xml:space="preserve">Vespucio Norte </t>
  </si>
  <si>
    <t xml:space="preserve">Vespusio Sur </t>
  </si>
  <si>
    <t>Costanera Norte</t>
  </si>
  <si>
    <t>Ruta del Maipo</t>
  </si>
  <si>
    <t>RUTA PASS 78</t>
  </si>
  <si>
    <t>VESPUCIO ORIENTE</t>
  </si>
  <si>
    <t>GLOBALBVIA / AUTOPISTA DEL ACONCAGUA</t>
  </si>
  <si>
    <t>RUTA 5 TALCA-CHILLAN</t>
  </si>
  <si>
    <t>CHILEXPRESS</t>
  </si>
  <si>
    <t>NOTARIA</t>
  </si>
  <si>
    <t>GASTOS FURGON</t>
  </si>
  <si>
    <t>CAMARA CHILENO NORTEAMERICANA DE COMERCIO / PATENTE MUNICIPAL</t>
  </si>
  <si>
    <t>ASESORIAS LEGALES C</t>
  </si>
  <si>
    <t>FLETES- AYUDANTES EXTERNOS- BONIFICACIONES- TAXI</t>
  </si>
  <si>
    <t>JOSE TOMAS CASTRO</t>
  </si>
  <si>
    <t>DESCUENTOS / BONIFICACIONES DOCTORES</t>
  </si>
  <si>
    <t xml:space="preserve">BARONI CONSULTORES </t>
  </si>
  <si>
    <t>POLIZAS DE SEGURO HDI VEHICULOS</t>
  </si>
  <si>
    <t xml:space="preserve">Maletas Iteros </t>
  </si>
  <si>
    <t>Gastos operacionales de Rendiciones</t>
  </si>
  <si>
    <t>Gastos Clinica 1307</t>
  </si>
  <si>
    <t xml:space="preserve">Consultorio 115 EGAÑA - Arriendo / Gasto Comun / GTD MANQUEHUE  </t>
  </si>
  <si>
    <t xml:space="preserve">Consultorio 115 EGAÑA - AGUAS ANDINAS / ENEL / VERISURE </t>
  </si>
  <si>
    <t xml:space="preserve">AGUA MINERAL / ENTEL CELULARES </t>
  </si>
  <si>
    <t>OFICINA 375 - ARRIENDO / GASTO COMUN / ENTEL INTERNET</t>
  </si>
  <si>
    <t>OFICINA 375 - AGUAS ANDINAS - ENEL</t>
  </si>
  <si>
    <t>Consultorio 1307 LA FLORIDA - Arriendo / Gasto Comun / ENEL / ENTEL</t>
  </si>
  <si>
    <t>MERCADO PAGO</t>
  </si>
  <si>
    <t>JESSICA MOROCHO</t>
  </si>
  <si>
    <t>SEBASTIAN URETA</t>
  </si>
  <si>
    <t>SEGURO COMPLEMENTARIO CONSORCIO</t>
  </si>
  <si>
    <t>IMPOSICIONES DE TRABAJADORES</t>
  </si>
  <si>
    <t>Alojamientos</t>
  </si>
  <si>
    <t>Pasajes</t>
  </si>
  <si>
    <t xml:space="preserve">Gastos de viajes de rendiciones </t>
  </si>
  <si>
    <t>Fastmark - USA EXPRESS CS / DSV</t>
  </si>
  <si>
    <t>ALMACENAJE CS / FLETE INTERNO</t>
  </si>
  <si>
    <t>AGENCIA DE ADUANA CS</t>
  </si>
  <si>
    <t>TGR</t>
  </si>
  <si>
    <t>SUELDO CLAUDIA BLANCO / IMPOSICIONES CS</t>
  </si>
  <si>
    <t>GASTOS CS (BANCO SECURITY - INTERNACIONAL)</t>
  </si>
  <si>
    <t xml:space="preserve">ENTEL CLAUDIA Y TERESA </t>
  </si>
  <si>
    <t>VERISURE SRA. TERESA</t>
  </si>
  <si>
    <t>SERVIPAG</t>
  </si>
  <si>
    <t>ABOGADOS CS / NOTARIA</t>
  </si>
  <si>
    <t>GASTOS TERRENOS NATALIO STEIN / LAS GOLONDRINAS / LOS SUEÑOS</t>
  </si>
  <si>
    <t xml:space="preserve">Gastos extras de rendiciones </t>
  </si>
  <si>
    <t>ENTEL PALMA</t>
  </si>
  <si>
    <t>SUELDO REPRESENTANTE LEGAL</t>
  </si>
  <si>
    <t>AGENCIA DE VIAJE CS</t>
  </si>
  <si>
    <t>RIBBS AND BEER GASTRONOMIA</t>
  </si>
  <si>
    <t xml:space="preserve">Alexis Daniel Vogel </t>
  </si>
  <si>
    <t xml:space="preserve">David Alfredo Herce Bolek </t>
  </si>
  <si>
    <t>Deisy Mildred Sierra Calderon</t>
  </si>
  <si>
    <t>Edynar Aracelis Monsalbe Oviedo</t>
  </si>
  <si>
    <t>Gabriel David Baltodano Saavedra</t>
  </si>
  <si>
    <t>Adolfo Raul  Quintana Giannoni</t>
  </si>
  <si>
    <t xml:space="preserve">Alfonso Camps Nielsen </t>
  </si>
  <si>
    <t>Aleibys Veronica Rodriguez Lopez</t>
  </si>
  <si>
    <t>ORCI LATAM HOLDING / BARONI CONSULTORES/ Adsformance</t>
  </si>
  <si>
    <t>GASTOS DE EXPORTACIONES ARGENTINA</t>
  </si>
  <si>
    <t>GASTOS DE EXPORTACIONES O IMPORTACIONES PARA URUGUAY</t>
  </si>
  <si>
    <t>GASTOS DE IMPORTACIONES PARA ARGENTINA</t>
  </si>
  <si>
    <t>GASTOS DE IMPORTACIONES OTROS PAISES</t>
  </si>
  <si>
    <t>GASTOS DE EXPORTACIONES OTROS PAISES</t>
  </si>
  <si>
    <t>MARTHA SOCARRAS - ERNESTO SEPULVEDA - ALG - FURQAN</t>
  </si>
  <si>
    <t>AGENCIA DE VIAJE OTROS PAISES HECA</t>
  </si>
  <si>
    <t>UPS ENVIOS A OTROS PAISES HECA</t>
  </si>
  <si>
    <t>VANTRUST - SECURITY (TRANSFERENCIAS OTROS PAISES)</t>
  </si>
  <si>
    <t>EQUIFAX</t>
  </si>
  <si>
    <t>Banco Security</t>
  </si>
  <si>
    <t>MAPFRE SEGUROS GRALES-FRAUDE</t>
  </si>
  <si>
    <t>VANTRUST</t>
  </si>
  <si>
    <t>TRANSBANK</t>
  </si>
  <si>
    <t>BCI</t>
  </si>
  <si>
    <t>BANCO DE CHILE</t>
  </si>
  <si>
    <t>SCOTIABANK COMISIONES</t>
  </si>
  <si>
    <t>ITAU COMISIONES</t>
  </si>
  <si>
    <t>BANCO INTERNACIONAL</t>
  </si>
  <si>
    <t>Ivan Alexander Rojo Toro</t>
  </si>
  <si>
    <t>Austerlitz Eduardo Capriles Rodriguez</t>
  </si>
  <si>
    <t>Bastian Hernaldo Landeros Tobar</t>
  </si>
  <si>
    <t>Manuel Alejandro Guajardo Olivares</t>
  </si>
  <si>
    <t>Mariangel Aimara Veloz Bastardo</t>
  </si>
  <si>
    <t>Hyrlenne Yolizeth Carrizo Rodriguez</t>
  </si>
  <si>
    <t>Patricia Cecilia Romero Echandia</t>
  </si>
  <si>
    <t>Marta Veronica Avaria Martinez</t>
  </si>
  <si>
    <t>Javiera Catalina  Garcia Diaz</t>
  </si>
  <si>
    <t>Alvaro Antonio Martinez Perez</t>
  </si>
  <si>
    <t>Constanza Bernardita Cuevas Yañez</t>
  </si>
  <si>
    <t>Ruperto Francisco Rojo Valles</t>
  </si>
  <si>
    <t>Brian Andres Rojo Figueroa</t>
  </si>
  <si>
    <t>Francisco Gonzalez</t>
  </si>
  <si>
    <t>Ana Medina Duque</t>
  </si>
  <si>
    <t>Luis  Alberto Hasbun Leon</t>
  </si>
  <si>
    <t>Raul Andres Diaz Hernandez</t>
  </si>
  <si>
    <t>Davis Edwad Torres Linares</t>
  </si>
  <si>
    <t>Maria Jose Faundez Doren</t>
  </si>
  <si>
    <t>Constanza Belen Guajardo Fernandez</t>
  </si>
  <si>
    <t>Javier Salazar</t>
  </si>
  <si>
    <t>Osvaldo Valenzuela Valenzuela</t>
  </si>
  <si>
    <t>Alejandra Olivares Reyes</t>
  </si>
  <si>
    <t>Camila Soto Salas</t>
  </si>
  <si>
    <t>Gustavo Gutierrez Morales</t>
  </si>
  <si>
    <t>CRISTOBAL STANGE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</si>
  <si>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</si>
  <si>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</si>
  <si>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</si>
  <si>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</si>
  <si>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</si>
  <si>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</si>
  <si>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</si>
  <si>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</si>
  <si>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</si>
  <si>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</si>
  <si>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</si>
  <si>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</si>
  <si>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Cuenta</t>
  </si>
  <si>
    <t xml:space="preserve">Gastos de Oficina </t>
  </si>
  <si>
    <t xml:space="preserve">Gastos de Operaciones </t>
  </si>
  <si>
    <t xml:space="preserve">Gastos de Viaje </t>
  </si>
  <si>
    <t xml:space="preserve">Gastos de Importacion Invisalign </t>
  </si>
  <si>
    <t>Gastos de Importacion Itero</t>
  </si>
  <si>
    <t>Gastos Extras</t>
  </si>
  <si>
    <t xml:space="preserve">Gastos Financieros </t>
  </si>
  <si>
    <t xml:space="preserve">TGR IMPUESTOS Invisalign </t>
  </si>
  <si>
    <t xml:space="preserve">FLETE INTERNO Invisalign </t>
  </si>
  <si>
    <t xml:space="preserve">UPS / ALMACENAJE Invisalign </t>
  </si>
  <si>
    <t xml:space="preserve">TGR ARANCEL Y SEGURO Invisalign </t>
  </si>
  <si>
    <t xml:space="preserve">Instituto Salud Publica (CDA) Invisalign </t>
  </si>
  <si>
    <t xml:space="preserve">AGENCIA DE ADUANA Invisalign </t>
  </si>
  <si>
    <t xml:space="preserve">AGENCIA DE ADUANA Itero </t>
  </si>
  <si>
    <t>FLETE INTERNO - FEDEX OCASIONAL Itero</t>
  </si>
  <si>
    <t>DESCONSOLIDADO (DHL, UPS) Itero</t>
  </si>
  <si>
    <t xml:space="preserve">Almacenaje (Depocargo, Aerosan, FAST AIR, UPS) Itero </t>
  </si>
  <si>
    <t xml:space="preserve">TGR ARANCEL Y SEGURO Itero </t>
  </si>
  <si>
    <t xml:space="preserve">Instituto Salud Publica (CDA) Intero </t>
  </si>
  <si>
    <t>Alexis Daniel Vogel  OP</t>
  </si>
  <si>
    <t>David Alfredo Herce Bolek OP</t>
  </si>
  <si>
    <t>Deisy Mildred Sierra Calderon OP</t>
  </si>
  <si>
    <t>Edynar Aracelis Monsalbe Oviedo OP</t>
  </si>
  <si>
    <t>Gabriel David Baltodano Saavedra OP</t>
  </si>
  <si>
    <t>Adolfo Raul  Quintana Giannoni OP</t>
  </si>
  <si>
    <t>Lara Schroeder OP</t>
  </si>
  <si>
    <t>Alfonso Camps Nielsen OP</t>
  </si>
  <si>
    <t>Aleibys Veronica Rodriguez Lopez OP</t>
  </si>
  <si>
    <t xml:space="preserve">JORGE LOPEZ KINESIOLOGO / BRUXISMO Y DOLOR </t>
  </si>
  <si>
    <t>Fumigación y Sanitización</t>
  </si>
  <si>
    <t>Mantencion de Aires Acondicionados / Impresoras/ JARDINERO</t>
  </si>
  <si>
    <t xml:space="preserve">LA FLORIDA 1301 - Verisure / Movistar Fijo / Claro Internet  </t>
  </si>
  <si>
    <t xml:space="preserve">LA FLORIDA 1301 - Entel Fijo -  Entel Celulares </t>
  </si>
  <si>
    <t>LA FLORIDA 1301 - ARRIENDO / Estacionamiento/ G. Común / ENEL</t>
  </si>
  <si>
    <t>OFICINA 450-455-460 GASTOS ENTRE HECA / SONRIE / SIGA SONRIENDO</t>
  </si>
  <si>
    <t>OFICINA 520-525-530 EGAÑA - ARRIENDO / VERISURE /  INTERNET</t>
  </si>
  <si>
    <t>OFICINA 375 EGAÑA - ARRIENDO / GASTO COMUN / INTERNET</t>
  </si>
  <si>
    <t>OFICINA 375 EGAÑA - AGUAS ANDINAS - ENEL</t>
  </si>
  <si>
    <t>ESTACIONJAMIENTO STREET CENTER A PARTIR DE JUNIO</t>
  </si>
  <si>
    <t xml:space="preserve">MARKETING. </t>
  </si>
  <si>
    <t>Credenciales / GEOVICTORIA / AGAZAJOS AL PERSONAL</t>
  </si>
  <si>
    <t>POLIZA CHILENA CONSOLIDADA SEGUROS GENERALES - BCI</t>
  </si>
  <si>
    <t>GASTOS REMODELACION PISO 5</t>
  </si>
  <si>
    <t>ASB Contadores / W &amp; A ASESORIAS</t>
  </si>
  <si>
    <t>ORCI LATAM CHILE</t>
  </si>
  <si>
    <t>AUTOPISTAS AMBULANCIA - GASTOS FURGON</t>
  </si>
  <si>
    <t>ASESORIAS LEGALES CABELLO Y COMPAÑÍA / SILVA Y CIA / BARONI CONSULTORES</t>
  </si>
  <si>
    <t>FLETES- AYUDANTES- BONIFICACIONES - GASTOS DE PERSONAL - TRASLADOS</t>
  </si>
  <si>
    <t>JULIO TRUCCO - JOSE TOMAS CASTRO</t>
  </si>
  <si>
    <t>DELLA MAGGIORA EYZAGUIRRE / CARLOS ROBERTO MONTI</t>
  </si>
  <si>
    <t>JORGE LOPEZ KINESIOLOGO</t>
  </si>
  <si>
    <t>Gastos Ambulancia Club Sonrie</t>
  </si>
  <si>
    <t>Gastos CLUB SONRIE de Rendiciones</t>
  </si>
  <si>
    <t>DIMERC</t>
  </si>
  <si>
    <t>EXTERNAL</t>
  </si>
  <si>
    <t>GEOVICTORIA - DENTALINK</t>
  </si>
  <si>
    <t xml:space="preserve">AG. PUBLICIDAD MERAKI PAIDEIA </t>
  </si>
  <si>
    <t>MAESTROS Y AYUDANTES - VARIOS</t>
  </si>
  <si>
    <t>BIODEFENSA</t>
  </si>
  <si>
    <t>MARKETING KITCHEN CLUB - FADUOR</t>
  </si>
  <si>
    <t>SEGUNDO FUENMAYOR / YENNY VILLANO (ASEO)</t>
  </si>
  <si>
    <t>RICARDO PALMA</t>
  </si>
  <si>
    <t>Consultorio 115 EGAÑA - Arriendo / Gasto Comun / ENEL / VERISURE</t>
  </si>
  <si>
    <t>AGUAS ANDINAS / GTD MANQUEHUE CONSULTORIO 115 EGAÑA</t>
  </si>
  <si>
    <t>GASTOS DE OFICINA 450-455-460 EGAÑA (DIVIDIDO ENTRE 3 HASTA MAYO</t>
  </si>
  <si>
    <t xml:space="preserve">OFICINA 375 EGAÑA - ARRIENDO / GASTO COMUN / ENTEL </t>
  </si>
  <si>
    <t xml:space="preserve">Consultorio 1307 LA FLORIDA - Arriendo / Gasto Comun / ENEL / VERISURE </t>
  </si>
  <si>
    <t>FELIPE MAGNAN</t>
  </si>
  <si>
    <t>FERNANDO STANGE</t>
  </si>
  <si>
    <t xml:space="preserve">CRISTOBAL MONTERO / </t>
  </si>
  <si>
    <t>CALL CENTER - ANA PARRA</t>
  </si>
  <si>
    <t>ALEX GOMEZ</t>
  </si>
  <si>
    <t>NATALIE ARENAS DENTISTA</t>
  </si>
  <si>
    <t xml:space="preserve">IMPOSICIONES </t>
  </si>
  <si>
    <t>ENTEL CLAUDIA Y TERESA</t>
  </si>
  <si>
    <t>SERFVIPAG</t>
  </si>
  <si>
    <t>ABOGADOS CS</t>
  </si>
  <si>
    <t>LARA SHROEDER</t>
  </si>
  <si>
    <t>ORCI LATAM HOLDING</t>
  </si>
  <si>
    <t>MARTHA SOCARRAS - ERNESTO SEPULVEDA</t>
  </si>
  <si>
    <t>Cristian Andres Nuñez Herrera</t>
  </si>
  <si>
    <t>FINIQUITOS</t>
  </si>
  <si>
    <t>Jessair Mariel Moret Morales</t>
  </si>
  <si>
    <t>Ricardo Ibarra</t>
  </si>
  <si>
    <t xml:space="preserve">Thomas Palmenio Reyes Bolelli </t>
  </si>
  <si>
    <t>Jaqueline Alejandra Tobar Gutierrez</t>
  </si>
  <si>
    <t>cuarter 2</t>
  </si>
  <si>
    <t>cuarter 1</t>
  </si>
  <si>
    <t>cuarter 3</t>
  </si>
  <si>
    <t>cuarter 4</t>
  </si>
  <si>
    <t>Subcuenta</t>
  </si>
  <si>
    <t xml:space="preserve">Cuarter 1 </t>
  </si>
  <si>
    <t xml:space="preserve">Cuarter 2 </t>
  </si>
  <si>
    <t xml:space="preserve">Cuarter 3 </t>
  </si>
  <si>
    <t xml:space="preserve">COMPARATIVO DE GASTOS </t>
  </si>
  <si>
    <t xml:space="preserve">HECA - CHILE </t>
  </si>
  <si>
    <t>Gasto Tax Ingenieria</t>
  </si>
  <si>
    <t xml:space="preserve">   </t>
  </si>
  <si>
    <t xml:space="preserve">Nro de Empleados </t>
  </si>
  <si>
    <t xml:space="preserve">Total remuneraciones </t>
  </si>
  <si>
    <t xml:space="preserve">Sueldo promedio </t>
  </si>
  <si>
    <t>Q1 23</t>
  </si>
  <si>
    <t>Q2 23</t>
  </si>
  <si>
    <t>Q3 23</t>
  </si>
  <si>
    <t>Total Q</t>
  </si>
  <si>
    <t xml:space="preserve">%  Ingresos </t>
  </si>
  <si>
    <t xml:space="preserve">Ingresos Q </t>
  </si>
  <si>
    <t>Q4 23</t>
  </si>
  <si>
    <t xml:space="preserve">Entre 530.000 y 750.000 </t>
  </si>
  <si>
    <t xml:space="preserve">Entre 1.000.001 y 1.850.000 </t>
  </si>
  <si>
    <t>Entre 1.851.000 a 2.000.000</t>
  </si>
  <si>
    <t>Entre 4.000.000 y 5.000.000</t>
  </si>
  <si>
    <t xml:space="preserve">Entre 751.000 y 1.000.000 </t>
  </si>
  <si>
    <t xml:space="preserve">Promedio </t>
  </si>
  <si>
    <t xml:space="preserve">Promedio General </t>
  </si>
  <si>
    <t>Maletas Pelican</t>
  </si>
  <si>
    <t>Banco Estado HGI</t>
  </si>
  <si>
    <t xml:space="preserve"> cuarter 4</t>
  </si>
  <si>
    <t xml:space="preserve">Cuarter 4 </t>
  </si>
  <si>
    <t>MERCADO PAGO SS</t>
  </si>
  <si>
    <t xml:space="preserve">ALIGNERCLICK ODONTOLOGA LIMITADA OTROS PAISES </t>
  </si>
  <si>
    <t xml:space="preserve">EXTRA MANUEL GUAJARDO </t>
  </si>
  <si>
    <t>Teresa Espinoza Cerón</t>
  </si>
  <si>
    <t>Castaña Niñoles Díaz OP</t>
  </si>
  <si>
    <t>Austerlitz Eduardo Capriles Rodriguez OP</t>
  </si>
  <si>
    <t>Otros gastos Extras</t>
  </si>
  <si>
    <t xml:space="preserve"> Cu2 Cloud Tec Store / SAGE O.P</t>
  </si>
  <si>
    <t>Edgar Hernandez Zapata</t>
  </si>
  <si>
    <t>Angela Jara Urrutia</t>
  </si>
  <si>
    <t>Tabita Elena Araya Maldonado</t>
  </si>
  <si>
    <t>Ventas</t>
  </si>
  <si>
    <t>Ingresos</t>
  </si>
  <si>
    <t>Total Ingresos</t>
  </si>
  <si>
    <t>Egresos</t>
  </si>
  <si>
    <t>Compras</t>
  </si>
  <si>
    <t>Cancelacion de Pasivos</t>
  </si>
  <si>
    <t>Total Egresos</t>
  </si>
  <si>
    <t>Total al final de mes</t>
  </si>
  <si>
    <t xml:space="preserve">Heca - Chile </t>
  </si>
  <si>
    <t>Proyeccion  de Efectivo y de necesidades de financiamiento</t>
  </si>
  <si>
    <t>Gastos de Importacion</t>
  </si>
  <si>
    <t>Gasto General</t>
  </si>
  <si>
    <t xml:space="preserve">Gastos Generales Insumos Medicos </t>
  </si>
  <si>
    <t>Teresa Espinoza</t>
  </si>
  <si>
    <t>Cuentas por Cobrar R.L.</t>
  </si>
  <si>
    <t xml:space="preserve">Seguro Complementario </t>
  </si>
  <si>
    <t xml:space="preserve">Imposiociones </t>
  </si>
  <si>
    <t xml:space="preserve">Sueldo Directivo </t>
  </si>
  <si>
    <t xml:space="preserve">Ingresos Mensual </t>
  </si>
  <si>
    <t>Imposiciones Mensuales</t>
  </si>
  <si>
    <t xml:space="preserve">Seguro Complementario mensual </t>
  </si>
  <si>
    <t xml:space="preserve">Sueldos y Salarios Chile </t>
  </si>
  <si>
    <t xml:space="preserve">Sueldos y Salarios O.Paises </t>
  </si>
  <si>
    <t>Muestra porcentualmente la Representacion Monetaria</t>
  </si>
  <si>
    <t xml:space="preserve">Muestra porcentualmente la cantidad Personas </t>
  </si>
  <si>
    <t>Muestra porcentaje con relacion a O. Paises</t>
  </si>
  <si>
    <t xml:space="preserve">Total Salario Q </t>
  </si>
  <si>
    <t>Resumen:</t>
  </si>
  <si>
    <t xml:space="preserve">Imposiciones </t>
  </si>
  <si>
    <t xml:space="preserve">Seguiro Complementario </t>
  </si>
  <si>
    <t xml:space="preserve">Total Gastos de Personal </t>
  </si>
  <si>
    <t>Promedio General Sueldos y salarios Q</t>
  </si>
  <si>
    <t xml:space="preserve">** Sueldos y Salarios Chile </t>
  </si>
  <si>
    <t>** Incluye el Sueldo directivo 72 M Anual ( 24,11%)</t>
  </si>
  <si>
    <t>Total Sueldos y  Salario  2023</t>
  </si>
  <si>
    <t>Edynar Monsalbe Oviedo</t>
  </si>
  <si>
    <t>Actualmente hay 23 empleados , 3 de baja al 31-12-2023</t>
  </si>
  <si>
    <t>HG</t>
  </si>
  <si>
    <t>HGI.</t>
  </si>
  <si>
    <t xml:space="preserve">Comidas y Bebidas </t>
  </si>
  <si>
    <t xml:space="preserve">  </t>
  </si>
  <si>
    <t>Del 12 al 16</t>
  </si>
  <si>
    <t>(en blanco)</t>
  </si>
  <si>
    <t>Etiquetas de columna</t>
  </si>
  <si>
    <t xml:space="preserve">Previsiones Sociales </t>
  </si>
  <si>
    <t>Mariangel Veloz</t>
  </si>
  <si>
    <t xml:space="preserve">TAG </t>
  </si>
  <si>
    <t>Q1 24</t>
  </si>
  <si>
    <t>Q2 24</t>
  </si>
  <si>
    <t>Q3 24</t>
  </si>
  <si>
    <t>Q4 24</t>
  </si>
  <si>
    <t>Total Sueldos y  Salario  2024</t>
  </si>
  <si>
    <t>Yerly Callacias Picon</t>
  </si>
  <si>
    <t xml:space="preserve">Actualmente hay 23 empleados </t>
  </si>
  <si>
    <t>Cash CLP</t>
  </si>
  <si>
    <t>Raul Diaz</t>
  </si>
  <si>
    <t xml:space="preserve">Gastos de Marketing y Publicidad </t>
  </si>
  <si>
    <t>Gastos Financieros</t>
  </si>
  <si>
    <t xml:space="preserve">Gastos Operacionales </t>
  </si>
  <si>
    <t xml:space="preserve">Gastos Tax Ingenieria </t>
  </si>
  <si>
    <t>Variacion 2024</t>
  </si>
  <si>
    <t>Chile 2024</t>
  </si>
  <si>
    <t>Chile</t>
  </si>
  <si>
    <t>Variacion trimestral</t>
  </si>
  <si>
    <t>Chile 2023</t>
  </si>
  <si>
    <t>Chile 2022</t>
  </si>
  <si>
    <t xml:space="preserve">Realizando un analisis  comparativo de gastos del año 2024 con 2023, hubo una disminucion del </t>
  </si>
  <si>
    <t xml:space="preserve">en el mismo periodo. </t>
  </si>
  <si>
    <t xml:space="preserve">Activo fijo </t>
  </si>
  <si>
    <t xml:space="preserve">Patente </t>
  </si>
  <si>
    <t>De igual forma, el 2024 con respecto al 2022 tuvo un crecimiento en los gastos del</t>
  </si>
  <si>
    <t xml:space="preserve">total </t>
  </si>
  <si>
    <t>en el periodo</t>
  </si>
  <si>
    <t xml:space="preserve">****No incluyen los gastos Extras </t>
  </si>
  <si>
    <t>del 01/01/2025 al 31/12/2025</t>
  </si>
  <si>
    <t>Gastos de Oficina</t>
  </si>
  <si>
    <t>Gastos extras</t>
  </si>
  <si>
    <t>Brigitte Moran Mesa</t>
  </si>
  <si>
    <t>Ana Jocelyn  Schnell</t>
  </si>
  <si>
    <t>Columna1</t>
  </si>
  <si>
    <t xml:space="preserve">Neto </t>
  </si>
  <si>
    <t xml:space="preserve"> Exento </t>
  </si>
  <si>
    <t>Del 05 al 09</t>
  </si>
  <si>
    <t>Arleen Cedeño</t>
  </si>
  <si>
    <t>(Todas)</t>
  </si>
  <si>
    <t xml:space="preserve">F-29 </t>
  </si>
  <si>
    <t xml:space="preserve">Impuestos </t>
  </si>
  <si>
    <t>Scotianbank CLP</t>
  </si>
  <si>
    <t xml:space="preserve">Bancos </t>
  </si>
  <si>
    <t xml:space="preserve">Reporte bancos HGI </t>
  </si>
  <si>
    <t>Variacion 2025</t>
  </si>
  <si>
    <t xml:space="preserve">Realizando un analisis  comparativo de gastos del año 2025 con años anteriores, hubo una disminucion del </t>
  </si>
  <si>
    <t xml:space="preserve">durante el 1er semestre del año </t>
  </si>
  <si>
    <t>Año</t>
  </si>
  <si>
    <t>Detalle</t>
  </si>
  <si>
    <t>Monto</t>
  </si>
  <si>
    <t>Cuarter</t>
  </si>
  <si>
    <t>Cuarter 1</t>
  </si>
  <si>
    <t>Cuarter 3</t>
  </si>
  <si>
    <t>Cuarter 2</t>
  </si>
  <si>
    <t xml:space="preserve">Detalle trimestral de Gastos </t>
  </si>
  <si>
    <t>2022-2025</t>
  </si>
  <si>
    <t>Suma de Monto</t>
  </si>
  <si>
    <t>Etiquetas de fila</t>
  </si>
  <si>
    <t>Cuarter 4</t>
  </si>
  <si>
    <t xml:space="preserve">Total Gastos Financieros </t>
  </si>
  <si>
    <t xml:space="preserve">Datos Acumulados </t>
  </si>
  <si>
    <t xml:space="preserve">Tipo de gastos </t>
  </si>
  <si>
    <t xml:space="preserve">Parcial </t>
  </si>
  <si>
    <t>Deisy Sierra</t>
  </si>
  <si>
    <t>Gastos Auto</t>
  </si>
  <si>
    <t>Nicolas Gonzalez</t>
  </si>
  <si>
    <t>Miscelaneos Administracion</t>
  </si>
  <si>
    <t>HC</t>
  </si>
  <si>
    <t>Bodega</t>
  </si>
  <si>
    <t xml:space="preserve">Equipos Electronicos y de Computacion </t>
  </si>
  <si>
    <t>2026</t>
  </si>
  <si>
    <t>Total 2026</t>
  </si>
  <si>
    <t>Del 19 al 23</t>
  </si>
  <si>
    <t>Edgar hernandez</t>
  </si>
  <si>
    <t>Del 26 al 30</t>
  </si>
  <si>
    <t>Del 02 al 06</t>
  </si>
  <si>
    <t>Boleta de honorarios</t>
  </si>
  <si>
    <t xml:space="preserve">Concepto </t>
  </si>
  <si>
    <t>Del 09 al 13</t>
  </si>
  <si>
    <t>Del 16 al 20</t>
  </si>
  <si>
    <t>Del 01 al 02</t>
  </si>
  <si>
    <t>Del 23 al 27</t>
  </si>
  <si>
    <t>Boleta</t>
  </si>
  <si>
    <t>Abel Kottwitz</t>
  </si>
  <si>
    <t>Gastos Importacion</t>
  </si>
  <si>
    <t xml:space="preserve">RBYY84 Permiso Circulacion </t>
  </si>
  <si>
    <t xml:space="preserve">PHZB79 y TFDP47 Permiso Circulacion </t>
  </si>
  <si>
    <t>RBYY84 SOAP</t>
  </si>
  <si>
    <t>PHZB79 SOAP</t>
  </si>
  <si>
    <t>TFDP47 SOAP</t>
  </si>
  <si>
    <t>Del 30 al 03</t>
  </si>
  <si>
    <t>Adeor Envio desde panama</t>
  </si>
  <si>
    <t>Del 06 al 10</t>
  </si>
  <si>
    <t>Maleta Extra</t>
  </si>
  <si>
    <t>marzo</t>
  </si>
  <si>
    <t>Del 13 al 15</t>
  </si>
  <si>
    <t>Del 13 al 17</t>
  </si>
  <si>
    <t>del 13 al 17</t>
  </si>
  <si>
    <t xml:space="preserve">Nubox Contable </t>
  </si>
  <si>
    <t>Cerradura Oficina</t>
  </si>
  <si>
    <t>Camara Oficina</t>
  </si>
  <si>
    <t>enero</t>
  </si>
  <si>
    <t>febrero</t>
  </si>
  <si>
    <t>abril</t>
  </si>
  <si>
    <t>ene</t>
  </si>
  <si>
    <t>feb</t>
  </si>
  <si>
    <t>mar</t>
  </si>
  <si>
    <t>abr</t>
  </si>
  <si>
    <t>Del 11 al 15</t>
  </si>
  <si>
    <t>Del 20 al 24</t>
  </si>
  <si>
    <t>Del 27 al 01</t>
  </si>
  <si>
    <t>manuel</t>
  </si>
  <si>
    <t>Del 04 al 08</t>
  </si>
  <si>
    <t>Del 18 al 22</t>
  </si>
  <si>
    <t>Extensor de fresa</t>
  </si>
  <si>
    <t>mayo</t>
  </si>
  <si>
    <t>Del 25 al 29</t>
  </si>
  <si>
    <t>Del 01 al 05</t>
  </si>
  <si>
    <t xml:space="preserve">Falta rendicion </t>
  </si>
  <si>
    <t>junio</t>
  </si>
  <si>
    <t>jun</t>
  </si>
  <si>
    <t xml:space="preserve">Rodrigo Ibañez </t>
  </si>
  <si>
    <t>Del 1 al 19</t>
  </si>
  <si>
    <t>Air Heca</t>
  </si>
  <si>
    <t>Arriendo vehiculo</t>
  </si>
  <si>
    <t>Del 15 al 19</t>
  </si>
  <si>
    <t>Del 08 al 12</t>
  </si>
  <si>
    <t>Gastos de Vehiculo</t>
  </si>
  <si>
    <t xml:space="preserve">Mantencion </t>
  </si>
  <si>
    <t>Del 29 al 03</t>
  </si>
  <si>
    <t>Pia Cotronea</t>
  </si>
  <si>
    <t>Del 22 al 26</t>
  </si>
  <si>
    <t>TV que va a Argentina</t>
  </si>
  <si>
    <t>julio</t>
  </si>
  <si>
    <t>jul</t>
  </si>
  <si>
    <t>Insumos medicos</t>
  </si>
  <si>
    <t>Del 13 al 18</t>
  </si>
  <si>
    <t>Capacitaciones</t>
  </si>
  <si>
    <t>Del 27 al 31</t>
  </si>
  <si>
    <t>Del 03 al 07</t>
  </si>
  <si>
    <t>Patente 2do semestre</t>
  </si>
  <si>
    <t>agosto</t>
  </si>
  <si>
    <t xml:space="preserve">Yohana Morillo </t>
  </si>
  <si>
    <t>Del 10 al 14</t>
  </si>
  <si>
    <t>Edynar Monsalbe</t>
  </si>
  <si>
    <t>06-08-2026</t>
  </si>
  <si>
    <t>ago</t>
  </si>
  <si>
    <t>Del 17 al 21</t>
  </si>
  <si>
    <t>Del 24 al 28</t>
  </si>
  <si>
    <t>Del 07 al 11</t>
  </si>
  <si>
    <t xml:space="preserve">ojo revisarlo </t>
  </si>
  <si>
    <t>Del 28 al 02</t>
  </si>
  <si>
    <t>sept</t>
  </si>
  <si>
    <t>oct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</si>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</sst>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 * #,##0_ ;_ * \-#,##0_ ;_ * &quot;-&quot;_ ;_ @_ "/>
    <numFmt numFmtId="166" formatCode="_ * #,##0.00_ ;_ * \-#,##0.00_ ;_ * &quot;-&quot;_ ;_ @_ "/>
    <numFmt numFmtId="167" formatCode="_(* #,##0_);_(* \(#,##0\);_(* &quot;-&quot;??_);_(@_)"/>
    <numFmt numFmtId="168" formatCode="0.0%"/>
  </numFmts>
  <fonts count="38" x14ac:knownFonts="1">
    <font>
      <sz val="11"/>
      <color theme="1"/>
      <name val="Tw Cen MT"/>
      <family val="2"/>
      <scheme val="minor"/>
    </font>
    <font>
      <sz val="11"/>
      <color theme="0"/>
      <name val="Tw Cen MT"/>
      <family val="2"/>
      <scheme val="minor"/>
    </font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theme="1"/>
      <name val="Tw Cen MT"/>
      <family val="2"/>
      <scheme val="minor"/>
    </font>
    <font>
      <b/>
      <sz val="16"/>
      <color theme="0"/>
      <name val="Tw Cen MT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8"/>
      <color theme="1"/>
      <name val="Tw Cen MT"/>
      <family val="2"/>
      <scheme val="minor"/>
    </font>
    <font>
      <b/>
      <sz val="11"/>
      <color theme="0"/>
      <name val="Tw Cen MT"/>
      <family val="2"/>
      <scheme val="minor"/>
    </font>
    <font>
      <b/>
      <sz val="18"/>
      <color theme="1"/>
      <name val="Tw Cen MT"/>
      <family val="2"/>
      <scheme val="minor"/>
    </font>
    <font>
      <i/>
      <sz val="11"/>
      <color theme="1"/>
      <name val="Tw Cen MT"/>
      <family val="2"/>
      <scheme val="minor"/>
    </font>
    <font>
      <sz val="11"/>
      <color rgb="FFFF0000"/>
      <name val="Tw Cen MT"/>
      <family val="2"/>
      <scheme val="minor"/>
    </font>
    <font>
      <sz val="10"/>
      <color theme="1"/>
      <name val="Tw Cen MT"/>
      <family val="2"/>
      <scheme val="minor"/>
    </font>
    <font>
      <sz val="9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1"/>
      <color theme="1"/>
      <name val="Calibri"/>
      <family val="2"/>
    </font>
    <font>
      <b/>
      <sz val="11"/>
      <name val="Arial"/>
      <family val="2"/>
    </font>
    <font>
      <b/>
      <sz val="10"/>
      <name val="Arial"/>
      <family val="2"/>
    </font>
    <font>
      <i/>
      <sz val="11"/>
      <color rgb="FFFF0000"/>
      <name val="Tw Cen MT"/>
      <family val="2"/>
      <scheme val="minor"/>
    </font>
    <font>
      <sz val="11"/>
      <color theme="1"/>
      <name val="Tw Cen MT"/>
      <family val="2"/>
      <charset val="1"/>
      <scheme val="minor"/>
    </font>
    <font>
      <b/>
      <sz val="11"/>
      <color rgb="FFFF0000"/>
      <name val="Tw Cen MT"/>
      <family val="2"/>
      <scheme val="minor"/>
    </font>
    <font>
      <b/>
      <i/>
      <sz val="11"/>
      <color rgb="FFFF0000"/>
      <name val="Tw Cen MT"/>
      <family val="2"/>
      <scheme val="minor"/>
    </font>
    <font>
      <b/>
      <i/>
      <sz val="11"/>
      <color theme="2" tint="-0.249977111117893"/>
      <name val="Tw Cen MT"/>
      <family val="2"/>
      <scheme val="minor"/>
    </font>
    <font>
      <b/>
      <sz val="9"/>
      <color theme="1"/>
      <name val="Tw Cen MT"/>
      <family val="2"/>
      <scheme val="minor"/>
    </font>
    <font>
      <b/>
      <i/>
      <sz val="10"/>
      <color theme="4" tint="-0.249977111117893"/>
      <name val="Amasis MT Pro Light"/>
      <family val="1"/>
    </font>
    <font>
      <b/>
      <i/>
      <sz val="10"/>
      <color rgb="FFCC3300"/>
      <name val="Amasis MT Pro Light"/>
      <family val="1"/>
    </font>
    <font>
      <b/>
      <sz val="14"/>
      <color theme="1"/>
      <name val="Tw Cen MT"/>
      <family val="2"/>
      <scheme val="minor"/>
    </font>
    <font>
      <b/>
      <i/>
      <sz val="11"/>
      <color theme="1"/>
      <name val="Tw Cen MT"/>
      <family val="2"/>
      <scheme val="minor"/>
    </font>
    <font>
      <b/>
      <i/>
      <sz val="10"/>
      <color rgb="FFFF0000"/>
      <name val="Arial"/>
      <family val="2"/>
    </font>
    <font>
      <b/>
      <i/>
      <sz val="16"/>
      <color theme="3" tint="-0.249977111117893"/>
      <name val="Tw Cen MT"/>
      <family val="2"/>
      <scheme val="minor"/>
    </font>
    <font>
      <b/>
      <sz val="14"/>
      <color theme="0"/>
      <name val="Tw Cen MT"/>
      <family val="2"/>
      <scheme val="minor"/>
    </font>
    <font>
      <b/>
      <sz val="18"/>
      <color theme="0"/>
      <name val="Tw Cen MT"/>
      <family val="2"/>
      <scheme val="minor"/>
    </font>
    <font>
      <sz val="11"/>
      <color theme="1"/>
      <name val="Amasis MT Pro Light"/>
      <family val="1"/>
    </font>
    <font>
      <b/>
      <i/>
      <sz val="18"/>
      <color theme="1"/>
      <name val="Amasis MT Pro Light"/>
      <family val="1"/>
    </font>
    <font>
      <b/>
      <sz val="11"/>
      <color theme="1"/>
      <name val="Amasis MT Pro Light"/>
      <family val="1"/>
    </font>
  </fonts>
  <fills count="2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theme="7" tint="-0.249977111117893"/>
      </top>
      <bottom/>
      <diagonal/>
    </border>
    <border>
      <left/>
      <right/>
      <top style="thin">
        <color theme="7" tint="-0.249977111117893"/>
      </top>
      <bottom style="medium">
        <color theme="7" tint="-0.249977111117893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165" fontId="2" fillId="0" borderId="0" applyFont="0" applyFill="0" applyBorder="0" applyAlignment="0" applyProtection="0"/>
    <xf numFmtId="0" fontId="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  <xf numFmtId="164" fontId="22" fillId="0" borderId="0" applyFont="0" applyFill="0" applyBorder="0" applyAlignment="0" applyProtection="0"/>
  </cellStyleXfs>
  <cellXfs count="25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0" fillId="0" borderId="0" xfId="1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/>
    <xf numFmtId="3" fontId="5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3" fontId="0" fillId="5" borderId="1" xfId="0" applyNumberFormat="1" applyFill="1" applyBorder="1"/>
    <xf numFmtId="3" fontId="5" fillId="5" borderId="1" xfId="0" applyNumberFormat="1" applyFont="1" applyFill="1" applyBorder="1" applyAlignment="1">
      <alignment horizontal="center"/>
    </xf>
    <xf numFmtId="165" fontId="0" fillId="5" borderId="1" xfId="0" applyNumberFormat="1" applyFill="1" applyBorder="1"/>
    <xf numFmtId="0" fontId="0" fillId="5" borderId="1" xfId="0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right"/>
    </xf>
    <xf numFmtId="165" fontId="0" fillId="0" borderId="0" xfId="1" applyFont="1" applyFill="1"/>
    <xf numFmtId="165" fontId="6" fillId="0" borderId="1" xfId="0" applyNumberFormat="1" applyFont="1" applyBorder="1"/>
    <xf numFmtId="0" fontId="10" fillId="0" borderId="0" xfId="0" applyFont="1"/>
    <xf numFmtId="0" fontId="0" fillId="0" borderId="2" xfId="0" applyBorder="1"/>
    <xf numFmtId="167" fontId="0" fillId="0" borderId="2" xfId="3" applyNumberFormat="1" applyFont="1" applyBorder="1"/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167" fontId="0" fillId="0" borderId="7" xfId="3" applyNumberFormat="1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167" fontId="0" fillId="0" borderId="5" xfId="3" applyNumberFormat="1" applyFont="1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167" fontId="0" fillId="0" borderId="9" xfId="3" applyNumberFormat="1" applyFont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167" fontId="0" fillId="0" borderId="12" xfId="3" applyNumberFormat="1" applyFont="1" applyBorder="1"/>
    <xf numFmtId="0" fontId="11" fillId="4" borderId="13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/>
    </xf>
    <xf numFmtId="0" fontId="11" fillId="4" borderId="14" xfId="0" applyFont="1" applyFill="1" applyBorder="1"/>
    <xf numFmtId="0" fontId="11" fillId="4" borderId="15" xfId="0" applyFont="1" applyFill="1" applyBorder="1"/>
    <xf numFmtId="167" fontId="11" fillId="4" borderId="16" xfId="3" applyNumberFormat="1" applyFont="1" applyFill="1" applyBorder="1"/>
    <xf numFmtId="167" fontId="11" fillId="4" borderId="2" xfId="3" applyNumberFormat="1" applyFont="1" applyFill="1" applyBorder="1"/>
    <xf numFmtId="167" fontId="0" fillId="3" borderId="2" xfId="3" applyNumberFormat="1" applyFont="1" applyFill="1" applyBorder="1"/>
    <xf numFmtId="167" fontId="11" fillId="4" borderId="2" xfId="0" applyNumberFormat="1" applyFont="1" applyFill="1" applyBorder="1"/>
    <xf numFmtId="167" fontId="11" fillId="4" borderId="5" xfId="3" applyNumberFormat="1" applyFont="1" applyFill="1" applyBorder="1"/>
    <xf numFmtId="167" fontId="11" fillId="4" borderId="12" xfId="3" applyNumberFormat="1" applyFont="1" applyFill="1" applyBorder="1"/>
    <xf numFmtId="0" fontId="0" fillId="0" borderId="17" xfId="0" applyBorder="1" applyAlignment="1">
      <alignment horizontal="center" vertical="center"/>
    </xf>
    <xf numFmtId="167" fontId="11" fillId="4" borderId="9" xfId="3" applyNumberFormat="1" applyFont="1" applyFill="1" applyBorder="1"/>
    <xf numFmtId="0" fontId="0" fillId="0" borderId="18" xfId="0" applyBorder="1" applyAlignment="1">
      <alignment horizontal="center" vertical="center"/>
    </xf>
    <xf numFmtId="165" fontId="11" fillId="4" borderId="14" xfId="1" applyFont="1" applyFill="1" applyBorder="1"/>
    <xf numFmtId="165" fontId="11" fillId="6" borderId="14" xfId="1" applyFont="1" applyFill="1" applyBorder="1"/>
    <xf numFmtId="165" fontId="0" fillId="0" borderId="9" xfId="1" applyFont="1" applyBorder="1"/>
    <xf numFmtId="165" fontId="0" fillId="0" borderId="2" xfId="1" applyFont="1" applyBorder="1"/>
    <xf numFmtId="165" fontId="0" fillId="0" borderId="12" xfId="1" applyFont="1" applyBorder="1"/>
    <xf numFmtId="165" fontId="0" fillId="3" borderId="2" xfId="1" applyFont="1" applyFill="1" applyBorder="1"/>
    <xf numFmtId="165" fontId="0" fillId="0" borderId="5" xfId="1" applyFont="1" applyBorder="1"/>
    <xf numFmtId="165" fontId="0" fillId="7" borderId="9" xfId="1" applyFont="1" applyFill="1" applyBorder="1"/>
    <xf numFmtId="165" fontId="0" fillId="7" borderId="2" xfId="1" applyFont="1" applyFill="1" applyBorder="1"/>
    <xf numFmtId="165" fontId="0" fillId="7" borderId="12" xfId="1" applyFont="1" applyFill="1" applyBorder="1"/>
    <xf numFmtId="165" fontId="0" fillId="7" borderId="5" xfId="1" applyFont="1" applyFill="1" applyBorder="1"/>
    <xf numFmtId="165" fontId="11" fillId="4" borderId="2" xfId="0" applyNumberFormat="1" applyFont="1" applyFill="1" applyBorder="1"/>
    <xf numFmtId="167" fontId="0" fillId="0" borderId="0" xfId="0" applyNumberFormat="1"/>
    <xf numFmtId="167" fontId="11" fillId="4" borderId="20" xfId="3" applyNumberFormat="1" applyFont="1" applyFill="1" applyBorder="1"/>
    <xf numFmtId="167" fontId="0" fillId="0" borderId="2" xfId="3" applyNumberFormat="1" applyFont="1" applyFill="1" applyBorder="1"/>
    <xf numFmtId="167" fontId="0" fillId="0" borderId="0" xfId="3" applyNumberFormat="1" applyFont="1"/>
    <xf numFmtId="167" fontId="11" fillId="6" borderId="14" xfId="3" applyNumberFormat="1" applyFont="1" applyFill="1" applyBorder="1"/>
    <xf numFmtId="0" fontId="0" fillId="0" borderId="0" xfId="0" applyAlignment="1">
      <alignment horizontal="right"/>
    </xf>
    <xf numFmtId="9" fontId="0" fillId="0" borderId="0" xfId="4" applyFont="1"/>
    <xf numFmtId="0" fontId="14" fillId="0" borderId="0" xfId="0" applyFont="1"/>
    <xf numFmtId="164" fontId="0" fillId="0" borderId="0" xfId="3" applyFont="1"/>
    <xf numFmtId="10" fontId="0" fillId="0" borderId="0" xfId="4" applyNumberFormat="1" applyFont="1"/>
    <xf numFmtId="10" fontId="0" fillId="0" borderId="2" xfId="4" applyNumberFormat="1" applyFont="1" applyBorder="1"/>
    <xf numFmtId="10" fontId="6" fillId="0" borderId="2" xfId="3" applyNumberFormat="1" applyFont="1" applyBorder="1"/>
    <xf numFmtId="10" fontId="6" fillId="0" borderId="2" xfId="4" applyNumberFormat="1" applyFont="1" applyBorder="1"/>
    <xf numFmtId="164" fontId="0" fillId="0" borderId="1" xfId="3" applyFont="1" applyFill="1" applyBorder="1"/>
    <xf numFmtId="10" fontId="0" fillId="0" borderId="3" xfId="4" applyNumberFormat="1" applyFont="1" applyBorder="1"/>
    <xf numFmtId="167" fontId="6" fillId="0" borderId="0" xfId="3" applyNumberFormat="1" applyFont="1"/>
    <xf numFmtId="167" fontId="0" fillId="0" borderId="1" xfId="3" applyNumberFormat="1" applyFont="1" applyFill="1" applyBorder="1"/>
    <xf numFmtId="167" fontId="0" fillId="0" borderId="2" xfId="0" applyNumberFormat="1" applyBorder="1"/>
    <xf numFmtId="168" fontId="16" fillId="0" borderId="2" xfId="0" applyNumberFormat="1" applyFont="1" applyBorder="1"/>
    <xf numFmtId="168" fontId="16" fillId="0" borderId="0" xfId="0" applyNumberFormat="1" applyFont="1"/>
    <xf numFmtId="168" fontId="16" fillId="11" borderId="1" xfId="0" applyNumberFormat="1" applyFont="1" applyFill="1" applyBorder="1"/>
    <xf numFmtId="0" fontId="0" fillId="11" borderId="1" xfId="0" applyFill="1" applyBorder="1"/>
    <xf numFmtId="167" fontId="2" fillId="11" borderId="1" xfId="3" applyNumberFormat="1" applyFont="1" applyFill="1" applyBorder="1"/>
    <xf numFmtId="167" fontId="15" fillId="0" borderId="0" xfId="3" applyNumberFormat="1" applyFont="1" applyFill="1"/>
    <xf numFmtId="167" fontId="15" fillId="12" borderId="2" xfId="3" applyNumberFormat="1" applyFont="1" applyFill="1" applyBorder="1"/>
    <xf numFmtId="168" fontId="0" fillId="0" borderId="0" xfId="0" applyNumberFormat="1"/>
    <xf numFmtId="167" fontId="17" fillId="12" borderId="2" xfId="3" applyNumberFormat="1" applyFont="1" applyFill="1" applyBorder="1"/>
    <xf numFmtId="164" fontId="0" fillId="0" borderId="0" xfId="0" applyNumberFormat="1"/>
    <xf numFmtId="167" fontId="0" fillId="0" borderId="19" xfId="3" applyNumberFormat="1" applyFont="1" applyBorder="1"/>
    <xf numFmtId="0" fontId="18" fillId="0" borderId="24" xfId="0" applyFont="1" applyBorder="1"/>
    <xf numFmtId="0" fontId="18" fillId="0" borderId="0" xfId="0" applyFont="1" applyAlignment="1">
      <alignment wrapText="1"/>
    </xf>
    <xf numFmtId="0" fontId="4" fillId="0" borderId="0" xfId="2"/>
    <xf numFmtId="0" fontId="4" fillId="0" borderId="0" xfId="2" applyAlignment="1">
      <alignment horizontal="center"/>
    </xf>
    <xf numFmtId="17" fontId="4" fillId="0" borderId="0" xfId="2" applyNumberFormat="1"/>
    <xf numFmtId="0" fontId="20" fillId="0" borderId="0" xfId="2" applyFont="1"/>
    <xf numFmtId="0" fontId="4" fillId="0" borderId="0" xfId="2" applyAlignment="1">
      <alignment horizontal="right"/>
    </xf>
    <xf numFmtId="0" fontId="19" fillId="0" borderId="0" xfId="2" applyFont="1" applyAlignment="1">
      <alignment horizontal="right"/>
    </xf>
    <xf numFmtId="0" fontId="20" fillId="0" borderId="0" xfId="2" applyFont="1" applyAlignment="1">
      <alignment horizontal="right"/>
    </xf>
    <xf numFmtId="167" fontId="4" fillId="0" borderId="0" xfId="3" applyNumberFormat="1" applyFont="1" applyBorder="1"/>
    <xf numFmtId="167" fontId="4" fillId="0" borderId="1" xfId="3" applyNumberFormat="1" applyFont="1" applyBorder="1"/>
    <xf numFmtId="167" fontId="20" fillId="14" borderId="1" xfId="3" applyNumberFormat="1" applyFont="1" applyFill="1" applyBorder="1"/>
    <xf numFmtId="167" fontId="4" fillId="0" borderId="23" xfId="3" applyNumberFormat="1" applyFont="1" applyBorder="1"/>
    <xf numFmtId="167" fontId="4" fillId="0" borderId="28" xfId="3" applyNumberFormat="1" applyFont="1" applyBorder="1"/>
    <xf numFmtId="167" fontId="4" fillId="0" borderId="1" xfId="2" applyNumberFormat="1" applyBorder="1"/>
    <xf numFmtId="0" fontId="0" fillId="0" borderId="23" xfId="0" applyBorder="1"/>
    <xf numFmtId="0" fontId="0" fillId="0" borderId="26" xfId="0" applyBorder="1"/>
    <xf numFmtId="0" fontId="0" fillId="0" borderId="28" xfId="0" applyBorder="1"/>
    <xf numFmtId="167" fontId="4" fillId="0" borderId="0" xfId="2" applyNumberFormat="1"/>
    <xf numFmtId="10" fontId="14" fillId="0" borderId="0" xfId="4" applyNumberFormat="1" applyFont="1"/>
    <xf numFmtId="167" fontId="0" fillId="10" borderId="29" xfId="3" applyNumberFormat="1" applyFont="1" applyFill="1" applyBorder="1"/>
    <xf numFmtId="168" fontId="0" fillId="0" borderId="0" xfId="4" applyNumberFormat="1" applyFont="1"/>
    <xf numFmtId="10" fontId="15" fillId="0" borderId="0" xfId="4" applyNumberFormat="1" applyFont="1"/>
    <xf numFmtId="10" fontId="16" fillId="0" borderId="0" xfId="4" applyNumberFormat="1" applyFont="1"/>
    <xf numFmtId="167" fontId="15" fillId="10" borderId="2" xfId="3" applyNumberFormat="1" applyFont="1" applyFill="1" applyBorder="1"/>
    <xf numFmtId="167" fontId="17" fillId="0" borderId="29" xfId="3" applyNumberFormat="1" applyFont="1" applyFill="1" applyBorder="1"/>
    <xf numFmtId="167" fontId="0" fillId="0" borderId="0" xfId="4" applyNumberFormat="1" applyFont="1"/>
    <xf numFmtId="164" fontId="21" fillId="0" borderId="0" xfId="3" applyFont="1"/>
    <xf numFmtId="164" fontId="13" fillId="0" borderId="23" xfId="3" applyFont="1" applyBorder="1" applyAlignment="1">
      <alignment horizontal="right"/>
    </xf>
    <xf numFmtId="167" fontId="0" fillId="0" borderId="6" xfId="0" applyNumberFormat="1" applyBorder="1"/>
    <xf numFmtId="164" fontId="13" fillId="0" borderId="0" xfId="3" applyFont="1" applyBorder="1" applyAlignment="1">
      <alignment horizontal="right"/>
    </xf>
    <xf numFmtId="167" fontId="0" fillId="0" borderId="26" xfId="0" applyNumberFormat="1" applyBorder="1"/>
    <xf numFmtId="164" fontId="0" fillId="0" borderId="0" xfId="3" applyFont="1" applyBorder="1"/>
    <xf numFmtId="164" fontId="0" fillId="0" borderId="28" xfId="3" applyFont="1" applyBorder="1"/>
    <xf numFmtId="167" fontId="0" fillId="15" borderId="3" xfId="0" applyNumberFormat="1" applyFill="1" applyBorder="1"/>
    <xf numFmtId="167" fontId="0" fillId="15" borderId="3" xfId="3" applyNumberFormat="1" applyFont="1" applyFill="1" applyBorder="1"/>
    <xf numFmtId="167" fontId="0" fillId="0" borderId="26" xfId="3" applyNumberFormat="1" applyFont="1" applyBorder="1"/>
    <xf numFmtId="167" fontId="0" fillId="0" borderId="0" xfId="3" applyNumberFormat="1" applyFont="1" applyBorder="1"/>
    <xf numFmtId="0" fontId="0" fillId="15" borderId="30" xfId="0" applyFill="1" applyBorder="1"/>
    <xf numFmtId="164" fontId="0" fillId="15" borderId="30" xfId="3" applyFont="1" applyFill="1" applyBorder="1" applyAlignment="1">
      <alignment horizontal="right"/>
    </xf>
    <xf numFmtId="167" fontId="0" fillId="15" borderId="30" xfId="0" applyNumberFormat="1" applyFill="1" applyBorder="1"/>
    <xf numFmtId="164" fontId="0" fillId="0" borderId="25" xfId="3" applyFont="1" applyBorder="1"/>
    <xf numFmtId="164" fontId="0" fillId="0" borderId="20" xfId="3" applyFont="1" applyBorder="1"/>
    <xf numFmtId="164" fontId="0" fillId="0" borderId="27" xfId="3" applyFont="1" applyBorder="1"/>
    <xf numFmtId="167" fontId="0" fillId="0" borderId="0" xfId="3" applyNumberFormat="1" applyFont="1" applyAlignment="1">
      <alignment horizontal="left"/>
    </xf>
    <xf numFmtId="14" fontId="0" fillId="0" borderId="0" xfId="0" applyNumberFormat="1"/>
    <xf numFmtId="0" fontId="1" fillId="16" borderId="0" xfId="0" applyFont="1" applyFill="1" applyAlignment="1">
      <alignment horizontal="center" vertical="center" wrapText="1"/>
    </xf>
    <xf numFmtId="165" fontId="1" fillId="17" borderId="0" xfId="1" applyFont="1" applyFill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1" fillId="18" borderId="0" xfId="0" applyFont="1" applyFill="1" applyAlignment="1">
      <alignment horizontal="center" vertical="center" wrapText="1"/>
    </xf>
    <xf numFmtId="165" fontId="1" fillId="18" borderId="0" xfId="1" applyFont="1" applyFill="1" applyAlignment="1">
      <alignment horizontal="center" vertical="center" wrapText="1"/>
    </xf>
    <xf numFmtId="17" fontId="4" fillId="14" borderId="31" xfId="2" applyNumberFormat="1" applyFill="1" applyBorder="1"/>
    <xf numFmtId="17" fontId="4" fillId="14" borderId="32" xfId="2" applyNumberFormat="1" applyFill="1" applyBorder="1"/>
    <xf numFmtId="17" fontId="4" fillId="14" borderId="33" xfId="2" applyNumberFormat="1" applyFill="1" applyBorder="1"/>
    <xf numFmtId="167" fontId="4" fillId="0" borderId="34" xfId="3" applyNumberFormat="1" applyFont="1" applyBorder="1"/>
    <xf numFmtId="167" fontId="4" fillId="0" borderId="35" xfId="3" applyNumberFormat="1" applyFont="1" applyBorder="1"/>
    <xf numFmtId="167" fontId="4" fillId="0" borderId="36" xfId="3" applyNumberFormat="1" applyFont="1" applyBorder="1"/>
    <xf numFmtId="167" fontId="4" fillId="0" borderId="37" xfId="3" applyNumberFormat="1" applyFont="1" applyBorder="1"/>
    <xf numFmtId="167" fontId="4" fillId="0" borderId="38" xfId="3" applyNumberFormat="1" applyFont="1" applyBorder="1"/>
    <xf numFmtId="167" fontId="4" fillId="0" borderId="39" xfId="3" applyNumberFormat="1" applyFont="1" applyBorder="1"/>
    <xf numFmtId="167" fontId="20" fillId="14" borderId="36" xfId="3" applyNumberFormat="1" applyFont="1" applyFill="1" applyBorder="1"/>
    <xf numFmtId="167" fontId="20" fillId="14" borderId="37" xfId="3" applyNumberFormat="1" applyFont="1" applyFill="1" applyBorder="1"/>
    <xf numFmtId="167" fontId="4" fillId="0" borderId="40" xfId="3" applyNumberFormat="1" applyFont="1" applyBorder="1"/>
    <xf numFmtId="167" fontId="4" fillId="0" borderId="41" xfId="3" applyNumberFormat="1" applyFont="1" applyBorder="1"/>
    <xf numFmtId="167" fontId="4" fillId="0" borderId="42" xfId="3" applyNumberFormat="1" applyFont="1" applyBorder="1"/>
    <xf numFmtId="167" fontId="4" fillId="0" borderId="43" xfId="3" applyNumberFormat="1" applyFont="1" applyBorder="1"/>
    <xf numFmtId="167" fontId="4" fillId="0" borderId="44" xfId="3" applyNumberFormat="1" applyFont="1" applyBorder="1"/>
    <xf numFmtId="0" fontId="1" fillId="19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168" fontId="16" fillId="11" borderId="0" xfId="0" applyNumberFormat="1" applyFont="1" applyFill="1"/>
    <xf numFmtId="10" fontId="23" fillId="0" borderId="0" xfId="4" applyNumberFormat="1" applyFont="1"/>
    <xf numFmtId="166" fontId="0" fillId="0" borderId="0" xfId="0" applyNumberFormat="1" applyAlignment="1">
      <alignment horizontal="center"/>
    </xf>
    <xf numFmtId="0" fontId="1" fillId="21" borderId="21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9" fontId="12" fillId="0" borderId="0" xfId="4" applyFon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7" borderId="0" xfId="0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3" fontId="6" fillId="0" borderId="46" xfId="0" applyNumberFormat="1" applyFont="1" applyBorder="1" applyAlignment="1">
      <alignment horizontal="center" vertical="center"/>
    </xf>
    <xf numFmtId="10" fontId="14" fillId="0" borderId="0" xfId="4" applyNumberFormat="1" applyFont="1" applyAlignment="1">
      <alignment horizontal="center" vertical="center"/>
    </xf>
    <xf numFmtId="10" fontId="0" fillId="0" borderId="0" xfId="4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21" borderId="22" xfId="0" applyFont="1" applyFill="1" applyBorder="1" applyAlignment="1">
      <alignment horizontal="center" vertical="center"/>
    </xf>
    <xf numFmtId="0" fontId="1" fillId="21" borderId="3" xfId="0" applyFont="1" applyFill="1" applyBorder="1" applyAlignment="1">
      <alignment horizontal="center" vertical="center"/>
    </xf>
    <xf numFmtId="10" fontId="24" fillId="0" borderId="0" xfId="4" applyNumberFormat="1" applyFont="1" applyAlignment="1">
      <alignment horizontal="center" vertical="center"/>
    </xf>
    <xf numFmtId="10" fontId="25" fillId="0" borderId="0" xfId="4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7" fontId="6" fillId="0" borderId="20" xfId="3" applyNumberFormat="1" applyFont="1" applyBorder="1" applyAlignment="1">
      <alignment horizontal="center" vertical="center"/>
    </xf>
    <xf numFmtId="167" fontId="6" fillId="0" borderId="27" xfId="3" applyNumberFormat="1" applyFont="1" applyBorder="1" applyAlignment="1">
      <alignment horizontal="center" vertical="center"/>
    </xf>
    <xf numFmtId="167" fontId="6" fillId="0" borderId="47" xfId="3" applyNumberFormat="1" applyFont="1" applyBorder="1" applyAlignment="1">
      <alignment horizontal="center" vertical="center"/>
    </xf>
    <xf numFmtId="167" fontId="6" fillId="0" borderId="5" xfId="3" applyNumberFormat="1" applyFont="1" applyBorder="1" applyAlignment="1">
      <alignment horizontal="center" vertical="center"/>
    </xf>
    <xf numFmtId="0" fontId="11" fillId="20" borderId="45" xfId="0" applyFont="1" applyFill="1" applyBorder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167" fontId="6" fillId="7" borderId="0" xfId="3" applyNumberFormat="1" applyFont="1" applyFill="1" applyAlignment="1">
      <alignment horizontal="center" vertical="center"/>
    </xf>
    <xf numFmtId="167" fontId="6" fillId="0" borderId="46" xfId="3" applyNumberFormat="1" applyFont="1" applyBorder="1" applyAlignment="1">
      <alignment horizontal="center" vertical="center"/>
    </xf>
    <xf numFmtId="10" fontId="6" fillId="0" borderId="0" xfId="0" applyNumberFormat="1" applyFont="1"/>
    <xf numFmtId="10" fontId="2" fillId="0" borderId="2" xfId="4" applyNumberFormat="1" applyFont="1" applyBorder="1"/>
    <xf numFmtId="10" fontId="26" fillId="0" borderId="2" xfId="0" applyNumberFormat="1" applyFont="1" applyBorder="1"/>
    <xf numFmtId="168" fontId="26" fillId="0" borderId="2" xfId="0" applyNumberFormat="1" applyFont="1" applyBorder="1"/>
    <xf numFmtId="166" fontId="6" fillId="0" borderId="0" xfId="0" applyNumberFormat="1" applyFont="1" applyAlignment="1">
      <alignment horizontal="center"/>
    </xf>
    <xf numFmtId="10" fontId="27" fillId="0" borderId="0" xfId="4" applyNumberFormat="1" applyFont="1" applyBorder="1" applyAlignment="1">
      <alignment horizontal="right"/>
    </xf>
    <xf numFmtId="10" fontId="28" fillId="0" borderId="0" xfId="4" applyNumberFormat="1" applyFont="1" applyBorder="1" applyAlignment="1">
      <alignment horizontal="right"/>
    </xf>
    <xf numFmtId="10" fontId="29" fillId="8" borderId="2" xfId="4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2" applyFont="1" applyAlignment="1">
      <alignment horizontal="right"/>
    </xf>
    <xf numFmtId="167" fontId="4" fillId="0" borderId="0" xfId="3" applyNumberFormat="1" applyFont="1"/>
    <xf numFmtId="9" fontId="0" fillId="0" borderId="0" xfId="0" applyNumberFormat="1"/>
    <xf numFmtId="0" fontId="32" fillId="0" borderId="0" xfId="0" applyFont="1"/>
    <xf numFmtId="167" fontId="0" fillId="0" borderId="0" xfId="0" applyNumberFormat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167" fontId="30" fillId="0" borderId="0" xfId="3" applyNumberFormat="1" applyFont="1" applyFill="1" applyAlignment="1">
      <alignment horizontal="center" vertical="center" wrapText="1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167" fontId="11" fillId="22" borderId="7" xfId="3" applyNumberFormat="1" applyFont="1" applyFill="1" applyBorder="1" applyAlignment="1">
      <alignment horizontal="center" vertical="center"/>
    </xf>
    <xf numFmtId="0" fontId="1" fillId="22" borderId="20" xfId="0" applyFont="1" applyFill="1" applyBorder="1" applyAlignment="1">
      <alignment horizontal="center" vertical="center"/>
    </xf>
    <xf numFmtId="0" fontId="1" fillId="22" borderId="27" xfId="0" applyFont="1" applyFill="1" applyBorder="1" applyAlignment="1">
      <alignment horizontal="center" vertical="center"/>
    </xf>
    <xf numFmtId="167" fontId="11" fillId="0" borderId="20" xfId="3" applyNumberFormat="1" applyFont="1" applyBorder="1" applyAlignment="1">
      <alignment horizontal="center" vertical="center"/>
    </xf>
    <xf numFmtId="0" fontId="34" fillId="21" borderId="0" xfId="0" applyFont="1" applyFill="1" applyAlignment="1">
      <alignment horizontal="center"/>
    </xf>
    <xf numFmtId="9" fontId="11" fillId="0" borderId="20" xfId="4" applyFont="1" applyBorder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horizontal="left" indent="2"/>
    </xf>
    <xf numFmtId="0" fontId="0" fillId="3" borderId="0" xfId="0" applyFill="1" applyAlignment="1">
      <alignment horizontal="center"/>
    </xf>
    <xf numFmtId="14" fontId="0" fillId="3" borderId="0" xfId="0" applyNumberFormat="1" applyFill="1"/>
    <xf numFmtId="3" fontId="5" fillId="3" borderId="0" xfId="2" applyNumberFormat="1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165" fontId="0" fillId="3" borderId="0" xfId="1" applyFont="1" applyFill="1"/>
    <xf numFmtId="165" fontId="0" fillId="3" borderId="0" xfId="0" applyNumberFormat="1" applyFill="1"/>
    <xf numFmtId="0" fontId="0" fillId="3" borderId="0" xfId="0" applyFill="1"/>
    <xf numFmtId="0" fontId="35" fillId="0" borderId="0" xfId="0" applyFont="1"/>
    <xf numFmtId="0" fontId="35" fillId="0" borderId="0" xfId="0" pivotButton="1" applyFont="1"/>
    <xf numFmtId="0" fontId="36" fillId="0" borderId="0" xfId="0" applyFont="1"/>
    <xf numFmtId="0" fontId="35" fillId="0" borderId="0" xfId="0" applyFont="1" applyAlignment="1">
      <alignment horizontal="left"/>
    </xf>
    <xf numFmtId="3" fontId="37" fillId="0" borderId="0" xfId="0" applyNumberFormat="1" applyFont="1"/>
    <xf numFmtId="0" fontId="37" fillId="0" borderId="0" xfId="0" applyFont="1"/>
    <xf numFmtId="0" fontId="6" fillId="0" borderId="0" xfId="0" applyFont="1"/>
    <xf numFmtId="0" fontId="37" fillId="0" borderId="0" xfId="0" pivotButton="1" applyFont="1"/>
    <xf numFmtId="0" fontId="20" fillId="0" borderId="0" xfId="2" applyFont="1" applyAlignment="1">
      <alignment horizontal="center"/>
    </xf>
    <xf numFmtId="0" fontId="20" fillId="0" borderId="0" xfId="2" applyFont="1"/>
    <xf numFmtId="0" fontId="19" fillId="13" borderId="0" xfId="2" applyFont="1" applyFill="1" applyAlignment="1">
      <alignment horizontal="right"/>
    </xf>
    <xf numFmtId="167" fontId="20" fillId="13" borderId="34" xfId="3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17" fontId="0" fillId="10" borderId="21" xfId="0" applyNumberFormat="1" applyFill="1" applyBorder="1" applyAlignment="1">
      <alignment horizontal="center"/>
    </xf>
    <xf numFmtId="17" fontId="0" fillId="10" borderId="22" xfId="0" applyNumberFormat="1" applyFill="1" applyBorder="1" applyAlignment="1">
      <alignment horizontal="center"/>
    </xf>
    <xf numFmtId="17" fontId="0" fillId="10" borderId="3" xfId="0" applyNumberFormat="1" applyFill="1" applyBorder="1" applyAlignment="1">
      <alignment horizontal="center"/>
    </xf>
    <xf numFmtId="17" fontId="0" fillId="9" borderId="21" xfId="0" applyNumberFormat="1" applyFill="1" applyBorder="1" applyAlignment="1">
      <alignment horizontal="center"/>
    </xf>
    <xf numFmtId="17" fontId="0" fillId="9" borderId="22" xfId="0" applyNumberFormat="1" applyFill="1" applyBorder="1" applyAlignment="1">
      <alignment horizontal="center"/>
    </xf>
    <xf numFmtId="17" fontId="0" fillId="9" borderId="3" xfId="0" applyNumberFormat="1" applyFill="1" applyBorder="1" applyAlignment="1">
      <alignment horizontal="center"/>
    </xf>
    <xf numFmtId="17" fontId="0" fillId="7" borderId="22" xfId="0" applyNumberFormat="1" applyFill="1" applyBorder="1" applyAlignment="1">
      <alignment horizontal="center"/>
    </xf>
    <xf numFmtId="17" fontId="0" fillId="7" borderId="3" xfId="0" applyNumberFormat="1" applyFill="1" applyBorder="1" applyAlignment="1">
      <alignment horizontal="center"/>
    </xf>
    <xf numFmtId="9" fontId="35" fillId="0" borderId="0" xfId="4" applyFont="1"/>
    <xf numFmtId="168" fontId="35" fillId="0" borderId="0" xfId="4" applyNumberFormat="1" applyFont="1"/>
    <xf numFmtId="10" fontId="35" fillId="0" borderId="0" xfId="4" applyNumberFormat="1" applyFont="1"/>
    <xf numFmtId="164" fontId="35" fillId="0" borderId="0" xfId="3" applyFont="1"/>
    <xf numFmtId="43" fontId="35" fillId="0" borderId="0" xfId="0" applyNumberFormat="1" applyFont="1"/>
  </cellXfs>
  <cellStyles count="9">
    <cellStyle name="Millares" xfId="3" builtinId="3"/>
    <cellStyle name="Millares [0]" xfId="1" builtinId="6"/>
    <cellStyle name="Millares 2" xfId="5" xr:uid="{ADDC8B21-F0C6-4E23-939E-C051DEB827A3}"/>
    <cellStyle name="Millares 2 3" xfId="8" xr:uid="{BC9836D5-311E-414D-ACE5-C8541AA7A9FA}"/>
    <cellStyle name="Normal" xfId="0" builtinId="0"/>
    <cellStyle name="Normal 2" xfId="2" xr:uid="{4E17B618-592C-4077-A5F8-2F1C0467A65B}"/>
    <cellStyle name="Normal 2 2" xfId="7" xr:uid="{51374F15-C695-431B-B661-9C1AF0C5D15E}"/>
    <cellStyle name="Porcentaje" xfId="4" builtinId="5"/>
    <cellStyle name="Porcentaje 2" xfId="6" xr:uid="{05366EDE-5263-4899-9064-31370F71D4D0}"/>
  </cellStyles>
  <dxfs count="340"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3" formatCode="#,##0"/>
    </dxf>
    <dxf>
      <font>
        <name val="Amasis MT Pro Light"/>
        <family val="1"/>
        <scheme val="none"/>
      </font>
    </dxf>
    <dxf>
      <font>
        <name val="Amasis MT Pro Light"/>
        <family val="1"/>
        <scheme val="none"/>
      </font>
    </dxf>
    <dxf>
      <font>
        <name val="Amasis MT Pro Light"/>
        <family val="1"/>
        <scheme val="none"/>
      </font>
    </dxf>
    <dxf>
      <font>
        <name val="Amasis MT Pro Light"/>
        <family val="1"/>
        <scheme val="none"/>
      </font>
    </dxf>
    <dxf>
      <font>
        <name val="Amasis MT Pro Light"/>
        <family val="1"/>
        <scheme val="none"/>
      </font>
    </dxf>
    <dxf>
      <font>
        <name val="Amasis MT Pro Light"/>
        <family val="1"/>
        <scheme val="none"/>
      </font>
    </dxf>
    <dxf>
      <font>
        <name val="Amasis MT Pro Light"/>
        <family val="1"/>
        <scheme val="none"/>
      </font>
    </dxf>
    <dxf>
      <font>
        <name val="Amasis MT Pro Light"/>
        <family val="1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alignment horizontal="right"/>
    </dxf>
    <dxf>
      <alignment horizontal="right"/>
    </dxf>
    <dxf>
      <numFmt numFmtId="3" formatCode="#,##0"/>
    </dxf>
    <dxf>
      <numFmt numFmtId="3" formatCode="#,##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89996032593768116"/>
        </patternFill>
      </fill>
    </dxf>
    <dxf>
      <fill>
        <patternFill>
          <bgColor theme="9" tint="0.59996337778862885"/>
        </patternFill>
      </fill>
    </dxf>
    <dxf>
      <fill>
        <patternFill>
          <bgColor rgb="FFFFDD71"/>
        </patternFill>
      </fill>
    </dxf>
    <dxf>
      <fill>
        <patternFill>
          <bgColor theme="4" tint="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89996032593768116"/>
        </patternFill>
      </fill>
    </dxf>
    <dxf>
      <fill>
        <patternFill>
          <bgColor theme="9" tint="0.59996337778862885"/>
        </patternFill>
      </fill>
    </dxf>
    <dxf>
      <fill>
        <patternFill>
          <bgColor rgb="FFFFDD71"/>
        </patternFill>
      </fill>
    </dxf>
    <dxf>
      <fill>
        <patternFill>
          <bgColor theme="4" tint="0.749961851863155"/>
        </patternFill>
      </fill>
    </dxf>
    <dxf>
      <font>
        <color rgb="FFCC3300"/>
      </font>
    </dxf>
    <dxf>
      <font>
        <color rgb="FFCC3300"/>
      </font>
    </dxf>
    <dxf>
      <font>
        <color rgb="FFCC3300"/>
      </font>
    </dxf>
    <dxf>
      <font>
        <color rgb="FFCC33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theme="0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5" formatCode="_ * #,##0_ ;_ * \-#,##0_ ;_ * &quot;-&quot;_ ;_ @_ 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5" formatCode="_ * #,##0_ ;_ * \-#,##0_ ;_ * &quot;-&quot;_ ;_ @_ 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5" formatCode="_ * #,##0_ ;_ * \-#,##0_ ;_ * &quot;-&quot;_ ;_ @_ 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 * #,##0_ ;_ * \-#,##0_ ;_ * &quot;-&quot;_ ;_ @_ 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5" formatCode="_ * #,##0_ ;_ * \-#,##0_ ;_ * &quot;-&quot;_ ;_ @_ 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5" formatCode="_ * #,##0_ ;_ * \-#,##0_ ;_ * &quot;-&quot;_ ;_ @_ 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5" formatCode="_ * #,##0_ ;_ * \-#,##0_ ;_ * &quot;-&quot;_ ;_ @_ 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5" formatCode="_ * #,##0_ ;_ * \-#,##0_ ;_ * &quot;-&quot;_ ;_ @_ 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5" formatCode="_ * #,##0_ ;_ * \-#,##0_ ;_ * &quot;-&quot;_ ;_ @_ 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5" formatCode="_ * #,##0_ ;_ * \-#,##0_ ;_ * &quot;-&quot;_ ;_ @_ 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5" formatCode="_ * #,##0_ ;_ * \-#,##0_ ;_ * &quot;-&quot;_ ;_ @_ 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5" formatCode="_ * #,##0_ ;_ * \-#,##0_ ;_ * &quot;-&quot;_ ;_ @_ 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5" formatCode="_ * #,##0_ ;_ * \-#,##0_ ;_ * &quot;-&quot;_ ;_ @_ 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5" formatCode="_ * #,##0_ ;_ * \-#,##0_ ;_ * &quot;-&quot;_ ;_ @_ 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fill>
        <patternFill patternType="solid">
          <fgColor indexed="64"/>
          <bgColor theme="7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theme="0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_(* #,##0_);_(* \(#,##0\);_(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7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7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7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7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7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7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7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7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7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7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fill>
        <patternFill patternType="solid">
          <fgColor indexed="64"/>
          <bgColor theme="7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7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7" formatCode="_(* #,##0_);_(* \(#,##0\);_(* &quot;-&quot;??_);_(@_)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Amasis MT Pro Light"/>
        <family val="1"/>
        <scheme val="none"/>
      </font>
    </dxf>
    <dxf>
      <font>
        <name val="Amasis MT Pro Light"/>
        <family val="1"/>
        <scheme val="none"/>
      </font>
    </dxf>
    <dxf>
      <font>
        <name val="Amasis MT Pro Light"/>
        <family val="1"/>
        <scheme val="none"/>
      </font>
    </dxf>
    <dxf>
      <font>
        <name val="Amasis MT Pro Light"/>
        <family val="1"/>
        <scheme val="none"/>
      </font>
    </dxf>
    <dxf>
      <font>
        <name val="Amasis MT Pro Light"/>
        <family val="1"/>
        <scheme val="none"/>
      </font>
    </dxf>
    <dxf>
      <font>
        <name val="Amasis MT Pro Light"/>
        <family val="1"/>
        <scheme val="none"/>
      </font>
    </dxf>
    <dxf>
      <font>
        <name val="Amasis MT Pro Light"/>
        <family val="1"/>
        <scheme val="none"/>
      </font>
    </dxf>
    <dxf>
      <font>
        <name val="Amasis MT Pro Light"/>
        <family val="1"/>
        <scheme val="none"/>
      </font>
    </dxf>
    <dxf>
      <numFmt numFmtId="3" formatCode="#,##0"/>
    </dxf>
    <dxf>
      <numFmt numFmtId="3" formatCode="#,##0"/>
    </dxf>
    <dxf>
      <numFmt numFmtId="3" formatCode="#,##0"/>
    </dxf>
    <dxf>
      <alignment horizontal="right"/>
    </dxf>
    <dxf>
      <alignment horizontal="right"/>
    </dxf>
    <dxf>
      <border diagonalUp="0" diagonalDown="0" outline="0">
        <left/>
        <right/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5" formatCode="_ * #,##0_ ;_ * \-#,##0_ ;_ * &quot;-&quot;_ ;_ @_ "/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numFmt numFmtId="165" formatCode="_ * #,##0_ ;_ * \-#,##0_ ;_ * &quot;-&quot;_ ;_ @_ 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Tw Cen MT"/>
        <family val="2"/>
        <scheme val="minor"/>
      </font>
      <numFmt numFmtId="165" formatCode="_ * #,##0_ ;_ * \-#,##0_ ;_ * &quot;-&quot;_ ;_ @_ "/>
      <fill>
        <patternFill patternType="solid">
          <fgColor indexed="64"/>
          <bgColor theme="3" tint="0.5999938962981048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3" tint="0.59999389629810485"/>
        </patternFill>
      </fill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3" tint="0.59999389629810485"/>
        </patternFill>
      </fill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Tw Cen MT"/>
        <family val="2"/>
        <scheme val="minor"/>
      </font>
      <numFmt numFmtId="165" formatCode="_ * #,##0_ ;_ * \-#,##0_ ;_ * &quot;-&quot;_ ;_ @_ "/>
      <fill>
        <patternFill patternType="solid">
          <fgColor indexed="64"/>
          <bgColor theme="3" tint="0.5999938962981048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numFmt numFmtId="165" formatCode="_ * #,##0_ ;_ * \-#,##0_ ;_ * &quot;-&quot;_ ;_ @_ "/>
      <fill>
        <patternFill patternType="none">
          <fgColor indexed="64"/>
          <bgColor indexed="65"/>
        </patternFill>
      </fill>
    </dxf>
    <dxf>
      <numFmt numFmtId="165" formatCode="_ * #,##0_ ;_ * \-#,##0_ ;_ * &quot;-&quot;_ ;_ @_ "/>
      <fill>
        <patternFill patternType="solid">
          <fgColor indexed="64"/>
          <bgColor theme="3" tint="0.59999389629810485"/>
        </patternFill>
      </fill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numFmt numFmtId="165" formatCode="_ * #,##0_ ;_ * \-#,##0_ ;_ * &quot;-&quot;_ ;_ @_ "/>
      <fill>
        <patternFill patternType="none">
          <fgColor indexed="64"/>
          <bgColor auto="1"/>
        </patternFill>
      </fill>
    </dxf>
    <dxf>
      <numFmt numFmtId="165" formatCode="_ * #,##0_ ;_ * \-#,##0_ ;_ * &quot;-&quot;_ ;_ @_ "/>
      <fill>
        <patternFill patternType="solid">
          <fgColor indexed="64"/>
          <bgColor theme="3" tint="0.59999389629810485"/>
        </patternFill>
      </fill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numFmt numFmtId="165" formatCode="_ * #,##0_ ;_ * \-#,##0_ ;_ * &quot;-&quot;_ ;_ @_ "/>
      <fill>
        <patternFill patternType="none">
          <fgColor indexed="64"/>
          <bgColor auto="1"/>
        </patternFill>
      </fill>
    </dxf>
    <dxf>
      <numFmt numFmtId="165" formatCode="_ * #,##0_ ;_ * \-#,##0_ ;_ * &quot;-&quot;_ ;_ @_ "/>
      <fill>
        <patternFill patternType="solid">
          <fgColor indexed="64"/>
          <bgColor theme="3" tint="0.59999389629810485"/>
        </patternFill>
      </fill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3" tint="0.59999389629810485"/>
        </patternFill>
      </fill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border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66CC"/>
      <color rgb="FFFFCC00"/>
      <color rgb="FFCC3300"/>
      <color rgb="FFD6F8FE"/>
      <color rgb="FFE3DAFA"/>
      <color rgb="FFF2F4E0"/>
      <color rgb="FFEAF3E1"/>
      <color rgb="FFFFDD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microsoft.com/office/2007/relationships/slicerCache" Target="slicerCaches/slicerCache4.xml"/><Relationship Id="rId39" Type="http://schemas.openxmlformats.org/officeDocument/2006/relationships/calcChain" Target="calcChain.xml"/><Relationship Id="rId21" Type="http://schemas.openxmlformats.org/officeDocument/2006/relationships/pivotCacheDefinition" Target="pivotCache/pivotCacheDefinition3.xml"/><Relationship Id="rId34" Type="http://schemas.microsoft.com/office/2007/relationships/slicerCache" Target="slicerCaches/slicerCache1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microsoft.com/office/2007/relationships/slicerCache" Target="slicerCaches/slicerCache3.xml"/><Relationship Id="rId33" Type="http://schemas.microsoft.com/office/2007/relationships/slicerCache" Target="slicerCaches/slicerCache9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pivotCacheDefinition" Target="pivotCache/pivotCacheDefinition2.xml"/><Relationship Id="rId29" Type="http://schemas.microsoft.com/office/2011/relationships/timelineCache" Target="timelineCaches/timelineCache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2.xml"/><Relationship Id="rId32" Type="http://schemas.microsoft.com/office/2007/relationships/slicerCache" Target="slicerCaches/slicerCache8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microsoft.com/office/2007/relationships/slicerCache" Target="slicerCaches/slicerCache1.xml"/><Relationship Id="rId28" Type="http://schemas.microsoft.com/office/2011/relationships/timelineCache" Target="timelineCaches/timelineCache1.xml"/><Relationship Id="rId36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microsoft.com/office/2007/relationships/slicerCache" Target="slicerCaches/slicerCache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Relationship Id="rId27" Type="http://schemas.microsoft.com/office/2007/relationships/slicerCache" Target="slicerCaches/slicerCache5.xml"/><Relationship Id="rId30" Type="http://schemas.microsoft.com/office/2007/relationships/slicerCache" Target="slicerCaches/slicerCache6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hyperlink" Target="https://pxhere.com/es/photo/978235" TargetMode="Externa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hyperlink" Target="https://pxhere.com/es/photo/978235" TargetMode="Externa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anuales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0.1067596192361475"/>
          <c:y val="8.9149267866949586E-2"/>
          <c:w val="0.85930373220296685"/>
          <c:h val="0.781250269229174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'2024 &amp; 2023 &amp; 2022'!$I$10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'2024 &amp; 2023 &amp; 2022'!$J$9:$M$9</c:f>
              <c:strCache>
                <c:ptCount val="4"/>
                <c:pt idx="0">
                  <c:v>Cuarter 1 </c:v>
                </c:pt>
                <c:pt idx="1">
                  <c:v>Cuarter 2 </c:v>
                </c:pt>
                <c:pt idx="2">
                  <c:v>Cuarter 3 </c:v>
                </c:pt>
                <c:pt idx="3">
                  <c:v>Cuarter 4 </c:v>
                </c:pt>
              </c:strCache>
            </c:strRef>
          </c:cat>
          <c:val>
            <c:numRef>
              <c:f>'2024 &amp; 2023 &amp; 2022'!$J$10:$M$10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9-4F2A-B224-1DC8E4A33ECB}"/>
            </c:ext>
          </c:extLst>
        </c:ser>
        <c:ser>
          <c:idx val="1"/>
          <c:order val="1"/>
          <c:tx>
            <c:strRef>
              <c:f>'2024 &amp; 2023 &amp; 2022'!$I$11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'2024 &amp; 2023 &amp; 2022'!$J$9:$M$9</c:f>
              <c:strCache>
                <c:ptCount val="4"/>
                <c:pt idx="0">
                  <c:v>Cuarter 1 </c:v>
                </c:pt>
                <c:pt idx="1">
                  <c:v>Cuarter 2 </c:v>
                </c:pt>
                <c:pt idx="2">
                  <c:v>Cuarter 3 </c:v>
                </c:pt>
                <c:pt idx="3">
                  <c:v>Cuarter 4 </c:v>
                </c:pt>
              </c:strCache>
            </c:strRef>
          </c:cat>
          <c:val>
            <c:numRef>
              <c:f>'2024 &amp; 2023 &amp; 2022'!$J$11:$M$11</c:f>
              <c:numCache>
                <c:formatCode>_(* #,##0_);_(* \(#,##0\);_(* "-"??_);_(@_)</c:formatCode>
                <c:ptCount val="4"/>
                <c:pt idx="0">
                  <c:v>293724032.63789201</c:v>
                </c:pt>
                <c:pt idx="1">
                  <c:v>325378242.89011943</c:v>
                </c:pt>
                <c:pt idx="2">
                  <c:v>316243036.133968</c:v>
                </c:pt>
                <c:pt idx="3">
                  <c:v>306979301.90308797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E9-4F2A-B224-1DC8E4A33ECB}"/>
            </c:ext>
          </c:extLst>
        </c:ser>
        <c:ser>
          <c:idx val="2"/>
          <c:order val="2"/>
          <c:tx>
            <c:strRef>
              <c:f>'2024 &amp; 2023 &amp; 2022'!$I$12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'2024 &amp; 2023 &amp; 2022'!$J$9:$M$9</c:f>
              <c:strCache>
                <c:ptCount val="4"/>
                <c:pt idx="0">
                  <c:v>Cuarter 1 </c:v>
                </c:pt>
                <c:pt idx="1">
                  <c:v>Cuarter 2 </c:v>
                </c:pt>
                <c:pt idx="2">
                  <c:v>Cuarter 3 </c:v>
                </c:pt>
                <c:pt idx="3">
                  <c:v>Cuarter 4 </c:v>
                </c:pt>
              </c:strCache>
            </c:strRef>
          </c:cat>
          <c:val>
            <c:numRef>
              <c:f>'2024 &amp; 2023 &amp; 2022'!$J$12:$M$12</c:f>
              <c:numCache>
                <c:formatCode>_(* #,##0_);_(* \(#,##0\);_(* "-"??_);_(@_)</c:formatCode>
                <c:ptCount val="4"/>
                <c:pt idx="0">
                  <c:v>268380806.08078825</c:v>
                </c:pt>
                <c:pt idx="1">
                  <c:v>316174777.68635929</c:v>
                </c:pt>
                <c:pt idx="2">
                  <c:v>239239301.19999999</c:v>
                </c:pt>
                <c:pt idx="3">
                  <c:v>334696815.16000003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E9-4F2A-B224-1DC8E4A33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1948256"/>
        <c:axId val="821944896"/>
      </c:barChart>
      <c:catAx>
        <c:axId val="82194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21944896"/>
        <c:crosses val="autoZero"/>
        <c:auto val="1"/>
        <c:lblAlgn val="ctr"/>
        <c:lblOffset val="100"/>
        <c:noMultiLvlLbl val="0"/>
      </c:catAx>
      <c:valAx>
        <c:axId val="82194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21948256"/>
        <c:crosses val="autoZero"/>
        <c:crossBetween val="between"/>
      </c:valAx>
      <c:spPr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837473B0-CC2E-450A-ABE3-18F120FF3D39}">
                <a1611:picAttrSrcUrl xmlns:a1611="http://schemas.microsoft.com/office/drawing/2016/11/main" r:id="rId4"/>
              </a:ext>
            </a:extLst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lt1"/>
    </a:solidFill>
    <a:ln w="15875" cap="flat" cmpd="sng" algn="ctr">
      <a:solidFill>
        <a:schemeClr val="accent4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anuales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0.1067596192361475"/>
          <c:y val="8.9149267866949586E-2"/>
          <c:w val="0.85930373220296685"/>
          <c:h val="0.781250269229174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'2024&amp;2023&amp; 2022 G. Extra'!$I$5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FF66CC"/>
            </a:solidFill>
            <a:ln>
              <a:noFill/>
            </a:ln>
            <a:effectLst/>
          </c:spPr>
          <c:invertIfNegative val="0"/>
          <c:cat>
            <c:strRef>
              <c:f>'2024&amp;2023&amp; 2022 G. Extra'!$J$4:$M$4</c:f>
              <c:strCache>
                <c:ptCount val="2"/>
                <c:pt idx="0">
                  <c:v>Cuarter 1 </c:v>
                </c:pt>
                <c:pt idx="1">
                  <c:v>Cuarter 2 </c:v>
                </c:pt>
              </c:strCache>
            </c:strRef>
          </c:cat>
          <c:val>
            <c:numRef>
              <c:f>'2024&amp;2023&amp; 2022 G. Extra'!$J$5:$M$5</c:f>
              <c:numCache>
                <c:formatCode>_(* #,##0_);_(* \(#,##0\);_(* "-"??_);_(@_)</c:formatCode>
                <c:ptCount val="2"/>
                <c:pt idx="0">
                  <c:v>39542991.308500007</c:v>
                </c:pt>
                <c:pt idx="1">
                  <c:v>59196947.773000002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A0-4F79-A095-2C0EF4C86810}"/>
            </c:ext>
          </c:extLst>
        </c:ser>
        <c:ser>
          <c:idx val="1"/>
          <c:order val="1"/>
          <c:tx>
            <c:strRef>
              <c:f>'2024&amp;2023&amp; 2022 G. Extra'!$I$6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'2024&amp;2023&amp; 2022 G. Extra'!$J$4:$M$4</c:f>
              <c:strCache>
                <c:ptCount val="2"/>
                <c:pt idx="0">
                  <c:v>Cuarter 1 </c:v>
                </c:pt>
                <c:pt idx="1">
                  <c:v>Cuarter 2 </c:v>
                </c:pt>
              </c:strCache>
            </c:strRef>
          </c:cat>
          <c:val>
            <c:numRef>
              <c:f>'2024&amp;2023&amp; 2022 G. Extra'!$J$6:$M$6</c:f>
              <c:numCache>
                <c:formatCode>_(* #,##0_);_(* \(#,##0\);_(* "-"??_);_(@_)</c:formatCode>
                <c:ptCount val="2"/>
                <c:pt idx="0">
                  <c:v>478255481.436755</c:v>
                </c:pt>
                <c:pt idx="1">
                  <c:v>502303136.56779504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A0-4F79-A095-2C0EF4C86810}"/>
            </c:ext>
          </c:extLst>
        </c:ser>
        <c:ser>
          <c:idx val="2"/>
          <c:order val="2"/>
          <c:tx>
            <c:strRef>
              <c:f>'2024&amp;2023&amp; 2022 G. Extra'!$I$7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'2024&amp;2023&amp; 2022 G. Extra'!$J$4:$M$4</c:f>
              <c:strCache>
                <c:ptCount val="2"/>
                <c:pt idx="0">
                  <c:v>Cuarter 1 </c:v>
                </c:pt>
                <c:pt idx="1">
                  <c:v>Cuarter 2 </c:v>
                </c:pt>
              </c:strCache>
            </c:strRef>
          </c:cat>
          <c:val>
            <c:numRef>
              <c:f>'2024&amp;2023&amp; 2022 G. Extra'!$J$7:$M$7</c:f>
              <c:numCache>
                <c:formatCode>_(* #,##0_);_(* \(#,##0\);_(* "-"??_);_(@_)</c:formatCode>
                <c:ptCount val="2"/>
                <c:pt idx="0">
                  <c:v>614286450.81660008</c:v>
                </c:pt>
                <c:pt idx="1">
                  <c:v>587665949.25895739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A0-4F79-A095-2C0EF4C86810}"/>
            </c:ext>
          </c:extLst>
        </c:ser>
        <c:ser>
          <c:idx val="3"/>
          <c:order val="3"/>
          <c:tx>
            <c:strRef>
              <c:f>'2024&amp;2023&amp; 2022 G. Extra'!$I$8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'2024&amp;2023&amp; 2022 G. Extra'!$J$4:$M$4</c:f>
              <c:strCache>
                <c:ptCount val="2"/>
                <c:pt idx="0">
                  <c:v>Cuarter 1 </c:v>
                </c:pt>
                <c:pt idx="1">
                  <c:v>Cuarter 2 </c:v>
                </c:pt>
              </c:strCache>
            </c:strRef>
          </c:cat>
          <c:val>
            <c:numRef>
              <c:f>'2024&amp;2023&amp; 2022 G. Extra'!$J$8:$M$8</c:f>
              <c:numCache>
                <c:formatCode>_(* #,##0_);_(* \(#,##0\);_(* "-"??_);_(@_)</c:formatCode>
                <c:ptCount val="2"/>
                <c:pt idx="0">
                  <c:v>414057470.59413958</c:v>
                </c:pt>
                <c:pt idx="1">
                  <c:v>460089150.20757723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F-45E3-9338-92D0F435C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1948256"/>
        <c:axId val="821944896"/>
      </c:barChart>
      <c:catAx>
        <c:axId val="82194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21944896"/>
        <c:crosses val="autoZero"/>
        <c:auto val="1"/>
        <c:lblAlgn val="ctr"/>
        <c:lblOffset val="100"/>
        <c:noMultiLvlLbl val="0"/>
      </c:catAx>
      <c:valAx>
        <c:axId val="82194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21948256"/>
        <c:crosses val="autoZero"/>
        <c:crossBetween val="between"/>
      </c:valAx>
      <c:spPr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837473B0-CC2E-450A-ABE3-18F120FF3D39}">
                <a1611:picAttrSrcUrl xmlns:a1611="http://schemas.microsoft.com/office/drawing/2016/11/main" r:id="rId4"/>
              </a:ext>
            </a:extLst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lt1"/>
    </a:solidFill>
    <a:ln w="15875" cap="flat" cmpd="sng" algn="ctr">
      <a:solidFill>
        <a:schemeClr val="accent4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15064483845993"/>
          <c:y val="7.3089104396471594E-2"/>
          <c:w val="0.83877811883684028"/>
          <c:h val="0.71259082592404233"/>
        </c:manualLayout>
      </c:layout>
      <c:lineChart>
        <c:grouping val="standard"/>
        <c:varyColors val="0"/>
        <c:ser>
          <c:idx val="0"/>
          <c:order val="0"/>
          <c:tx>
            <c:strRef>
              <c:f>'Detalle anual Gastos '!$B$9</c:f>
              <c:strCache>
                <c:ptCount val="1"/>
                <c:pt idx="0">
                  <c:v>2025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63500" dist="25400" dir="5400000" algn="ctr" rotWithShape="0">
                <a:srgbClr val="000000">
                  <a:alpha val="69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'Detalle anual Gastos '!$C$8:$I$8</c15:sqref>
                  </c15:fullRef>
                </c:ext>
              </c:extLst>
              <c:f>('Detalle anual Gastos '!$C$8,'Detalle anual Gastos '!$E$8,'Detalle anual Gastos '!$G$8,'Detalle anual Gastos '!$I$8)</c:f>
              <c:strCache>
                <c:ptCount val="4"/>
                <c:pt idx="0">
                  <c:v>Cuarter 1 </c:v>
                </c:pt>
                <c:pt idx="1">
                  <c:v>Cuarter 2 </c:v>
                </c:pt>
                <c:pt idx="2">
                  <c:v>Cuarter 3 </c:v>
                </c:pt>
                <c:pt idx="3">
                  <c:v>Cuarter 4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'Detalle anual Gastos '!$C$9:$I$9</c15:sqref>
                  </c15:fullRef>
                </c:ext>
              </c:extLst>
              <c:f>('Detalle anual Gastos '!$C$9,'Detalle anual Gastos '!$E$9,'Detalle anual Gastos '!$G$9,'Detalle anual Gastos '!$I$9)</c:f>
              <c:numCache>
                <c:formatCode>0%</c:formatCode>
                <c:ptCount val="4"/>
                <c:pt idx="0" formatCode="_(* #,##0_);_(* \(#,##0\);_(* &quot;-&quot;??_);_(@_)">
                  <c:v>0</c:v>
                </c:pt>
                <c:pt idx="1" formatCode="_(* #,##0_);_(* \(#,##0\);_(* &quot;-&quot;??_);_(@_)">
                  <c:v>0</c:v>
                </c:pt>
                <c:pt idx="2" formatCode="_(* #,##0_);_(* \(#,##0\);_(* &quot;-&quot;??_);_(@_)">
                  <c:v>0</c:v>
                </c:pt>
                <c:pt idx="3" formatCode="_(* #,##0_);_(* \(#,##0\);_(* &quot;-&quot;??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5A-4D0F-BCD8-7DD2FD3A09FA}"/>
            </c:ext>
          </c:extLst>
        </c:ser>
        <c:ser>
          <c:idx val="1"/>
          <c:order val="1"/>
          <c:tx>
            <c:strRef>
              <c:f>'Detalle anual Gastos '!$B$10</c:f>
              <c:strCache>
                <c:ptCount val="1"/>
                <c:pt idx="0">
                  <c:v>2024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63500" dist="25400" dir="5400000" algn="ctr" rotWithShape="0">
                <a:srgbClr val="000000">
                  <a:alpha val="69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'Detalle anual Gastos '!$C$8:$I$8</c15:sqref>
                  </c15:fullRef>
                </c:ext>
              </c:extLst>
              <c:f>('Detalle anual Gastos '!$C$8,'Detalle anual Gastos '!$E$8,'Detalle anual Gastos '!$G$8,'Detalle anual Gastos '!$I$8)</c:f>
              <c:strCache>
                <c:ptCount val="4"/>
                <c:pt idx="0">
                  <c:v>Cuarter 1 </c:v>
                </c:pt>
                <c:pt idx="1">
                  <c:v>Cuarter 2 </c:v>
                </c:pt>
                <c:pt idx="2">
                  <c:v>Cuarter 3 </c:v>
                </c:pt>
                <c:pt idx="3">
                  <c:v>Cuarter 4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'Detalle anual Gastos '!$C$10:$I$10</c15:sqref>
                  </c15:fullRef>
                </c:ext>
              </c:extLst>
              <c:f>('Detalle anual Gastos '!$C$10,'Detalle anual Gastos '!$E$10,'Detalle anual Gastos '!$G$10,'Detalle anual Gastos '!$I$10)</c:f>
              <c:numCache>
                <c:formatCode>_(* #,##0_);_(* \(#,##0\);_(* "-"??_);_(@_)</c:formatCode>
                <c:ptCount val="4"/>
                <c:pt idx="0">
                  <c:v>38326904.548166662</c:v>
                </c:pt>
                <c:pt idx="1">
                  <c:v>35888513.606333338</c:v>
                </c:pt>
                <c:pt idx="2">
                  <c:v>35582526.483166665</c:v>
                </c:pt>
                <c:pt idx="3">
                  <c:v>36454115.82683333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5A-4D0F-BCD8-7DD2FD3A09FA}"/>
            </c:ext>
          </c:extLst>
        </c:ser>
        <c:ser>
          <c:idx val="2"/>
          <c:order val="2"/>
          <c:tx>
            <c:strRef>
              <c:f>'Detalle anual Gastos '!$B$11</c:f>
              <c:strCache>
                <c:ptCount val="1"/>
                <c:pt idx="0">
                  <c:v>2023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63500" dist="25400" dir="5400000" algn="ctr" rotWithShape="0">
                <a:srgbClr val="000000">
                  <a:alpha val="69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'Detalle anual Gastos '!$C$8:$I$8</c15:sqref>
                  </c15:fullRef>
                </c:ext>
              </c:extLst>
              <c:f>('Detalle anual Gastos '!$C$8,'Detalle anual Gastos '!$E$8,'Detalle anual Gastos '!$G$8,'Detalle anual Gastos '!$I$8)</c:f>
              <c:strCache>
                <c:ptCount val="4"/>
                <c:pt idx="0">
                  <c:v>Cuarter 1 </c:v>
                </c:pt>
                <c:pt idx="1">
                  <c:v>Cuarter 2 </c:v>
                </c:pt>
                <c:pt idx="2">
                  <c:v>Cuarter 3 </c:v>
                </c:pt>
                <c:pt idx="3">
                  <c:v>Cuarter 4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'Detalle anual Gastos '!$C$11:$I$11</c15:sqref>
                  </c15:fullRef>
                </c:ext>
              </c:extLst>
              <c:f>('Detalle anual Gastos '!$C$11,'Detalle anual Gastos '!$E$11,'Detalle anual Gastos '!$G$11,'Detalle anual Gastos '!$I$11)</c:f>
              <c:numCache>
                <c:formatCode>0%</c:formatCode>
                <c:ptCount val="4"/>
                <c:pt idx="0" formatCode="_(* #,##0_);_(* \(#,##0\);_(* &quot;-&quot;??_);_(@_)">
                  <c:v>57771765</c:v>
                </c:pt>
                <c:pt idx="1" formatCode="_(* #,##0_);_(* \(#,##0\);_(* &quot;-&quot;??_);_(@_)">
                  <c:v>60692034</c:v>
                </c:pt>
                <c:pt idx="2" formatCode="_(* #,##0_);_(* \(#,##0\);_(* &quot;-&quot;??_);_(@_)">
                  <c:v>58744192.479999997</c:v>
                </c:pt>
                <c:pt idx="3" formatCode="_(* #,##0_);_(* \(#,##0\);_(* &quot;-&quot;??_);_(@_)">
                  <c:v>47009436.809999995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5A-4D0F-BCD8-7DD2FD3A09FA}"/>
            </c:ext>
          </c:extLst>
        </c:ser>
        <c:ser>
          <c:idx val="3"/>
          <c:order val="3"/>
          <c:tx>
            <c:strRef>
              <c:f>'Detalle anual Gastos '!$B$12</c:f>
              <c:strCache>
                <c:ptCount val="1"/>
                <c:pt idx="0">
                  <c:v>2022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63500" dist="25400" dir="5400000" algn="ctr" rotWithShape="0">
                <a:srgbClr val="000000">
                  <a:alpha val="69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'Detalle anual Gastos '!$C$8:$I$8</c15:sqref>
                  </c15:fullRef>
                </c:ext>
              </c:extLst>
              <c:f>('Detalle anual Gastos '!$C$8,'Detalle anual Gastos '!$E$8,'Detalle anual Gastos '!$G$8,'Detalle anual Gastos '!$I$8)</c:f>
              <c:strCache>
                <c:ptCount val="4"/>
                <c:pt idx="0">
                  <c:v>Cuarter 1 </c:v>
                </c:pt>
                <c:pt idx="1">
                  <c:v>Cuarter 2 </c:v>
                </c:pt>
                <c:pt idx="2">
                  <c:v>Cuarter 3 </c:v>
                </c:pt>
                <c:pt idx="3">
                  <c:v>Cuarter 4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'Detalle anual Gastos '!$C$12:$I$12</c15:sqref>
                  </c15:fullRef>
                </c:ext>
              </c:extLst>
              <c:f>('Detalle anual Gastos '!$C$12,'Detalle anual Gastos '!$E$12,'Detalle anual Gastos '!$G$12,'Detalle anual Gastos '!$I$12)</c:f>
              <c:numCache>
                <c:formatCode>_(* #,##0_);_(* \(#,##0\);_(* "-"??_);_(@_)</c:formatCode>
                <c:ptCount val="4"/>
                <c:pt idx="0">
                  <c:v>18498122</c:v>
                </c:pt>
                <c:pt idx="1">
                  <c:v>32614841</c:v>
                </c:pt>
                <c:pt idx="2">
                  <c:v>31407638</c:v>
                </c:pt>
                <c:pt idx="3">
                  <c:v>41457713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5A-4D0F-BCD8-7DD2FD3A0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9576416"/>
        <c:axId val="1029576896"/>
      </c:lineChart>
      <c:catAx>
        <c:axId val="102957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29576896"/>
        <c:crosses val="autoZero"/>
        <c:auto val="1"/>
        <c:lblAlgn val="ctr"/>
        <c:lblOffset val="100"/>
        <c:noMultiLvlLbl val="0"/>
      </c:catAx>
      <c:valAx>
        <c:axId val="102957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2957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9.7112163489351394E-2"/>
          <c:y val="0.11677692960135708"/>
          <c:w val="0.79670163347126577"/>
          <c:h val="0.72668790446995657"/>
        </c:manualLayout>
      </c:layout>
      <c:barChart>
        <c:barDir val="bar"/>
        <c:grouping val="clustered"/>
        <c:varyColors val="0"/>
        <c:ser>
          <c:idx val="1"/>
          <c:order val="1"/>
          <c:spPr>
            <a:gradFill rotWithShape="1">
              <a:gsLst>
                <a:gs pos="0">
                  <a:schemeClr val="accent2">
                    <a:tint val="94000"/>
                    <a:satMod val="100000"/>
                    <a:lumMod val="108000"/>
                  </a:schemeClr>
                </a:gs>
                <a:gs pos="50000">
                  <a:schemeClr val="accent2">
                    <a:tint val="98000"/>
                    <a:shade val="100000"/>
                    <a:satMod val="100000"/>
                    <a:lumMod val="100000"/>
                  </a:schemeClr>
                </a:gs>
                <a:gs pos="100000">
                  <a:schemeClr val="accent2">
                    <a:shade val="72000"/>
                    <a:satMod val="120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63500" dist="25400" dir="5400000" algn="ctr" rotWithShape="0">
                <a:srgbClr val="000000">
                  <a:alpha val="69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1200000"/>
              </a:lightRig>
            </a:scene3d>
            <a:sp3d prstMaterial="plastic">
              <a:bevelT w="25400" h="25400"/>
            </a:sp3d>
          </c:spPr>
          <c:invertIfNegative val="0"/>
          <c:cat>
            <c:numRef>
              <c:f>'Detalle anual Gastos '!$B$9:$B$12</c:f>
              <c:numCache>
                <c:formatCode>General</c:formatCode>
                <c:ptCount val="4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</c:numCache>
            </c:numRef>
          </c:cat>
          <c:val>
            <c:numRef>
              <c:f>'Detalle anual Gastos '!$K$9:$K$12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146252060.46450001</c:v>
                </c:pt>
                <c:pt idx="2">
                  <c:v>224217428.28999999</c:v>
                </c:pt>
                <c:pt idx="3">
                  <c:v>123978314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12-42C6-9920-9C9ED25AC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35726032"/>
        <c:axId val="10357226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 rotWithShape="1">
                    <a:gsLst>
                      <a:gs pos="0">
                        <a:schemeClr val="accent1">
                          <a:tint val="94000"/>
                          <a:satMod val="100000"/>
                          <a:lumMod val="108000"/>
                        </a:schemeClr>
                      </a:gs>
                      <a:gs pos="50000">
                        <a:schemeClr val="accent1">
                          <a:tint val="98000"/>
                          <a:shade val="100000"/>
                          <a:satMod val="100000"/>
                          <a:lumMod val="100000"/>
                        </a:schemeClr>
                      </a:gs>
                      <a:gs pos="100000">
                        <a:schemeClr val="accent1">
                          <a:shade val="72000"/>
                          <a:satMod val="120000"/>
                          <a:lumMod val="100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63500" dist="25400" dir="5400000" algn="ctr" rotWithShape="0">
                      <a:srgbClr val="000000">
                        <a:alpha val="69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balanced" dir="t">
                      <a:rot lat="0" lon="0" rev="1200000"/>
                    </a:lightRig>
                  </a:scene3d>
                  <a:sp3d prstMaterial="plastic">
                    <a:bevelT w="25400" h="25400"/>
                  </a:sp3d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'Detalle anual Gastos '!$B$9:$B$12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2025</c:v>
                      </c:pt>
                      <c:pt idx="1">
                        <c:v>2024</c:v>
                      </c:pt>
                      <c:pt idx="2">
                        <c:v>2023</c:v>
                      </c:pt>
                      <c:pt idx="3">
                        <c:v>2022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'Detalle anual Gastos '!$B$9:$B$12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2025</c:v>
                      </c:pt>
                      <c:pt idx="1">
                        <c:v>2024</c:v>
                      </c:pt>
                      <c:pt idx="2">
                        <c:v>2023</c:v>
                      </c:pt>
                      <c:pt idx="3">
                        <c:v>2022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D12-42C6-9920-9C9ED25AC401}"/>
                  </c:ext>
                </c:extLst>
              </c15:ser>
            </c15:filteredBarSeries>
          </c:ext>
        </c:extLst>
      </c:barChart>
      <c:catAx>
        <c:axId val="1035726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35722672"/>
        <c:crosses val="autoZero"/>
        <c:auto val="1"/>
        <c:lblAlgn val="ctr"/>
        <c:lblOffset val="100"/>
        <c:noMultiLvlLbl val="0"/>
      </c:catAx>
      <c:valAx>
        <c:axId val="103572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3572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2023</a:t>
            </a:r>
          </a:p>
        </c:rich>
      </c:tx>
      <c:layout>
        <c:manualLayout>
          <c:xMode val="edge"/>
          <c:yMode val="edge"/>
          <c:x val="1.7720989738076245E-2"/>
          <c:y val="1.9206407377636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6.8324061540797176E-2"/>
          <c:w val="1"/>
          <c:h val="0.68673190399732198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1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1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1-9657-4F06-BB7A-172CC93ED56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2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2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3-9657-4F06-BB7A-172CC93ED56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3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3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5-9657-4F06-BB7A-172CC93ED56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4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4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7-9657-4F06-BB7A-172CC93ED56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5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5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9-9657-4F06-BB7A-172CC93ED5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'Sueldos y Salarios 2023'!$B$3:$B$7</c:f>
              <c:strCache>
                <c:ptCount val="5"/>
                <c:pt idx="0">
                  <c:v>Entre 530.000 y 750.000 </c:v>
                </c:pt>
                <c:pt idx="1">
                  <c:v>Entre 751.000 y 1.000.000 </c:v>
                </c:pt>
                <c:pt idx="2">
                  <c:v>Entre 1.000.001 y 1.850.000 </c:v>
                </c:pt>
                <c:pt idx="3">
                  <c:v>Entre 1.851.000 a 2.000.000</c:v>
                </c:pt>
                <c:pt idx="4">
                  <c:v>Entre 4.000.000 y 5.000.000</c:v>
                </c:pt>
              </c:strCache>
            </c:strRef>
          </c:cat>
          <c:val>
            <c:numRef>
              <c:f>'Sueldos y Salarios 2023'!$S$3:$S$7</c:f>
              <c:numCache>
                <c:formatCode>0.00%</c:formatCode>
                <c:ptCount val="5"/>
                <c:pt idx="0">
                  <c:v>0.45354594017094019</c:v>
                </c:pt>
                <c:pt idx="1">
                  <c:v>0.26483995726495729</c:v>
                </c:pt>
                <c:pt idx="2">
                  <c:v>0.18181666666666668</c:v>
                </c:pt>
                <c:pt idx="3">
                  <c:v>2.0174145299145296E-2</c:v>
                </c:pt>
                <c:pt idx="4">
                  <c:v>7.9631623931623929E-2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D-484A-9F4A-06D865B553D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99101744488503E-2"/>
          <c:y val="0.74925573695034042"/>
          <c:w val="0.96507362149955878"/>
          <c:h val="0.2207442697988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2023</a:t>
            </a:r>
          </a:p>
        </c:rich>
      </c:tx>
      <c:layout>
        <c:manualLayout>
          <c:xMode val="edge"/>
          <c:yMode val="edge"/>
          <c:x val="1.7720989738076245E-2"/>
          <c:y val="1.9206407377636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1.9691885709775307E-4"/>
          <c:w val="1"/>
          <c:h val="0.7454116067952920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1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1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1-35DC-4ACA-858F-D054B7F4460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2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2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3-35DC-4ACA-858F-D054B7F4460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3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3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5-35DC-4ACA-858F-D054B7F4460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4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4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7-35DC-4ACA-858F-D054B7F4460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5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5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9-35DC-4ACA-858F-D054B7F446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'Sueldos y Salarios 2023'!$B$3:$B$7</c:f>
              <c:strCache>
                <c:ptCount val="5"/>
                <c:pt idx="0">
                  <c:v>Entre 530.000 y 750.000 </c:v>
                </c:pt>
                <c:pt idx="1">
                  <c:v>Entre 751.000 y 1.000.000 </c:v>
                </c:pt>
                <c:pt idx="2">
                  <c:v>Entre 1.000.001 y 1.850.000 </c:v>
                </c:pt>
                <c:pt idx="3">
                  <c:v>Entre 1.851.000 a 2.000.000</c:v>
                </c:pt>
                <c:pt idx="4">
                  <c:v>Entre 4.000.000 y 5.000.000</c:v>
                </c:pt>
              </c:strCache>
            </c:strRef>
          </c:cat>
          <c:val>
            <c:numRef>
              <c:f>'Sueldos y Salarios 2023'!$T$3:$T$7</c:f>
              <c:numCache>
                <c:formatCode>0.0%</c:formatCode>
                <c:ptCount val="5"/>
                <c:pt idx="0">
                  <c:v>0.23867255762244388</c:v>
                </c:pt>
                <c:pt idx="1">
                  <c:v>0.20023815420736191</c:v>
                </c:pt>
                <c:pt idx="2">
                  <c:v>0.21544544247419284</c:v>
                </c:pt>
                <c:pt idx="3">
                  <c:v>3.289814077543797E-2</c:v>
                </c:pt>
                <c:pt idx="4">
                  <c:v>0.31274570492056342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5DC-4ACA-858F-D054B7F4460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2536368088542059E-2"/>
          <c:y val="0.73359263038371625"/>
          <c:w val="0.96507362149955878"/>
          <c:h val="0.2207442697988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2023</a:t>
            </a:r>
          </a:p>
        </c:rich>
      </c:tx>
      <c:layout>
        <c:manualLayout>
          <c:xMode val="edge"/>
          <c:yMode val="edge"/>
          <c:x val="1.7720989738076245E-2"/>
          <c:y val="1.9206407377636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5.2190512340665934E-2"/>
          <c:w val="1"/>
          <c:h val="0.7427858303026022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1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1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1-A0F8-4C3F-9BB6-41FEEAE3720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2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2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3-A0F8-4C3F-9BB6-41FEEAE372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'Sueldos y Salarios 2023'!$B$19:$B$20</c:f>
              <c:strCache>
                <c:ptCount val="2"/>
                <c:pt idx="0">
                  <c:v>Sueldos y Salarios O.Paises </c:v>
                </c:pt>
                <c:pt idx="1">
                  <c:v>Sueldos y Salarios Chile </c:v>
                </c:pt>
              </c:strCache>
            </c:strRef>
          </c:cat>
          <c:val>
            <c:numRef>
              <c:f>'Sueldos y Salarios 2023'!$S$19:$S$20</c:f>
              <c:numCache>
                <c:formatCode>_(* #,##0_);_(* \(#,##0\);_(* "-"??_);_(@_)</c:formatCode>
                <c:ptCount val="2"/>
                <c:pt idx="0">
                  <c:v>113732908.09382999</c:v>
                </c:pt>
                <c:pt idx="1">
                  <c:v>298604035.53847003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0F8-4C3F-9BB6-41FEEAE3720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4271134459835529E-2"/>
          <c:y val="0.74925573433755566"/>
          <c:w val="0.96507362149955878"/>
          <c:h val="0.2207442697988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2024</a:t>
            </a:r>
          </a:p>
        </c:rich>
      </c:tx>
      <c:layout>
        <c:manualLayout>
          <c:xMode val="edge"/>
          <c:yMode val="edge"/>
          <c:x val="1.7721018164808606E-2"/>
          <c:y val="8.698371775343223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6.8324061540797176E-2"/>
          <c:w val="1"/>
          <c:h val="0.68673190399732198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1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1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1-49DE-44BD-84A5-8EC6552E800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2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2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3-49DE-44BD-84A5-8EC6552E800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3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3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5-49DE-44BD-84A5-8EC6552E800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4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4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7-49DE-44BD-84A5-8EC6552E800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5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5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9-49DE-44BD-84A5-8EC6552E80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'Sueldos y Salarios 2024'!$B$3:$B$7</c:f>
              <c:strCache>
                <c:ptCount val="5"/>
                <c:pt idx="0">
                  <c:v>Entre 530.000 y 750.000 </c:v>
                </c:pt>
                <c:pt idx="1">
                  <c:v>Entre 751.000 y 1.000.000 </c:v>
                </c:pt>
                <c:pt idx="2">
                  <c:v>Entre 1.000.001 y 1.850.000 </c:v>
                </c:pt>
                <c:pt idx="3">
                  <c:v>Entre 1.851.000 a 2.000.000</c:v>
                </c:pt>
                <c:pt idx="4">
                  <c:v>Entre 4.000.000 y 5.000.000</c:v>
                </c:pt>
              </c:strCache>
            </c:strRef>
          </c:cat>
          <c:val>
            <c:numRef>
              <c:f>'Sueldos y Salarios 2024'!$Y$3:$Y$7</c:f>
              <c:numCache>
                <c:formatCode>0.00%</c:formatCode>
                <c:ptCount val="5"/>
                <c:pt idx="0">
                  <c:v>0.21997863247863247</c:v>
                </c:pt>
                <c:pt idx="1">
                  <c:v>0.14014957264957265</c:v>
                </c:pt>
                <c:pt idx="2">
                  <c:v>6.6730769230769232E-2</c:v>
                </c:pt>
                <c:pt idx="3">
                  <c:v>2.6431623931623932E-2</c:v>
                </c:pt>
                <c:pt idx="4">
                  <c:v>4.0042735042735041E-2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9DE-44BD-84A5-8EC6552E800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99101744488503E-2"/>
          <c:y val="0.74925573695034042"/>
          <c:w val="0.96507362149955878"/>
          <c:h val="0.2207442697988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2024</a:t>
            </a:r>
          </a:p>
        </c:rich>
      </c:tx>
      <c:layout>
        <c:manualLayout>
          <c:xMode val="edge"/>
          <c:yMode val="edge"/>
          <c:x val="1.7720989738076245E-2"/>
          <c:y val="1.9206407377636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1.9691885709775307E-4"/>
          <c:w val="1"/>
          <c:h val="0.7454116067952920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1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1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1-D56F-4277-8556-27AF0B7E196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2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2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3-D56F-4277-8556-27AF0B7E196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3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3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5-D56F-4277-8556-27AF0B7E196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4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4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7-D56F-4277-8556-27AF0B7E196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5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5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9-D56F-4277-8556-27AF0B7E19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'Sueldos y Salarios 2024'!$B$3:$B$7</c:f>
              <c:strCache>
                <c:ptCount val="5"/>
                <c:pt idx="0">
                  <c:v>Entre 530.000 y 750.000 </c:v>
                </c:pt>
                <c:pt idx="1">
                  <c:v>Entre 751.000 y 1.000.000 </c:v>
                </c:pt>
                <c:pt idx="2">
                  <c:v>Entre 1.000.001 y 1.850.000 </c:v>
                </c:pt>
                <c:pt idx="3">
                  <c:v>Entre 1.851.000 a 2.000.000</c:v>
                </c:pt>
                <c:pt idx="4">
                  <c:v>Entre 4.000.000 y 5.000.000</c:v>
                </c:pt>
              </c:strCache>
            </c:strRef>
          </c:cat>
          <c:val>
            <c:numRef>
              <c:f>'Sueldos y Salarios 2024'!$Z$3:$Z$7</c:f>
              <c:numCache>
                <c:formatCode>0.0%</c:formatCode>
                <c:ptCount val="5"/>
                <c:pt idx="0">
                  <c:v>0.22461856065938957</c:v>
                </c:pt>
                <c:pt idx="1">
                  <c:v>0.20685764388632147</c:v>
                </c:pt>
                <c:pt idx="2">
                  <c:v>0.14338299341402086</c:v>
                </c:pt>
                <c:pt idx="3">
                  <c:v>9.5679573756538877E-2</c:v>
                </c:pt>
                <c:pt idx="4">
                  <c:v>0.32946122828372909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56F-4277-8556-27AF0B7E196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2536368088542059E-2"/>
          <c:y val="0.73359263038371625"/>
          <c:w val="0.96507362149955878"/>
          <c:h val="0.2207442697988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2024</a:t>
            </a:r>
          </a:p>
        </c:rich>
      </c:tx>
      <c:layout>
        <c:manualLayout>
          <c:xMode val="edge"/>
          <c:yMode val="edge"/>
          <c:x val="1.7720989738076245E-2"/>
          <c:y val="1.9206407377636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5.2190512340665934E-2"/>
          <c:w val="1"/>
          <c:h val="0.7427858303026022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1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1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1-4771-4D84-A81A-981C4B50137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2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2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3-4771-4D84-A81A-981C4B5013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'Sueldos y Salarios 2024'!$B$19:$B$20</c:f>
              <c:strCache>
                <c:ptCount val="2"/>
                <c:pt idx="0">
                  <c:v>Sueldos y Salarios O.Paises </c:v>
                </c:pt>
                <c:pt idx="1">
                  <c:v>Sueldos y Salarios Chile </c:v>
                </c:pt>
              </c:strCache>
            </c:strRef>
          </c:cat>
          <c:val>
            <c:numRef>
              <c:f>'Sueldos y Salarios 2024'!$Y$19:$Y$20</c:f>
              <c:numCache>
                <c:formatCode>_(* #,##0_);_(* \(#,##0\);_(* "-"??_);_(@_)</c:formatCode>
                <c:ptCount val="2"/>
                <c:pt idx="0">
                  <c:v>44359292.941886</c:v>
                </c:pt>
                <c:pt idx="1">
                  <c:v>127870121.96911401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71-4D84-A81A-981C4B50137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4271134459835529E-2"/>
          <c:y val="0.74925573433755566"/>
          <c:w val="0.96507362149955878"/>
          <c:h val="0.2207442697988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Rendicione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54611</xdr:colOff>
      <xdr:row>0</xdr:row>
      <xdr:rowOff>6350</xdr:rowOff>
    </xdr:from>
    <xdr:to>
      <xdr:col>12</xdr:col>
      <xdr:colOff>311151</xdr:colOff>
      <xdr:row>6</xdr:row>
      <xdr:rowOff>21590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.C. 1">
              <a:extLst>
                <a:ext uri="{FF2B5EF4-FFF2-40B4-BE49-F238E27FC236}">
                  <a16:creationId xmlns:a16="http://schemas.microsoft.com/office/drawing/2014/main" id="{F4F95FDF-DD5D-F2A3-D0B4-0F0487A2E3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.C.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54061" y="6350"/>
              <a:ext cx="2472690" cy="1374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133349</xdr:colOff>
      <xdr:row>0</xdr:row>
      <xdr:rowOff>217170</xdr:rowOff>
    </xdr:from>
    <xdr:to>
      <xdr:col>1</xdr:col>
      <xdr:colOff>1942080</xdr:colOff>
      <xdr:row>3</xdr:row>
      <xdr:rowOff>95250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2C04F8E-7F75-43FC-964F-B461363A4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49" y="217170"/>
          <a:ext cx="1808731" cy="58293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90806</xdr:colOff>
      <xdr:row>0</xdr:row>
      <xdr:rowOff>0</xdr:rowOff>
    </xdr:from>
    <xdr:to>
      <xdr:col>16</xdr:col>
      <xdr:colOff>351156</xdr:colOff>
      <xdr:row>6</xdr:row>
      <xdr:rowOff>40005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Fecha  1">
              <a:extLst>
                <a:ext uri="{FF2B5EF4-FFF2-40B4-BE49-F238E27FC236}">
                  <a16:creationId xmlns:a16="http://schemas.microsoft.com/office/drawing/2014/main" id="{785349CD-5B1A-2FF0-DDF7-B61D4C5F62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79456" y="0"/>
              <a:ext cx="2298700" cy="13989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5827</xdr:colOff>
      <xdr:row>1</xdr:row>
      <xdr:rowOff>8641</xdr:rowOff>
    </xdr:from>
    <xdr:to>
      <xdr:col>0</xdr:col>
      <xdr:colOff>2301512</xdr:colOff>
      <xdr:row>6</xdr:row>
      <xdr:rowOff>3477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.C.">
              <a:extLst>
                <a:ext uri="{FF2B5EF4-FFF2-40B4-BE49-F238E27FC236}">
                  <a16:creationId xmlns:a16="http://schemas.microsoft.com/office/drawing/2014/main" id="{321FC903-D875-C3E0-CF83-00E6D008F6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.C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27" y="596470"/>
              <a:ext cx="2284255" cy="9261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14</xdr:row>
      <xdr:rowOff>25364</xdr:rowOff>
    </xdr:from>
    <xdr:to>
      <xdr:col>0</xdr:col>
      <xdr:colOff>2305049</xdr:colOff>
      <xdr:row>46</xdr:row>
      <xdr:rowOff>133401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Nombre Solicitante">
              <a:extLst>
                <a:ext uri="{FF2B5EF4-FFF2-40B4-BE49-F238E27FC236}">
                  <a16:creationId xmlns:a16="http://schemas.microsoft.com/office/drawing/2014/main" id="{71682F83-761E-13A2-BEEC-8AA8FC68C3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Solicita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967531"/>
              <a:ext cx="2305049" cy="5752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6</xdr:row>
      <xdr:rowOff>63502</xdr:rowOff>
    </xdr:from>
    <xdr:to>
      <xdr:col>0</xdr:col>
      <xdr:colOff>2305049</xdr:colOff>
      <xdr:row>13</xdr:row>
      <xdr:rowOff>105834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">
              <a:extLst>
                <a:ext uri="{FF2B5EF4-FFF2-40B4-BE49-F238E27FC236}">
                  <a16:creationId xmlns:a16="http://schemas.microsoft.com/office/drawing/2014/main" id="{3A2ACA62-E1CE-A737-8CEF-1D1497CBB6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04434"/>
              <a:ext cx="2305049" cy="22945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7</xdr:col>
      <xdr:colOff>618067</xdr:colOff>
      <xdr:row>0</xdr:row>
      <xdr:rowOff>28575</xdr:rowOff>
    </xdr:from>
    <xdr:to>
      <xdr:col>9</xdr:col>
      <xdr:colOff>481895</xdr:colOff>
      <xdr:row>0</xdr:row>
      <xdr:rowOff>523875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DCBC99-11DD-4349-8023-7EC74E52B328}"/>
            </a:ext>
          </a:extLst>
        </xdr:cNvPr>
        <xdr:cNvSpPr/>
      </xdr:nvSpPr>
      <xdr:spPr>
        <a:xfrm>
          <a:off x="12448117" y="28575"/>
          <a:ext cx="1635478" cy="495300"/>
        </a:xfrm>
        <a:prstGeom prst="round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Ir a Detalle</a:t>
          </a:r>
          <a:r>
            <a:rPr lang="en-US" sz="1100" baseline="0"/>
            <a:t> </a:t>
          </a:r>
          <a:r>
            <a:rPr lang="en-US" sz="1100"/>
            <a:t>HGI</a:t>
          </a:r>
        </a:p>
      </xdr:txBody>
    </xdr:sp>
    <xdr:clientData/>
  </xdr:twoCellAnchor>
  <xdr:twoCellAnchor>
    <xdr:from>
      <xdr:col>0</xdr:col>
      <xdr:colOff>9526</xdr:colOff>
      <xdr:row>0</xdr:row>
      <xdr:rowOff>80282</xdr:rowOff>
    </xdr:from>
    <xdr:to>
      <xdr:col>6</xdr:col>
      <xdr:colOff>203200</xdr:colOff>
      <xdr:row>1</xdr:row>
      <xdr:rowOff>1614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BB770616-2E36-4EFF-A628-B40B6070F655}"/>
            </a:ext>
          </a:extLst>
        </xdr:cNvPr>
        <xdr:cNvSpPr/>
      </xdr:nvSpPr>
      <xdr:spPr>
        <a:xfrm>
          <a:off x="9526" y="80282"/>
          <a:ext cx="9625541" cy="505532"/>
        </a:xfrm>
        <a:prstGeom prst="round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Rendiciones Heca</a:t>
          </a:r>
          <a:r>
            <a:rPr lang="en-US" sz="2400" baseline="0"/>
            <a:t> Global Instruments </a:t>
          </a:r>
          <a:endParaRPr lang="en-US" sz="2400"/>
        </a:p>
      </xdr:txBody>
    </xdr:sp>
    <xdr:clientData/>
  </xdr:twoCellAnchor>
  <xdr:twoCellAnchor editAs="oneCell">
    <xdr:from>
      <xdr:col>9</xdr:col>
      <xdr:colOff>835238</xdr:colOff>
      <xdr:row>0</xdr:row>
      <xdr:rowOff>38099</xdr:rowOff>
    </xdr:from>
    <xdr:to>
      <xdr:col>11</xdr:col>
      <xdr:colOff>316867</xdr:colOff>
      <xdr:row>0</xdr:row>
      <xdr:rowOff>516903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BE1C1F-9EA4-479C-BFDF-2C7032556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12371" y="38099"/>
          <a:ext cx="1615229" cy="47880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0</xdr:col>
      <xdr:colOff>21167</xdr:colOff>
      <xdr:row>6</xdr:row>
      <xdr:rowOff>63502</xdr:rowOff>
    </xdr:from>
    <xdr:to>
      <xdr:col>0</xdr:col>
      <xdr:colOff>2326216</xdr:colOff>
      <xdr:row>13</xdr:row>
      <xdr:rowOff>105834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es 1">
              <a:extLst>
                <a:ext uri="{FF2B5EF4-FFF2-40B4-BE49-F238E27FC236}">
                  <a16:creationId xmlns:a16="http://schemas.microsoft.com/office/drawing/2014/main" id="{C2944187-83EE-1EC8-69D8-80B8B19B19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67" y="1594558"/>
              <a:ext cx="2305049" cy="12770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669290</xdr:colOff>
      <xdr:row>1</xdr:row>
      <xdr:rowOff>25400</xdr:rowOff>
    </xdr:from>
    <xdr:to>
      <xdr:col>18</xdr:col>
      <xdr:colOff>560705</xdr:colOff>
      <xdr:row>6</xdr:row>
      <xdr:rowOff>23495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Fecha  2">
              <a:extLst>
                <a:ext uri="{FF2B5EF4-FFF2-40B4-BE49-F238E27FC236}">
                  <a16:creationId xmlns:a16="http://schemas.microsoft.com/office/drawing/2014/main" id="{11B69A22-FF22-3F2B-FC03-E63545CA11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41940" y="203200"/>
              <a:ext cx="3574415" cy="1356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288925</xdr:colOff>
      <xdr:row>2</xdr:row>
      <xdr:rowOff>126365</xdr:rowOff>
    </xdr:from>
    <xdr:to>
      <xdr:col>1</xdr:col>
      <xdr:colOff>1628140</xdr:colOff>
      <xdr:row>5</xdr:row>
      <xdr:rowOff>454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C43F06-58D2-479B-8076-E293E8D23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225" y="666115"/>
          <a:ext cx="1339215" cy="424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164305</xdr:colOff>
      <xdr:row>0</xdr:row>
      <xdr:rowOff>268700</xdr:rowOff>
    </xdr:from>
    <xdr:to>
      <xdr:col>2</xdr:col>
      <xdr:colOff>247015</xdr:colOff>
      <xdr:row>0</xdr:row>
      <xdr:rowOff>744454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58631B-D7CF-48F6-A268-755031818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980" y="268700"/>
          <a:ext cx="1378745" cy="475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14</xdr:col>
      <xdr:colOff>157938</xdr:colOff>
      <xdr:row>0</xdr:row>
      <xdr:rowOff>0</xdr:rowOff>
    </xdr:from>
    <xdr:to>
      <xdr:col>18</xdr:col>
      <xdr:colOff>1022069</xdr:colOff>
      <xdr:row>2</xdr:row>
      <xdr:rowOff>323338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Nro Rend.">
              <a:extLst>
                <a:ext uri="{FF2B5EF4-FFF2-40B4-BE49-F238E27FC236}">
                  <a16:creationId xmlns:a16="http://schemas.microsoft.com/office/drawing/2014/main" id="{8B6DD8C9-1FB3-624A-E6BE-1C7A314C29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ro Rend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36771" y="0"/>
              <a:ext cx="5506687" cy="14804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544077</xdr:colOff>
      <xdr:row>0</xdr:row>
      <xdr:rowOff>1</xdr:rowOff>
    </xdr:from>
    <xdr:to>
      <xdr:col>11</xdr:col>
      <xdr:colOff>854992</xdr:colOff>
      <xdr:row>2</xdr:row>
      <xdr:rowOff>338668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Nombre Solicitante 3">
              <a:extLst>
                <a:ext uri="{FF2B5EF4-FFF2-40B4-BE49-F238E27FC236}">
                  <a16:creationId xmlns:a16="http://schemas.microsoft.com/office/drawing/2014/main" id="{2D8F5422-79AA-2976-7719-03DE16A32E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Solicitant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78521" y="0"/>
              <a:ext cx="8467138" cy="12447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270934</xdr:colOff>
      <xdr:row>1</xdr:row>
      <xdr:rowOff>130487</xdr:rowOff>
    </xdr:from>
    <xdr:ext cx="1511301" cy="484693"/>
    <xdr:pic>
      <xdr:nvPicPr>
        <xdr:cNvPr id="2" name="Imagen 1">
          <a:extLst>
            <a:ext uri="{FF2B5EF4-FFF2-40B4-BE49-F238E27FC236}">
              <a16:creationId xmlns:a16="http://schemas.microsoft.com/office/drawing/2014/main" id="{872344C9-2199-4393-80EE-9EA9A626F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659" y="254312"/>
          <a:ext cx="1511301" cy="484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13126</xdr:colOff>
      <xdr:row>20</xdr:row>
      <xdr:rowOff>38313</xdr:rowOff>
    </xdr:from>
    <xdr:to>
      <xdr:col>17</xdr:col>
      <xdr:colOff>352777</xdr:colOff>
      <xdr:row>52</xdr:row>
      <xdr:rowOff>127001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1780A5E-6815-4637-B641-CEA340E10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524775</xdr:colOff>
      <xdr:row>1</xdr:row>
      <xdr:rowOff>23330</xdr:rowOff>
    </xdr:from>
    <xdr:ext cx="1511301" cy="484693"/>
    <xdr:pic>
      <xdr:nvPicPr>
        <xdr:cNvPr id="3" name="Imagen 2">
          <a:extLst>
            <a:ext uri="{FF2B5EF4-FFF2-40B4-BE49-F238E27FC236}">
              <a16:creationId xmlns:a16="http://schemas.microsoft.com/office/drawing/2014/main" id="{CEC38766-9FA7-4F10-AD22-9F3EB6405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19" y="142393"/>
          <a:ext cx="1511301" cy="484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171716</xdr:colOff>
      <xdr:row>13</xdr:row>
      <xdr:rowOff>134993</xdr:rowOff>
    </xdr:from>
    <xdr:to>
      <xdr:col>21</xdr:col>
      <xdr:colOff>35719</xdr:colOff>
      <xdr:row>45</xdr:row>
      <xdr:rowOff>23812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7393F44-EDAF-BF47-8478-F581F8A8E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20</xdr:col>
      <xdr:colOff>593408</xdr:colOff>
      <xdr:row>1</xdr:row>
      <xdr:rowOff>110959</xdr:rowOff>
    </xdr:from>
    <xdr:ext cx="1511301" cy="484693"/>
    <xdr:pic>
      <xdr:nvPicPr>
        <xdr:cNvPr id="2" name="Imagen 1">
          <a:extLst>
            <a:ext uri="{FF2B5EF4-FFF2-40B4-BE49-F238E27FC236}">
              <a16:creationId xmlns:a16="http://schemas.microsoft.com/office/drawing/2014/main" id="{78A8C708-1847-4FED-830C-7300C44FB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78564" y="230022"/>
          <a:ext cx="1511301" cy="484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240031</xdr:colOff>
      <xdr:row>1</xdr:row>
      <xdr:rowOff>38100</xdr:rowOff>
    </xdr:from>
    <xdr:ext cx="1352550" cy="433780"/>
    <xdr:pic>
      <xdr:nvPicPr>
        <xdr:cNvPr id="2" name="Imagen 1">
          <a:extLst>
            <a:ext uri="{FF2B5EF4-FFF2-40B4-BE49-F238E27FC236}">
              <a16:creationId xmlns:a16="http://schemas.microsoft.com/office/drawing/2014/main" id="{738918A0-B33A-4062-8018-5D329FB83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1" y="838200"/>
          <a:ext cx="1352550" cy="433780"/>
        </a:xfrm>
        <a:prstGeom prst="rect">
          <a:avLst/>
        </a:prstGeom>
        <a:ln>
          <a:noFill/>
        </a:ln>
        <a:effectLst>
          <a:reflection blurRad="12700" stA="30000" endPos="30000" dist="5000" dir="5400000" sy="-100000" algn="bl" rotWithShape="0"/>
        </a:effectLst>
        <a:scene3d>
          <a:camera prst="perspectiveContrastingLeftFacing">
            <a:rot lat="300000" lon="19800000" rev="0"/>
          </a:camera>
          <a:lightRig rig="threePt" dir="t">
            <a:rot lat="0" lon="0" rev="2700000"/>
          </a:lightRig>
        </a:scene3d>
        <a:sp3d>
          <a:bevelT w="63500" h="50800"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21</xdr:col>
      <xdr:colOff>340995</xdr:colOff>
      <xdr:row>54</xdr:row>
      <xdr:rowOff>133350</xdr:rowOff>
    </xdr:from>
    <xdr:to>
      <xdr:col>24</xdr:col>
      <xdr:colOff>7620</xdr:colOff>
      <xdr:row>70</xdr:row>
      <xdr:rowOff>81915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Detalle">
              <a:extLst>
                <a:ext uri="{FF2B5EF4-FFF2-40B4-BE49-F238E27FC236}">
                  <a16:creationId xmlns:a16="http://schemas.microsoft.com/office/drawing/2014/main" id="{6F716653-FD0F-C931-D270-770D368EC5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tal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86720" y="9829800"/>
              <a:ext cx="2238375" cy="26917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21</xdr:col>
      <xdr:colOff>244687</xdr:colOff>
      <xdr:row>1</xdr:row>
      <xdr:rowOff>154305</xdr:rowOff>
    </xdr:from>
    <xdr:to>
      <xdr:col>23</xdr:col>
      <xdr:colOff>358987</xdr:colOff>
      <xdr:row>18</xdr:row>
      <xdr:rowOff>57150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3" name="Detalle 1">
              <a:extLst>
                <a:ext uri="{FF2B5EF4-FFF2-40B4-BE49-F238E27FC236}">
                  <a16:creationId xmlns:a16="http://schemas.microsoft.com/office/drawing/2014/main" id="{AF9FFD28-1C9B-81F6-AF94-6902B4E31F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tall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94837" y="363855"/>
              <a:ext cx="1828800" cy="3274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>
    <xdr:from>
      <xdr:col>5</xdr:col>
      <xdr:colOff>19051</xdr:colOff>
      <xdr:row>12</xdr:row>
      <xdr:rowOff>104775</xdr:rowOff>
    </xdr:from>
    <xdr:to>
      <xdr:col>12</xdr:col>
      <xdr:colOff>19051</xdr:colOff>
      <xdr:row>37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9290A5-C1A6-70D0-0EA2-DAAD959E1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</xdr:row>
      <xdr:rowOff>133350</xdr:rowOff>
    </xdr:from>
    <xdr:to>
      <xdr:col>4</xdr:col>
      <xdr:colOff>1104900</xdr:colOff>
      <xdr:row>36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E89FAC8-FC33-0446-A67D-3886F2CF6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95250</xdr:colOff>
      <xdr:row>0</xdr:row>
      <xdr:rowOff>17146</xdr:rowOff>
    </xdr:from>
    <xdr:to>
      <xdr:col>2</xdr:col>
      <xdr:colOff>5546091</xdr:colOff>
      <xdr:row>3</xdr:row>
      <xdr:rowOff>306916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Cuenta 1">
              <a:extLst>
                <a:ext uri="{FF2B5EF4-FFF2-40B4-BE49-F238E27FC236}">
                  <a16:creationId xmlns:a16="http://schemas.microsoft.com/office/drawing/2014/main" id="{93666972-FCB3-9B4E-E4D3-E79412691B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ent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750" y="17146"/>
              <a:ext cx="5438987" cy="1718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25401</xdr:colOff>
      <xdr:row>0</xdr:row>
      <xdr:rowOff>56162</xdr:rowOff>
    </xdr:from>
    <xdr:to>
      <xdr:col>5</xdr:col>
      <xdr:colOff>42334</xdr:colOff>
      <xdr:row>3</xdr:row>
      <xdr:rowOff>177800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Cuenta 2">
              <a:extLst>
                <a:ext uri="{FF2B5EF4-FFF2-40B4-BE49-F238E27FC236}">
                  <a16:creationId xmlns:a16="http://schemas.microsoft.com/office/drawing/2014/main" id="{88F1DA41-2D8E-47E8-BBFB-406C0DD657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ent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174" y="59972"/>
              <a:ext cx="8925560" cy="13099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567267</xdr:colOff>
      <xdr:row>22</xdr:row>
      <xdr:rowOff>84667</xdr:rowOff>
    </xdr:from>
    <xdr:to>
      <xdr:col>7</xdr:col>
      <xdr:colOff>59267</xdr:colOff>
      <xdr:row>37</xdr:row>
      <xdr:rowOff>4235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AFE1D69-E076-3D24-7498-169A1B612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372530</xdr:colOff>
      <xdr:row>22</xdr:row>
      <xdr:rowOff>101598</xdr:rowOff>
    </xdr:from>
    <xdr:to>
      <xdr:col>17</xdr:col>
      <xdr:colOff>135466</xdr:colOff>
      <xdr:row>37</xdr:row>
      <xdr:rowOff>36406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3AF80C0E-33A2-4CE4-810E-CB63EA8D2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516467</xdr:colOff>
      <xdr:row>40</xdr:row>
      <xdr:rowOff>16933</xdr:rowOff>
    </xdr:from>
    <xdr:to>
      <xdr:col>7</xdr:col>
      <xdr:colOff>33869</xdr:colOff>
      <xdr:row>52</xdr:row>
      <xdr:rowOff>149013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010A9F-FEC6-4440-A6FE-A211B298D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567267</xdr:colOff>
      <xdr:row>22</xdr:row>
      <xdr:rowOff>84667</xdr:rowOff>
    </xdr:from>
    <xdr:to>
      <xdr:col>7</xdr:col>
      <xdr:colOff>59267</xdr:colOff>
      <xdr:row>37</xdr:row>
      <xdr:rowOff>4235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B1FBC7-673A-425F-AA5A-0DC8C9014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372530</xdr:colOff>
      <xdr:row>22</xdr:row>
      <xdr:rowOff>101598</xdr:rowOff>
    </xdr:from>
    <xdr:to>
      <xdr:col>17</xdr:col>
      <xdr:colOff>135466</xdr:colOff>
      <xdr:row>37</xdr:row>
      <xdr:rowOff>36406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3DDF4A-21F8-4C71-906B-3E46C0042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516467</xdr:colOff>
      <xdr:row>40</xdr:row>
      <xdr:rowOff>16933</xdr:rowOff>
    </xdr:from>
    <xdr:to>
      <xdr:col>7</xdr:col>
      <xdr:colOff>33869</xdr:colOff>
      <xdr:row>52</xdr:row>
      <xdr:rowOff>149013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7B434BD-69CD-4522-B4B2-BE4805440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apr\Mi%20unidad\TESORERIA\CONTABILIDAD\A&#209;O%202024\GASTOS%20Mensuales%20acumulados%202024.xlsx" TargetMode="External"/><Relationship Id="rId1" Type="http://schemas.openxmlformats.org/officeDocument/2006/relationships/externalLinkPath" Target="file:///C:\Users\acapr\Mi%20unidad\TESORERIA\CONTABILIDAD\A&#209;O%202024\GASTOS%20Mensuales%20acumulados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apr\Mi%20unidad\TESORERIA\CONTABILIDAD\A&#209;O%202025\GASTOS%20Mensuales%20acumulados%202025.xlsx" TargetMode="External"/><Relationship Id="rId1" Type="http://schemas.openxmlformats.org/officeDocument/2006/relationships/externalLinkPath" Target="file:///C:\Users\acapr\Mi%20unidad\TESORERIA\CONTABILIDAD\A&#209;O%202025\GASTOS%20Mensuales%20acumulados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apr\Mi%20unidad\TESORERIA\CONTABILIDAD\A&#209;O%202023\HECA%20GLOBAL%20EERR%202023.xlsx" TargetMode="External"/><Relationship Id="rId1" Type="http://schemas.openxmlformats.org/officeDocument/2006/relationships/externalLinkPath" Target="file:///C:\Users\acapr\Mi%20unidad\TESORERIA\CONTABILIDAD\A&#209;O%202023\HECA%20GLOBAL%20EERR%202023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apr\Mi%20unidad\TESORERIA\CONTABILIDAD\A&#209;O%202024\RRHH\Copia%20de%20Sueldos%20e%20imposiciones%2003-24.xlsx" TargetMode="External"/><Relationship Id="rId1" Type="http://schemas.openxmlformats.org/officeDocument/2006/relationships/externalLinkPath" Target="file:///C:\Users\acapr\Mi%20unidad\TESORERIA\CONTABILIDAD\A&#209;O%202024\RRHH\Copia%20de%20Sueldos%20e%20imposiciones%2003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"/>
      <sheetName val="TD Chile "/>
      <sheetName val="Gastos Generales"/>
      <sheetName val="Hoja2"/>
      <sheetName val="Clasificaciones "/>
      <sheetName val="Detalle "/>
      <sheetName val="Hoja1"/>
      <sheetName val="TD Cuarter"/>
      <sheetName val="LISTAS"/>
      <sheetName val="Gastos salidas banco 24"/>
    </sheetNames>
    <sheetDataSet>
      <sheetData sheetId="0">
        <row r="5">
          <cell r="B5" t="str">
            <v>Gastos Generales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5">
          <cell r="B5" t="str">
            <v>Gastos Generales</v>
          </cell>
          <cell r="S5" t="str">
            <v>Gastos Generales</v>
          </cell>
          <cell r="AG5" t="str">
            <v>Gastos Generales</v>
          </cell>
          <cell r="AN5" t="str">
            <v>Gastos Generales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"/>
      <sheetName val="TD Chile "/>
      <sheetName val="Detalle "/>
      <sheetName val="Gastos Generales"/>
      <sheetName val="Hoja1"/>
      <sheetName val="Clasificaciones "/>
      <sheetName val="Hoja2"/>
      <sheetName val="LISTAS"/>
    </sheetNames>
    <sheetDataSet>
      <sheetData sheetId="0">
        <row r="8">
          <cell r="C8">
            <v>12725748.079500001</v>
          </cell>
          <cell r="D8">
            <v>10505681.558</v>
          </cell>
          <cell r="E8">
            <v>16311561.671</v>
          </cell>
          <cell r="F8">
            <v>12226195.932500001</v>
          </cell>
          <cell r="G8">
            <v>18167760.088</v>
          </cell>
          <cell r="H8">
            <v>28802991.752500001</v>
          </cell>
          <cell r="I8">
            <v>19895223.236000001</v>
          </cell>
          <cell r="J8">
            <v>20817755.217999998</v>
          </cell>
          <cell r="K8">
            <v>22800757.27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stos"/>
      <sheetName val="Estado de Resultado"/>
      <sheetName val="Costo"/>
      <sheetName val="iTeros"/>
      <sheetName val="Rental"/>
      <sheetName val="Celular"/>
      <sheetName val="DEPREC"/>
      <sheetName val="Rendi Enero"/>
      <sheetName val="Rendi febrero"/>
      <sheetName val="Rendi Marzo"/>
      <sheetName val="Rendi Abril"/>
      <sheetName val="Rendi Mayo"/>
      <sheetName val="Rendi Junio"/>
      <sheetName val="Rendi Julio"/>
      <sheetName val="rendi Agosto"/>
      <sheetName val="Rendi Sept."/>
      <sheetName val="Rendi Oct."/>
      <sheetName val="Rendi Nov."/>
      <sheetName val="Rendi Dic."/>
      <sheetName val="Pendientes"/>
    </sheetNames>
    <sheetDataSet>
      <sheetData sheetId="0">
        <row r="2">
          <cell r="B2" t="str">
            <v>TOTAL EGRESOS</v>
          </cell>
          <cell r="G2">
            <v>196181960.68608195</v>
          </cell>
          <cell r="L2">
            <v>197846134.81148002</v>
          </cell>
          <cell r="Q2">
            <v>203020383.319038</v>
          </cell>
          <cell r="V2">
            <v>191108999.57368401</v>
          </cell>
          <cell r="AA2">
            <v>192820581.96933344</v>
          </cell>
          <cell r="AF2">
            <v>185829238.06144002</v>
          </cell>
          <cell r="AK2">
            <v>203342129.38032001</v>
          </cell>
          <cell r="AP2">
            <v>200695137.32478005</v>
          </cell>
          <cell r="AU2">
            <v>170892562.96523997</v>
          </cell>
          <cell r="AZ2">
            <v>181953102.01043999</v>
          </cell>
          <cell r="BE2">
            <v>144869566.49612004</v>
          </cell>
          <cell r="BJ2">
            <v>290865746.22413993</v>
          </cell>
        </row>
        <row r="3">
          <cell r="B3" t="str">
            <v>AÑO 2023</v>
          </cell>
          <cell r="G3"/>
          <cell r="L3"/>
          <cell r="Q3"/>
          <cell r="V3"/>
          <cell r="AA3"/>
          <cell r="AF3"/>
          <cell r="AK3"/>
          <cell r="AP3"/>
          <cell r="AU3"/>
          <cell r="AZ3"/>
          <cell r="BE3"/>
          <cell r="BJ3"/>
        </row>
        <row r="4">
          <cell r="B4" t="str">
            <v>Concepto</v>
          </cell>
          <cell r="G4" t="str">
            <v>Total</v>
          </cell>
          <cell r="L4" t="str">
            <v>Total</v>
          </cell>
          <cell r="Q4" t="str">
            <v>Total</v>
          </cell>
          <cell r="V4" t="str">
            <v>Total</v>
          </cell>
          <cell r="AA4" t="str">
            <v>Total</v>
          </cell>
          <cell r="AF4" t="str">
            <v>Total</v>
          </cell>
          <cell r="AK4" t="str">
            <v>Total</v>
          </cell>
          <cell r="AP4" t="str">
            <v>Total</v>
          </cell>
          <cell r="AU4" t="str">
            <v>Total</v>
          </cell>
          <cell r="AZ4" t="str">
            <v>Total</v>
          </cell>
          <cell r="BE4" t="str">
            <v>Total</v>
          </cell>
          <cell r="BJ4" t="str">
            <v>Total</v>
          </cell>
        </row>
        <row r="5">
          <cell r="B5"/>
          <cell r="G5">
            <v>44927</v>
          </cell>
          <cell r="L5">
            <v>44958</v>
          </cell>
          <cell r="Q5">
            <v>44986</v>
          </cell>
          <cell r="V5">
            <v>45017</v>
          </cell>
          <cell r="AA5">
            <v>45047</v>
          </cell>
          <cell r="AF5">
            <v>45078</v>
          </cell>
          <cell r="AK5">
            <v>45108</v>
          </cell>
          <cell r="AP5">
            <v>45139</v>
          </cell>
          <cell r="AU5">
            <v>45170</v>
          </cell>
          <cell r="AZ5">
            <v>45200</v>
          </cell>
          <cell r="BE5">
            <v>45231</v>
          </cell>
          <cell r="BJ5">
            <v>45261</v>
          </cell>
        </row>
        <row r="6">
          <cell r="B6" t="str">
            <v>EMPRESA RECICLADORA PLANETA LIMPIO</v>
          </cell>
          <cell r="G6">
            <v>0</v>
          </cell>
          <cell r="L6">
            <v>0</v>
          </cell>
          <cell r="Q6">
            <v>0</v>
          </cell>
          <cell r="V6">
            <v>119540</v>
          </cell>
          <cell r="AA6">
            <v>215654</v>
          </cell>
          <cell r="AF6">
            <v>107327</v>
          </cell>
          <cell r="AK6">
            <v>214680</v>
          </cell>
          <cell r="AP6">
            <v>107198</v>
          </cell>
          <cell r="AU6">
            <v>311506</v>
          </cell>
          <cell r="AZ6">
            <v>203427</v>
          </cell>
          <cell r="BE6">
            <v>222773</v>
          </cell>
          <cell r="BJ6">
            <v>299822</v>
          </cell>
        </row>
        <row r="7">
          <cell r="B7" t="str">
            <v>Equipos de protección al Personal</v>
          </cell>
          <cell r="G7">
            <v>0</v>
          </cell>
          <cell r="L7">
            <v>0</v>
          </cell>
          <cell r="Q7">
            <v>0</v>
          </cell>
          <cell r="V7">
            <v>0</v>
          </cell>
          <cell r="AA7">
            <v>0</v>
          </cell>
          <cell r="AF7">
            <v>0</v>
          </cell>
          <cell r="AK7">
            <v>0</v>
          </cell>
          <cell r="AP7">
            <v>0</v>
          </cell>
          <cell r="AU7">
            <v>1107520</v>
          </cell>
          <cell r="AZ7">
            <v>5523028</v>
          </cell>
          <cell r="BE7">
            <v>195200</v>
          </cell>
          <cell r="BJ7">
            <v>1787475</v>
          </cell>
        </row>
        <row r="8">
          <cell r="B8" t="str">
            <v>Articulos de OFICINA (Dimerc, TodoToner)</v>
          </cell>
          <cell r="G8">
            <v>486440</v>
          </cell>
          <cell r="L8">
            <v>643380</v>
          </cell>
          <cell r="Q8">
            <v>782873</v>
          </cell>
          <cell r="V8">
            <v>499369</v>
          </cell>
          <cell r="AA8">
            <v>475469</v>
          </cell>
          <cell r="AF8">
            <v>439479</v>
          </cell>
          <cell r="AK8">
            <v>302827</v>
          </cell>
          <cell r="AP8">
            <v>754895</v>
          </cell>
          <cell r="AU8">
            <v>490595</v>
          </cell>
          <cell r="AZ8">
            <v>616738</v>
          </cell>
          <cell r="BE8">
            <v>405348</v>
          </cell>
          <cell r="BJ8">
            <v>0</v>
          </cell>
        </row>
        <row r="9">
          <cell r="B9" t="str">
            <v>AGUA MINERAL</v>
          </cell>
          <cell r="G9">
            <v>60000</v>
          </cell>
          <cell r="L9">
            <v>75000</v>
          </cell>
          <cell r="Q9">
            <v>108000</v>
          </cell>
          <cell r="V9">
            <v>0</v>
          </cell>
          <cell r="AA9">
            <v>123000</v>
          </cell>
          <cell r="AF9">
            <v>0</v>
          </cell>
          <cell r="AK9">
            <v>54000</v>
          </cell>
          <cell r="AP9">
            <v>48000</v>
          </cell>
          <cell r="AU9">
            <v>120000</v>
          </cell>
          <cell r="AZ9">
            <v>72000</v>
          </cell>
          <cell r="BE9">
            <v>0</v>
          </cell>
          <cell r="BJ9">
            <v>57000</v>
          </cell>
        </row>
        <row r="10">
          <cell r="B10" t="str">
            <v>Mantencion de Aires Acondicionados / Impresoras/ GEOVICTORIA</v>
          </cell>
          <cell r="G10">
            <v>0</v>
          </cell>
          <cell r="L10">
            <v>0</v>
          </cell>
          <cell r="Q10">
            <v>0</v>
          </cell>
          <cell r="V10">
            <v>890788</v>
          </cell>
          <cell r="AA10">
            <v>0</v>
          </cell>
          <cell r="AF10">
            <v>14064</v>
          </cell>
          <cell r="AK10">
            <v>0</v>
          </cell>
          <cell r="AP10">
            <v>294565</v>
          </cell>
          <cell r="AU10">
            <v>0</v>
          </cell>
          <cell r="AZ10">
            <v>0</v>
          </cell>
          <cell r="BE10">
            <v>0</v>
          </cell>
          <cell r="BJ10">
            <v>0</v>
          </cell>
        </row>
        <row r="11">
          <cell r="B11" t="str">
            <v>INTERNET CLARO /  ENTEL CELULARES</v>
          </cell>
          <cell r="G11">
            <v>181690</v>
          </cell>
          <cell r="L11">
            <v>220051</v>
          </cell>
          <cell r="Q11">
            <v>229864</v>
          </cell>
          <cell r="V11">
            <v>203690</v>
          </cell>
          <cell r="AA11">
            <v>216310</v>
          </cell>
          <cell r="AF11">
            <v>217106</v>
          </cell>
          <cell r="AK11">
            <v>189969</v>
          </cell>
          <cell r="AP11">
            <v>219821</v>
          </cell>
          <cell r="AU11">
            <v>188717</v>
          </cell>
          <cell r="AZ11">
            <v>194279</v>
          </cell>
          <cell r="BE11">
            <v>184313</v>
          </cell>
          <cell r="BJ11">
            <v>196693</v>
          </cell>
        </row>
        <row r="12">
          <cell r="B12"/>
          <cell r="G12">
            <v>0</v>
          </cell>
          <cell r="L12">
            <v>0</v>
          </cell>
          <cell r="Q12">
            <v>0</v>
          </cell>
          <cell r="V12">
            <v>0</v>
          </cell>
          <cell r="AA12">
            <v>0</v>
          </cell>
          <cell r="AF12">
            <v>0</v>
          </cell>
          <cell r="AK12">
            <v>0</v>
          </cell>
          <cell r="AP12">
            <v>0</v>
          </cell>
          <cell r="AU12">
            <v>0</v>
          </cell>
          <cell r="AZ12">
            <v>0</v>
          </cell>
          <cell r="BE12">
            <v>0</v>
          </cell>
          <cell r="BJ12">
            <v>0</v>
          </cell>
        </row>
        <row r="13">
          <cell r="B13"/>
          <cell r="G13">
            <v>0</v>
          </cell>
          <cell r="L13">
            <v>0</v>
          </cell>
          <cell r="Q13">
            <v>0</v>
          </cell>
          <cell r="V13">
            <v>0</v>
          </cell>
          <cell r="AA13">
            <v>0</v>
          </cell>
          <cell r="AF13">
            <v>0</v>
          </cell>
          <cell r="AK13">
            <v>0</v>
          </cell>
          <cell r="AP13">
            <v>0</v>
          </cell>
          <cell r="AU13">
            <v>0</v>
          </cell>
          <cell r="AZ13">
            <v>0</v>
          </cell>
          <cell r="BE13">
            <v>0</v>
          </cell>
          <cell r="BJ13">
            <v>0</v>
          </cell>
        </row>
        <row r="14">
          <cell r="B14" t="str">
            <v>OFICINA 450-455-460 GASTOS ENTRE HECAGLOBAL / HGI</v>
          </cell>
          <cell r="G14">
            <v>0</v>
          </cell>
          <cell r="L14">
            <v>0</v>
          </cell>
          <cell r="Q14">
            <v>0</v>
          </cell>
          <cell r="V14">
            <v>0</v>
          </cell>
          <cell r="AA14">
            <v>0</v>
          </cell>
          <cell r="AF14">
            <v>0</v>
          </cell>
          <cell r="AK14">
            <v>0</v>
          </cell>
          <cell r="AP14">
            <v>0</v>
          </cell>
          <cell r="AU14">
            <v>0</v>
          </cell>
          <cell r="AZ14">
            <v>0</v>
          </cell>
          <cell r="BE14">
            <v>0</v>
          </cell>
          <cell r="BJ14">
            <v>0</v>
          </cell>
        </row>
        <row r="15">
          <cell r="B15" t="str">
            <v>OFICINA 455 EGAÑA - ARRIENDO / VERISURE / ENTEL INTERNET</v>
          </cell>
          <cell r="G15">
            <v>304940.5</v>
          </cell>
          <cell r="L15">
            <v>305179.5</v>
          </cell>
          <cell r="Q15">
            <v>305580.5</v>
          </cell>
          <cell r="V15">
            <v>305411.5</v>
          </cell>
          <cell r="AA15">
            <v>867011.96579341264</v>
          </cell>
          <cell r="AF15">
            <v>358929</v>
          </cell>
          <cell r="AK15">
            <v>359015.5</v>
          </cell>
          <cell r="AP15">
            <v>369230</v>
          </cell>
          <cell r="AU15">
            <v>369402.5</v>
          </cell>
          <cell r="AZ15">
            <v>359184.5</v>
          </cell>
          <cell r="BE15">
            <v>369877.5</v>
          </cell>
          <cell r="BJ15">
            <v>359760</v>
          </cell>
        </row>
        <row r="16">
          <cell r="B16" t="str">
            <v xml:space="preserve">OFICINA 450-455-460 EGAÑA Gasto Comun  </v>
          </cell>
          <cell r="G16">
            <v>224021</v>
          </cell>
          <cell r="L16">
            <v>205183</v>
          </cell>
          <cell r="Q16">
            <v>214506</v>
          </cell>
          <cell r="V16">
            <v>216110.5</v>
          </cell>
          <cell r="AA16">
            <v>223958.5</v>
          </cell>
          <cell r="AF16">
            <v>228407.5</v>
          </cell>
          <cell r="AK16">
            <v>232310</v>
          </cell>
          <cell r="AP16">
            <v>241576</v>
          </cell>
          <cell r="AU16">
            <v>248480.5</v>
          </cell>
          <cell r="AZ16">
            <v>252650</v>
          </cell>
          <cell r="BE16">
            <v>249075.5</v>
          </cell>
          <cell r="BJ16">
            <v>249075.5</v>
          </cell>
        </row>
        <row r="17">
          <cell r="B17" t="str">
            <v xml:space="preserve">OFICINA 450-455-460 EGAÑA - AGUAS ANDINAS </v>
          </cell>
          <cell r="G17">
            <v>2960</v>
          </cell>
          <cell r="L17">
            <v>3605</v>
          </cell>
          <cell r="Q17">
            <v>3665</v>
          </cell>
          <cell r="V17">
            <v>1810</v>
          </cell>
          <cell r="AA17">
            <v>3090</v>
          </cell>
          <cell r="AF17">
            <v>2475</v>
          </cell>
          <cell r="AK17">
            <v>3740</v>
          </cell>
          <cell r="AP17">
            <v>2474</v>
          </cell>
          <cell r="AU17">
            <v>3635</v>
          </cell>
          <cell r="AZ17">
            <v>2615</v>
          </cell>
          <cell r="BE17">
            <v>3150</v>
          </cell>
          <cell r="BJ17">
            <v>5090.5</v>
          </cell>
        </row>
        <row r="18">
          <cell r="B18" t="str">
            <v xml:space="preserve">OFICINA 450-455-460 EGAÑA - ENEL </v>
          </cell>
          <cell r="G18">
            <v>0</v>
          </cell>
          <cell r="L18">
            <v>65307</v>
          </cell>
          <cell r="Q18">
            <v>22831.5</v>
          </cell>
          <cell r="V18">
            <v>28688.5</v>
          </cell>
          <cell r="AA18">
            <v>27180.5</v>
          </cell>
          <cell r="AF18">
            <v>43173</v>
          </cell>
          <cell r="AK18">
            <v>142513.5</v>
          </cell>
          <cell r="AP18">
            <v>89998</v>
          </cell>
          <cell r="AU18">
            <v>71590.5</v>
          </cell>
          <cell r="AZ18">
            <v>67317</v>
          </cell>
          <cell r="BE18">
            <v>46239</v>
          </cell>
          <cell r="BJ18">
            <v>11741</v>
          </cell>
        </row>
        <row r="19">
          <cell r="B19" t="str">
            <v>OFICINA 520-525-530 - ARRIENDO / VERISURE / ENTEL INTERNET / ENTEL TELEFONIA</v>
          </cell>
          <cell r="G19">
            <v>3241786</v>
          </cell>
          <cell r="L19">
            <v>3255357</v>
          </cell>
          <cell r="Q19">
            <v>3277365</v>
          </cell>
          <cell r="V19">
            <v>3280847</v>
          </cell>
          <cell r="AA19">
            <v>3308238</v>
          </cell>
          <cell r="AF19">
            <v>3325364</v>
          </cell>
          <cell r="AK19">
            <v>3378694</v>
          </cell>
          <cell r="AP19">
            <v>4612098</v>
          </cell>
          <cell r="AU19">
            <v>3328613</v>
          </cell>
          <cell r="AZ19">
            <v>3341394</v>
          </cell>
          <cell r="BE19">
            <v>3344310</v>
          </cell>
          <cell r="BJ19">
            <v>3368569</v>
          </cell>
        </row>
        <row r="20">
          <cell r="B20" t="str">
            <v xml:space="preserve">OFICINA 520-525-530 EGAÑA Gasto Comun  </v>
          </cell>
          <cell r="G20">
            <v>456079</v>
          </cell>
          <cell r="L20">
            <v>417666</v>
          </cell>
          <cell r="Q20">
            <v>436645</v>
          </cell>
          <cell r="V20">
            <v>439919</v>
          </cell>
          <cell r="AA20">
            <v>455897</v>
          </cell>
          <cell r="AF20">
            <v>464957</v>
          </cell>
          <cell r="AK20">
            <v>472901</v>
          </cell>
          <cell r="AP20">
            <v>491767</v>
          </cell>
          <cell r="AU20">
            <v>505824</v>
          </cell>
          <cell r="AZ20">
            <v>514312</v>
          </cell>
          <cell r="BE20">
            <v>507034</v>
          </cell>
          <cell r="BJ20">
            <v>507034</v>
          </cell>
        </row>
        <row r="21">
          <cell r="B21" t="str">
            <v xml:space="preserve">OFICINA 520-525-530 EGAÑA AGUAS ANDINAS </v>
          </cell>
          <cell r="G21">
            <v>15300</v>
          </cell>
          <cell r="L21">
            <v>15520</v>
          </cell>
          <cell r="Q21">
            <v>15850</v>
          </cell>
          <cell r="V21">
            <v>18330</v>
          </cell>
          <cell r="AA21">
            <v>13620</v>
          </cell>
          <cell r="AF21">
            <v>17250</v>
          </cell>
          <cell r="AK21">
            <v>16220</v>
          </cell>
          <cell r="AP21">
            <v>14795</v>
          </cell>
          <cell r="AU21">
            <v>13250</v>
          </cell>
          <cell r="AZ21">
            <v>14860</v>
          </cell>
          <cell r="BE21">
            <v>17948</v>
          </cell>
          <cell r="BJ21">
            <v>22948</v>
          </cell>
        </row>
        <row r="22">
          <cell r="B22" t="str">
            <v xml:space="preserve">OFICINA 520-525-530 EGAÑA - ENEL </v>
          </cell>
          <cell r="G22">
            <v>96165</v>
          </cell>
          <cell r="L22">
            <v>82818</v>
          </cell>
          <cell r="Q22">
            <v>83103</v>
          </cell>
          <cell r="V22">
            <v>83060</v>
          </cell>
          <cell r="AA22">
            <v>78596</v>
          </cell>
          <cell r="AF22">
            <v>136949</v>
          </cell>
          <cell r="AK22">
            <v>278918</v>
          </cell>
          <cell r="AP22">
            <v>196664</v>
          </cell>
          <cell r="AU22">
            <v>179572</v>
          </cell>
          <cell r="AZ22">
            <v>129559</v>
          </cell>
          <cell r="BE22">
            <v>84389</v>
          </cell>
          <cell r="BJ22">
            <v>116276</v>
          </cell>
        </row>
        <row r="23">
          <cell r="B23" t="str">
            <v>OFICINA 510 EGAÑA - ARRIENDO / GASTO COMUN / VERISURE</v>
          </cell>
          <cell r="G23">
            <v>1213502</v>
          </cell>
          <cell r="L23">
            <v>1208313</v>
          </cell>
          <cell r="Q23">
            <v>1220132</v>
          </cell>
          <cell r="V23">
            <v>1222501</v>
          </cell>
          <cell r="AA23">
            <v>1236167</v>
          </cell>
          <cell r="AF23">
            <v>1243490</v>
          </cell>
          <cell r="AK23">
            <v>1195763</v>
          </cell>
          <cell r="AP23">
            <v>1250575</v>
          </cell>
          <cell r="AU23">
            <v>1257087</v>
          </cell>
          <cell r="AZ23">
            <v>1261298</v>
          </cell>
          <cell r="BE23">
            <v>1213815</v>
          </cell>
          <cell r="BJ23">
            <v>1270924</v>
          </cell>
        </row>
        <row r="24">
          <cell r="B24" t="str">
            <v xml:space="preserve">OFICINA 510 EGAÑA - AGUAS ANDINAS - ENEL </v>
          </cell>
          <cell r="G24">
            <v>18131</v>
          </cell>
          <cell r="L24">
            <v>16640</v>
          </cell>
          <cell r="Q24">
            <v>17066</v>
          </cell>
          <cell r="V24">
            <v>23691</v>
          </cell>
          <cell r="AA24">
            <v>24569</v>
          </cell>
          <cell r="AF24">
            <v>20601</v>
          </cell>
          <cell r="AK24">
            <v>18347</v>
          </cell>
          <cell r="AP24">
            <v>18642</v>
          </cell>
          <cell r="AU24">
            <v>20176</v>
          </cell>
          <cell r="AZ24">
            <v>16100</v>
          </cell>
          <cell r="BE24">
            <v>19222</v>
          </cell>
          <cell r="BJ24">
            <v>20823</v>
          </cell>
        </row>
        <row r="25">
          <cell r="B25" t="str">
            <v>ESTACIONJAMIENTO STREET CENTER</v>
          </cell>
          <cell r="G25">
            <v>297500</v>
          </cell>
          <cell r="L25">
            <v>297500</v>
          </cell>
          <cell r="Q25">
            <v>297500</v>
          </cell>
          <cell r="V25">
            <v>297500</v>
          </cell>
          <cell r="AA25">
            <v>297500</v>
          </cell>
          <cell r="AF25">
            <v>297500</v>
          </cell>
          <cell r="AK25">
            <v>357000</v>
          </cell>
          <cell r="AP25">
            <v>1017000</v>
          </cell>
          <cell r="AU25">
            <v>357000</v>
          </cell>
          <cell r="AZ25">
            <v>357000</v>
          </cell>
          <cell r="BE25">
            <v>357000</v>
          </cell>
          <cell r="BJ25">
            <v>357000</v>
          </cell>
        </row>
        <row r="26">
          <cell r="B26" t="str">
            <v>MARKETING. Por Rendiciones</v>
          </cell>
          <cell r="G26">
            <v>0</v>
          </cell>
          <cell r="L26">
            <v>0</v>
          </cell>
          <cell r="Q26">
            <v>1622690</v>
          </cell>
          <cell r="V26">
            <v>4161177</v>
          </cell>
          <cell r="AA26">
            <v>0</v>
          </cell>
          <cell r="AF26">
            <v>0</v>
          </cell>
          <cell r="AK26">
            <v>4510143</v>
          </cell>
          <cell r="AP26">
            <v>430080</v>
          </cell>
          <cell r="AU26">
            <v>0</v>
          </cell>
          <cell r="AZ26">
            <v>180000</v>
          </cell>
          <cell r="BE26">
            <v>0</v>
          </cell>
          <cell r="BJ26">
            <v>0</v>
          </cell>
        </row>
        <row r="27">
          <cell r="B27" t="str">
            <v xml:space="preserve">JORGE LOPEZ KINESIOLOGO / BRUXISMO Y DOLOR </v>
          </cell>
          <cell r="G27">
            <v>480000</v>
          </cell>
          <cell r="L27">
            <v>360000</v>
          </cell>
          <cell r="Q27">
            <v>480000</v>
          </cell>
          <cell r="V27">
            <v>0</v>
          </cell>
          <cell r="AA27">
            <v>420000</v>
          </cell>
          <cell r="AF27">
            <v>480000</v>
          </cell>
          <cell r="AK27">
            <v>480000</v>
          </cell>
          <cell r="AP27">
            <v>3990000</v>
          </cell>
          <cell r="AU27">
            <v>300000</v>
          </cell>
          <cell r="AZ27">
            <v>340000</v>
          </cell>
          <cell r="BE27">
            <v>240000</v>
          </cell>
          <cell r="BJ27">
            <v>240000</v>
          </cell>
        </row>
        <row r="28">
          <cell r="B28" t="str">
            <v>POLIZA CONTRA INCENDIOS</v>
          </cell>
          <cell r="G28">
            <v>314498</v>
          </cell>
          <cell r="L28">
            <v>192354</v>
          </cell>
          <cell r="Q28">
            <v>193693</v>
          </cell>
          <cell r="V28">
            <v>193849</v>
          </cell>
          <cell r="AA28">
            <v>195677</v>
          </cell>
          <cell r="AF28">
            <v>196417</v>
          </cell>
          <cell r="AK28">
            <v>196688</v>
          </cell>
          <cell r="AP28">
            <v>0</v>
          </cell>
          <cell r="AU28">
            <v>0</v>
          </cell>
          <cell r="AZ28">
            <v>197296</v>
          </cell>
          <cell r="BE28">
            <v>198583</v>
          </cell>
          <cell r="BJ28">
            <v>199300</v>
          </cell>
        </row>
        <row r="29">
          <cell r="B29" t="str">
            <v>GASTOS REMODELACION OFICINAS</v>
          </cell>
          <cell r="G29">
            <v>0</v>
          </cell>
          <cell r="L29">
            <v>0</v>
          </cell>
          <cell r="Q29">
            <v>0</v>
          </cell>
          <cell r="V29">
            <v>0</v>
          </cell>
          <cell r="AA29">
            <v>0</v>
          </cell>
          <cell r="AF29">
            <v>0</v>
          </cell>
          <cell r="AK29">
            <v>0</v>
          </cell>
          <cell r="AP29">
            <v>0</v>
          </cell>
          <cell r="AU29">
            <v>0</v>
          </cell>
          <cell r="AZ29">
            <v>0</v>
          </cell>
          <cell r="BE29">
            <v>0</v>
          </cell>
          <cell r="BJ29">
            <v>0</v>
          </cell>
        </row>
        <row r="30">
          <cell r="B30" t="str">
            <v xml:space="preserve">Gastos de OFICINA de rendiciones </v>
          </cell>
          <cell r="G30">
            <v>284892</v>
          </cell>
          <cell r="L30">
            <v>427103</v>
          </cell>
          <cell r="Q30">
            <v>1143587</v>
          </cell>
          <cell r="V30">
            <v>1389788</v>
          </cell>
          <cell r="AA30">
            <v>419287</v>
          </cell>
          <cell r="AF30">
            <v>1979452</v>
          </cell>
          <cell r="AK30">
            <v>554667</v>
          </cell>
          <cell r="AP30">
            <v>826890.28</v>
          </cell>
          <cell r="AU30">
            <v>956499</v>
          </cell>
          <cell r="AZ30">
            <v>1924381</v>
          </cell>
          <cell r="BE30">
            <v>722300</v>
          </cell>
          <cell r="BJ30">
            <v>1605403.05</v>
          </cell>
        </row>
        <row r="31">
          <cell r="B31" t="str">
            <v>ASB Contadores / W &amp; A ASESORIAS / KRESTON AUDITORES</v>
          </cell>
          <cell r="G31">
            <v>2876438</v>
          </cell>
          <cell r="L31">
            <v>10090517</v>
          </cell>
          <cell r="Q31">
            <v>13541392</v>
          </cell>
          <cell r="V31">
            <v>3058386</v>
          </cell>
          <cell r="AA31">
            <v>10408611</v>
          </cell>
          <cell r="AF31">
            <v>10487407</v>
          </cell>
          <cell r="AK31">
            <v>10488024</v>
          </cell>
          <cell r="AP31">
            <v>3123403</v>
          </cell>
          <cell r="AU31">
            <v>3124075</v>
          </cell>
          <cell r="AZ31">
            <v>3125981</v>
          </cell>
          <cell r="BE31">
            <v>3127739</v>
          </cell>
          <cell r="BJ31">
            <v>2345394</v>
          </cell>
        </row>
        <row r="32">
          <cell r="B32" t="str">
            <v>Autopista Central</v>
          </cell>
          <cell r="G32">
            <v>275093</v>
          </cell>
          <cell r="L32">
            <v>245023</v>
          </cell>
          <cell r="Q32">
            <v>182898</v>
          </cell>
          <cell r="V32">
            <v>251948</v>
          </cell>
          <cell r="AA32">
            <v>213415</v>
          </cell>
          <cell r="AF32">
            <v>269392</v>
          </cell>
          <cell r="AK32">
            <v>226822</v>
          </cell>
          <cell r="AP32">
            <v>91758</v>
          </cell>
          <cell r="AU32">
            <v>122224.15</v>
          </cell>
          <cell r="AZ32">
            <v>19581</v>
          </cell>
          <cell r="BE32">
            <v>33089</v>
          </cell>
          <cell r="BJ32">
            <v>91754.44</v>
          </cell>
        </row>
        <row r="33">
          <cell r="B33" t="str">
            <v xml:space="preserve">Vespucio Norte </v>
          </cell>
          <cell r="G33">
            <v>185557</v>
          </cell>
          <cell r="L33">
            <v>211090</v>
          </cell>
          <cell r="Q33">
            <v>192281</v>
          </cell>
          <cell r="V33">
            <v>251712</v>
          </cell>
          <cell r="AA33">
            <v>217861</v>
          </cell>
          <cell r="AF33">
            <v>208211</v>
          </cell>
          <cell r="AK33">
            <v>183999</v>
          </cell>
          <cell r="AP33">
            <v>21330</v>
          </cell>
          <cell r="AU33">
            <v>8631.9699999999993</v>
          </cell>
          <cell r="AZ33">
            <v>21460</v>
          </cell>
          <cell r="BE33">
            <v>12500</v>
          </cell>
          <cell r="BJ33">
            <v>31099.47</v>
          </cell>
        </row>
        <row r="34">
          <cell r="B34" t="str">
            <v xml:space="preserve">Vespusio Sur </v>
          </cell>
          <cell r="G34">
            <v>217916</v>
          </cell>
          <cell r="L34">
            <v>185977</v>
          </cell>
          <cell r="Q34">
            <v>159569</v>
          </cell>
          <cell r="V34">
            <v>236348</v>
          </cell>
          <cell r="AA34">
            <v>246599</v>
          </cell>
          <cell r="AF34">
            <v>258803</v>
          </cell>
          <cell r="AK34">
            <v>248837</v>
          </cell>
          <cell r="AP34">
            <v>59887</v>
          </cell>
          <cell r="AU34">
            <v>88110.05</v>
          </cell>
          <cell r="AZ34">
            <v>71422</v>
          </cell>
          <cell r="BE34">
            <v>73463</v>
          </cell>
          <cell r="BJ34">
            <v>55663.85</v>
          </cell>
        </row>
        <row r="35">
          <cell r="B35" t="str">
            <v>Costanera Norte</v>
          </cell>
          <cell r="G35">
            <v>450377</v>
          </cell>
          <cell r="L35">
            <v>196987</v>
          </cell>
          <cell r="Q35">
            <v>200151</v>
          </cell>
          <cell r="V35">
            <v>204795</v>
          </cell>
          <cell r="AA35">
            <v>282693</v>
          </cell>
          <cell r="AF35">
            <v>214627</v>
          </cell>
          <cell r="AK35">
            <v>254868</v>
          </cell>
          <cell r="AP35">
            <v>112746</v>
          </cell>
          <cell r="AU35">
            <v>274539.34999999998</v>
          </cell>
          <cell r="AZ35">
            <v>131010</v>
          </cell>
          <cell r="BE35">
            <v>116448</v>
          </cell>
          <cell r="BJ35">
            <v>124530.04000000001</v>
          </cell>
        </row>
        <row r="36">
          <cell r="B36" t="str">
            <v>Ruta del Maipo</v>
          </cell>
          <cell r="G36">
            <v>47012</v>
          </cell>
          <cell r="L36">
            <v>25600</v>
          </cell>
          <cell r="Q36">
            <v>69800</v>
          </cell>
          <cell r="V36">
            <v>27668</v>
          </cell>
          <cell r="AA36">
            <v>61056</v>
          </cell>
          <cell r="AF36">
            <v>54929</v>
          </cell>
          <cell r="AK36">
            <v>69800</v>
          </cell>
          <cell r="AP36">
            <v>6200</v>
          </cell>
          <cell r="AU36">
            <v>66000</v>
          </cell>
          <cell r="AZ36">
            <v>17500</v>
          </cell>
          <cell r="BE36">
            <v>30168</v>
          </cell>
          <cell r="BJ36">
            <v>0</v>
          </cell>
        </row>
        <row r="37">
          <cell r="B37" t="str">
            <v>RUTA PASS 78</v>
          </cell>
          <cell r="G37">
            <v>61140</v>
          </cell>
          <cell r="L37">
            <v>46369</v>
          </cell>
          <cell r="Q37">
            <v>24800</v>
          </cell>
          <cell r="V37">
            <v>13500</v>
          </cell>
          <cell r="AA37">
            <v>24742</v>
          </cell>
          <cell r="AF37">
            <v>13600</v>
          </cell>
          <cell r="AK37">
            <v>11500</v>
          </cell>
          <cell r="AP37">
            <v>0</v>
          </cell>
          <cell r="AU37">
            <v>0</v>
          </cell>
          <cell r="AZ37">
            <v>1400</v>
          </cell>
          <cell r="BE37">
            <v>9000</v>
          </cell>
          <cell r="BJ37">
            <v>1600</v>
          </cell>
        </row>
        <row r="38">
          <cell r="B38" t="str">
            <v>VESPUCIO ORIENTE</v>
          </cell>
          <cell r="G38">
            <v>67611</v>
          </cell>
          <cell r="L38">
            <v>134522</v>
          </cell>
          <cell r="Q38">
            <v>58493</v>
          </cell>
          <cell r="V38">
            <v>80196</v>
          </cell>
          <cell r="AA38">
            <v>80389</v>
          </cell>
          <cell r="AF38">
            <v>77680</v>
          </cell>
          <cell r="AK38">
            <v>65731</v>
          </cell>
          <cell r="AP38">
            <v>43858</v>
          </cell>
          <cell r="AU38">
            <v>59142</v>
          </cell>
          <cell r="AZ38">
            <v>19836</v>
          </cell>
          <cell r="BE38">
            <v>32687</v>
          </cell>
          <cell r="BJ38">
            <v>45351</v>
          </cell>
        </row>
        <row r="39">
          <cell r="B39" t="str">
            <v>GLOBALBVIA / AUTOPISTA DEL ACONCAGUA</v>
          </cell>
          <cell r="G39">
            <v>62407</v>
          </cell>
          <cell r="L39">
            <v>37192</v>
          </cell>
          <cell r="Q39">
            <v>41677</v>
          </cell>
          <cell r="V39">
            <v>43316</v>
          </cell>
          <cell r="AA39">
            <v>52974</v>
          </cell>
          <cell r="AF39">
            <v>42934</v>
          </cell>
          <cell r="AK39">
            <v>65649</v>
          </cell>
          <cell r="AP39">
            <v>0</v>
          </cell>
          <cell r="AU39">
            <v>9290</v>
          </cell>
          <cell r="AZ39">
            <v>3450</v>
          </cell>
          <cell r="BE39">
            <v>0</v>
          </cell>
          <cell r="BJ39">
            <v>3410</v>
          </cell>
        </row>
        <row r="40">
          <cell r="B40" t="str">
            <v>RUTA 5 TALCA-CHILLAN</v>
          </cell>
          <cell r="G40">
            <v>0</v>
          </cell>
          <cell r="L40">
            <v>16800</v>
          </cell>
          <cell r="Q40">
            <v>23626</v>
          </cell>
          <cell r="V40">
            <v>0</v>
          </cell>
          <cell r="AA40">
            <v>20800</v>
          </cell>
          <cell r="AF40">
            <v>0</v>
          </cell>
          <cell r="AK40">
            <v>0</v>
          </cell>
          <cell r="AP40">
            <v>22400</v>
          </cell>
          <cell r="AU40">
            <v>16800</v>
          </cell>
          <cell r="AZ40">
            <v>5600</v>
          </cell>
          <cell r="BE40">
            <v>11200</v>
          </cell>
          <cell r="BJ40">
            <v>0</v>
          </cell>
        </row>
        <row r="41">
          <cell r="B41" t="str">
            <v>CHILEXPRESS</v>
          </cell>
          <cell r="G41">
            <v>2467196</v>
          </cell>
          <cell r="L41">
            <v>2036650</v>
          </cell>
          <cell r="Q41">
            <v>1604125</v>
          </cell>
          <cell r="V41">
            <v>1927155</v>
          </cell>
          <cell r="AA41">
            <v>2091559</v>
          </cell>
          <cell r="AF41">
            <v>2611777</v>
          </cell>
          <cell r="AK41">
            <v>1955798</v>
          </cell>
          <cell r="AP41">
            <v>2020668</v>
          </cell>
          <cell r="AU41">
            <v>2147835</v>
          </cell>
          <cell r="AZ41">
            <v>2274248</v>
          </cell>
          <cell r="BE41">
            <v>2164142</v>
          </cell>
          <cell r="BJ41">
            <v>2356586</v>
          </cell>
        </row>
        <row r="42">
          <cell r="B42" t="str">
            <v>NOTARIA</v>
          </cell>
          <cell r="G42">
            <v>556000</v>
          </cell>
          <cell r="L42">
            <v>80000</v>
          </cell>
          <cell r="Q42">
            <v>20000</v>
          </cell>
          <cell r="V42">
            <v>520000</v>
          </cell>
          <cell r="AA42">
            <v>30000</v>
          </cell>
          <cell r="AF42">
            <v>10000</v>
          </cell>
          <cell r="AK42">
            <v>20000</v>
          </cell>
          <cell r="AP42">
            <v>417000</v>
          </cell>
          <cell r="AU42">
            <v>179400</v>
          </cell>
          <cell r="AZ42">
            <v>440000</v>
          </cell>
          <cell r="BE42">
            <v>611000</v>
          </cell>
          <cell r="BJ42">
            <v>1042000</v>
          </cell>
        </row>
        <row r="43">
          <cell r="B43" t="str">
            <v>GASTOS FURGON</v>
          </cell>
          <cell r="G43">
            <v>112000</v>
          </cell>
          <cell r="L43">
            <v>250000</v>
          </cell>
          <cell r="Q43">
            <v>310000</v>
          </cell>
          <cell r="V43">
            <v>150000</v>
          </cell>
          <cell r="AA43">
            <v>100000</v>
          </cell>
          <cell r="AF43">
            <v>0</v>
          </cell>
          <cell r="AK43">
            <v>0</v>
          </cell>
          <cell r="AP43">
            <v>0</v>
          </cell>
          <cell r="AU43">
            <v>100000</v>
          </cell>
          <cell r="AZ43">
            <v>0</v>
          </cell>
          <cell r="BE43">
            <v>0</v>
          </cell>
          <cell r="BJ43">
            <v>0</v>
          </cell>
        </row>
        <row r="44">
          <cell r="B44" t="str">
            <v>CAMARA CHILENO NORTEAMERICANA DE COMERCIO / PATENTE MUNICIPAL</v>
          </cell>
          <cell r="G44">
            <v>0</v>
          </cell>
          <cell r="L44">
            <v>0</v>
          </cell>
          <cell r="Q44">
            <v>0</v>
          </cell>
          <cell r="V44">
            <v>0</v>
          </cell>
          <cell r="AA44">
            <v>0</v>
          </cell>
          <cell r="AF44">
            <v>0</v>
          </cell>
          <cell r="AK44">
            <v>0</v>
          </cell>
          <cell r="AP44">
            <v>0</v>
          </cell>
          <cell r="AU44">
            <v>0</v>
          </cell>
          <cell r="AZ44">
            <v>0</v>
          </cell>
          <cell r="BE44">
            <v>0</v>
          </cell>
          <cell r="BJ44">
            <v>805913</v>
          </cell>
        </row>
        <row r="45">
          <cell r="B45" t="str">
            <v>ASESORIAS LEGALES C</v>
          </cell>
          <cell r="G45">
            <v>0</v>
          </cell>
          <cell r="L45">
            <v>0</v>
          </cell>
          <cell r="Q45">
            <v>0</v>
          </cell>
          <cell r="V45">
            <v>0</v>
          </cell>
          <cell r="AA45">
            <v>0</v>
          </cell>
          <cell r="AF45">
            <v>0</v>
          </cell>
          <cell r="AK45">
            <v>1442152</v>
          </cell>
          <cell r="AP45">
            <v>0</v>
          </cell>
          <cell r="AU45">
            <v>0</v>
          </cell>
          <cell r="AZ45">
            <v>0</v>
          </cell>
          <cell r="BE45">
            <v>0</v>
          </cell>
          <cell r="BJ45">
            <v>0</v>
          </cell>
        </row>
        <row r="46">
          <cell r="B46" t="str">
            <v>FLETES- AYUDANTES EXTERNOS- BONIFICACIONES- TAXI</v>
          </cell>
          <cell r="G46">
            <v>0</v>
          </cell>
          <cell r="L46">
            <v>321839</v>
          </cell>
          <cell r="Q46">
            <v>0</v>
          </cell>
          <cell r="V46">
            <v>0</v>
          </cell>
          <cell r="AA46">
            <v>148000</v>
          </cell>
          <cell r="AF46">
            <v>2177234</v>
          </cell>
          <cell r="AK46">
            <v>448277</v>
          </cell>
          <cell r="AP46">
            <v>34483</v>
          </cell>
          <cell r="AU46">
            <v>0</v>
          </cell>
          <cell r="AZ46">
            <v>0</v>
          </cell>
          <cell r="BE46">
            <v>0</v>
          </cell>
          <cell r="BJ46">
            <v>30000</v>
          </cell>
        </row>
        <row r="47">
          <cell r="B47" t="str">
            <v>JOSE TOMAS CASTRO</v>
          </cell>
          <cell r="G47">
            <v>4234500</v>
          </cell>
          <cell r="L47">
            <v>4261162</v>
          </cell>
          <cell r="Q47">
            <v>4269196</v>
          </cell>
          <cell r="V47">
            <v>5727899</v>
          </cell>
          <cell r="AA47">
            <v>5764149</v>
          </cell>
          <cell r="AF47">
            <v>5774125</v>
          </cell>
          <cell r="AK47">
            <v>5769338</v>
          </cell>
          <cell r="AP47">
            <v>5780106</v>
          </cell>
          <cell r="AU47">
            <v>5791026</v>
          </cell>
          <cell r="AZ47">
            <v>5820780</v>
          </cell>
          <cell r="BE47">
            <v>5849442</v>
          </cell>
          <cell r="BJ47">
            <v>6107326</v>
          </cell>
        </row>
        <row r="48">
          <cell r="B48" t="str">
            <v>DESCUENTOS / BONIFICACIONES DOCTORES</v>
          </cell>
          <cell r="G48">
            <v>0</v>
          </cell>
          <cell r="L48">
            <v>0</v>
          </cell>
          <cell r="Q48">
            <v>0</v>
          </cell>
          <cell r="V48">
            <v>0</v>
          </cell>
          <cell r="AA48">
            <v>0</v>
          </cell>
          <cell r="AF48">
            <v>0</v>
          </cell>
          <cell r="AK48">
            <v>2180887</v>
          </cell>
          <cell r="AP48">
            <v>0</v>
          </cell>
          <cell r="AU48">
            <v>0</v>
          </cell>
          <cell r="AZ48">
            <v>0</v>
          </cell>
          <cell r="BE48">
            <v>0</v>
          </cell>
          <cell r="BJ48">
            <v>0</v>
          </cell>
        </row>
        <row r="49">
          <cell r="B49" t="str">
            <v xml:space="preserve">BARONI CONSULTORES </v>
          </cell>
          <cell r="G49">
            <v>0</v>
          </cell>
          <cell r="L49">
            <v>0</v>
          </cell>
          <cell r="Q49">
            <v>0</v>
          </cell>
          <cell r="V49">
            <v>0</v>
          </cell>
          <cell r="AA49">
            <v>0</v>
          </cell>
          <cell r="AF49">
            <v>0</v>
          </cell>
          <cell r="AK49">
            <v>0</v>
          </cell>
          <cell r="AP49">
            <v>0</v>
          </cell>
          <cell r="AU49">
            <v>0</v>
          </cell>
          <cell r="AZ49">
            <v>0</v>
          </cell>
          <cell r="BE49">
            <v>0</v>
          </cell>
          <cell r="BJ49">
            <v>0</v>
          </cell>
        </row>
        <row r="50">
          <cell r="B50" t="str">
            <v>POLIZAS DE SEGURO HDI VEHICULOS</v>
          </cell>
          <cell r="G50">
            <v>474000</v>
          </cell>
          <cell r="L50">
            <v>475172</v>
          </cell>
          <cell r="Q50">
            <v>478369</v>
          </cell>
          <cell r="V50">
            <v>478754</v>
          </cell>
          <cell r="AA50">
            <v>483267</v>
          </cell>
          <cell r="AF50">
            <v>485097</v>
          </cell>
          <cell r="AK50">
            <v>336754</v>
          </cell>
          <cell r="AP50">
            <v>0</v>
          </cell>
          <cell r="AU50">
            <v>149295</v>
          </cell>
          <cell r="AZ50">
            <v>2041766</v>
          </cell>
          <cell r="BE50">
            <v>493360</v>
          </cell>
          <cell r="BJ50">
            <v>495304</v>
          </cell>
        </row>
        <row r="51">
          <cell r="B51" t="str">
            <v xml:space="preserve">Maletas Iteros </v>
          </cell>
          <cell r="G51"/>
          <cell r="L51"/>
          <cell r="Q51"/>
          <cell r="V51"/>
          <cell r="AA51"/>
          <cell r="AF51"/>
          <cell r="AK51"/>
          <cell r="AP51">
            <v>5807394</v>
          </cell>
          <cell r="AU51">
            <v>0</v>
          </cell>
          <cell r="AZ51">
            <v>2819419</v>
          </cell>
          <cell r="BE51">
            <v>0</v>
          </cell>
          <cell r="BJ51">
            <v>0</v>
          </cell>
        </row>
        <row r="52">
          <cell r="B52" t="str">
            <v>Gastos operacionales de Rendiciones</v>
          </cell>
          <cell r="G52">
            <v>1007199</v>
          </cell>
          <cell r="L52">
            <v>1777683</v>
          </cell>
          <cell r="Q52">
            <v>3108359</v>
          </cell>
          <cell r="V52">
            <v>1228574</v>
          </cell>
          <cell r="AA52">
            <v>2251134</v>
          </cell>
          <cell r="AF52">
            <v>1328718</v>
          </cell>
          <cell r="AK52">
            <v>797337</v>
          </cell>
          <cell r="AP52">
            <v>2591441.62</v>
          </cell>
          <cell r="AU52">
            <v>1909376.3399999999</v>
          </cell>
          <cell r="AZ52">
            <v>1342243</v>
          </cell>
          <cell r="BE52">
            <v>1588924.01</v>
          </cell>
          <cell r="BJ52">
            <v>1164647</v>
          </cell>
        </row>
        <row r="53">
          <cell r="B53" t="str">
            <v>Gastos Clinica 1307</v>
          </cell>
          <cell r="G53">
            <v>0</v>
          </cell>
          <cell r="L53">
            <v>0</v>
          </cell>
          <cell r="Q53">
            <v>0</v>
          </cell>
          <cell r="V53">
            <v>71400</v>
          </cell>
          <cell r="AA53">
            <v>0</v>
          </cell>
          <cell r="AF53">
            <v>0</v>
          </cell>
          <cell r="AK53">
            <v>0</v>
          </cell>
          <cell r="AP53">
            <v>0</v>
          </cell>
          <cell r="AU53">
            <v>0</v>
          </cell>
          <cell r="AZ53">
            <v>0</v>
          </cell>
          <cell r="BE53">
            <v>0</v>
          </cell>
          <cell r="BJ53">
            <v>0</v>
          </cell>
        </row>
        <row r="54">
          <cell r="B54" t="str">
            <v>Gastos de Rendiciones</v>
          </cell>
          <cell r="G54">
            <v>0</v>
          </cell>
          <cell r="L54">
            <v>0</v>
          </cell>
          <cell r="Q54">
            <v>0</v>
          </cell>
          <cell r="V54">
            <v>0</v>
          </cell>
          <cell r="AA54">
            <v>0</v>
          </cell>
          <cell r="AF54">
            <v>0</v>
          </cell>
          <cell r="AK54">
            <v>0</v>
          </cell>
          <cell r="AP54">
            <v>0</v>
          </cell>
          <cell r="AU54">
            <v>0</v>
          </cell>
          <cell r="AZ54">
            <v>0</v>
          </cell>
          <cell r="BE54">
            <v>0</v>
          </cell>
          <cell r="BJ54">
            <v>0</v>
          </cell>
        </row>
        <row r="55">
          <cell r="B55" t="str">
            <v>BIODEFENSA</v>
          </cell>
          <cell r="G55">
            <v>0</v>
          </cell>
          <cell r="L55">
            <v>0</v>
          </cell>
          <cell r="Q55">
            <v>0</v>
          </cell>
          <cell r="V55">
            <v>0</v>
          </cell>
          <cell r="AA55">
            <v>0</v>
          </cell>
          <cell r="AF55">
            <v>0</v>
          </cell>
          <cell r="AK55">
            <v>0</v>
          </cell>
          <cell r="AP55">
            <v>0</v>
          </cell>
          <cell r="AU55">
            <v>0</v>
          </cell>
          <cell r="AZ55">
            <v>0</v>
          </cell>
          <cell r="BE55">
            <v>0</v>
          </cell>
          <cell r="BJ55">
            <v>0</v>
          </cell>
        </row>
        <row r="56">
          <cell r="B56" t="str">
            <v>MARKETING KITCHEN CLUB - FADUOR</v>
          </cell>
          <cell r="G56">
            <v>0</v>
          </cell>
          <cell r="L56">
            <v>0</v>
          </cell>
          <cell r="Q56">
            <v>0</v>
          </cell>
          <cell r="V56">
            <v>0</v>
          </cell>
          <cell r="AA56">
            <v>0</v>
          </cell>
          <cell r="AF56">
            <v>0</v>
          </cell>
          <cell r="AK56">
            <v>0</v>
          </cell>
          <cell r="AP56">
            <v>0</v>
          </cell>
          <cell r="AU56">
            <v>0</v>
          </cell>
          <cell r="AZ56">
            <v>0</v>
          </cell>
          <cell r="BE56">
            <v>0</v>
          </cell>
          <cell r="BJ56">
            <v>0</v>
          </cell>
        </row>
        <row r="57">
          <cell r="B57"/>
          <cell r="G57">
            <v>0</v>
          </cell>
          <cell r="L57">
            <v>0</v>
          </cell>
          <cell r="Q57">
            <v>0</v>
          </cell>
          <cell r="V57">
            <v>0</v>
          </cell>
          <cell r="AA57">
            <v>0</v>
          </cell>
          <cell r="AF57">
            <v>0</v>
          </cell>
          <cell r="AK57">
            <v>0</v>
          </cell>
          <cell r="AP57">
            <v>0</v>
          </cell>
          <cell r="AU57">
            <v>0</v>
          </cell>
          <cell r="AZ57">
            <v>0</v>
          </cell>
          <cell r="BE57">
            <v>0</v>
          </cell>
          <cell r="BJ57">
            <v>0</v>
          </cell>
        </row>
        <row r="58">
          <cell r="B58"/>
          <cell r="G58">
            <v>0</v>
          </cell>
          <cell r="L58">
            <v>0</v>
          </cell>
          <cell r="Q58">
            <v>0</v>
          </cell>
          <cell r="V58">
            <v>0</v>
          </cell>
          <cell r="AA58">
            <v>0</v>
          </cell>
          <cell r="AF58">
            <v>0</v>
          </cell>
          <cell r="AK58">
            <v>0</v>
          </cell>
          <cell r="AP58">
            <v>0</v>
          </cell>
          <cell r="AU58">
            <v>0</v>
          </cell>
          <cell r="AZ58">
            <v>0</v>
          </cell>
          <cell r="BE58">
            <v>0</v>
          </cell>
          <cell r="BJ58">
            <v>0</v>
          </cell>
        </row>
        <row r="59">
          <cell r="B59"/>
          <cell r="G59">
            <v>0</v>
          </cell>
          <cell r="L59">
            <v>0</v>
          </cell>
          <cell r="Q59">
            <v>0</v>
          </cell>
          <cell r="V59">
            <v>0</v>
          </cell>
          <cell r="AA59">
            <v>0</v>
          </cell>
          <cell r="AF59">
            <v>0</v>
          </cell>
          <cell r="AK59">
            <v>0</v>
          </cell>
          <cell r="AP59">
            <v>0</v>
          </cell>
          <cell r="AU59">
            <v>0</v>
          </cell>
          <cell r="AZ59">
            <v>0</v>
          </cell>
          <cell r="BE59">
            <v>0</v>
          </cell>
          <cell r="BJ59">
            <v>0</v>
          </cell>
        </row>
        <row r="60">
          <cell r="B60" t="str">
            <v>SEGUNDO FUENMAYOR / YENNY VILLANO (ASEO)</v>
          </cell>
          <cell r="G60">
            <v>0</v>
          </cell>
          <cell r="L60">
            <v>0</v>
          </cell>
          <cell r="Q60">
            <v>0</v>
          </cell>
          <cell r="V60">
            <v>0</v>
          </cell>
          <cell r="AA60">
            <v>0</v>
          </cell>
          <cell r="AF60">
            <v>0</v>
          </cell>
          <cell r="AK60">
            <v>0</v>
          </cell>
          <cell r="AP60">
            <v>0</v>
          </cell>
          <cell r="AU60">
            <v>0</v>
          </cell>
          <cell r="AZ60">
            <v>0</v>
          </cell>
          <cell r="BE60">
            <v>0</v>
          </cell>
          <cell r="BJ60">
            <v>0</v>
          </cell>
        </row>
        <row r="61">
          <cell r="B61" t="str">
            <v>RICARDO PALMA</v>
          </cell>
          <cell r="G61">
            <v>0</v>
          </cell>
          <cell r="L61">
            <v>0</v>
          </cell>
          <cell r="Q61">
            <v>0</v>
          </cell>
          <cell r="V61">
            <v>0</v>
          </cell>
          <cell r="AA61">
            <v>0</v>
          </cell>
          <cell r="AF61">
            <v>0</v>
          </cell>
          <cell r="AK61">
            <v>0</v>
          </cell>
          <cell r="AP61">
            <v>0</v>
          </cell>
          <cell r="AU61">
            <v>0</v>
          </cell>
          <cell r="AZ61">
            <v>0</v>
          </cell>
          <cell r="BE61">
            <v>0</v>
          </cell>
          <cell r="BJ61">
            <v>0</v>
          </cell>
        </row>
        <row r="62">
          <cell r="B62" t="str">
            <v xml:space="preserve">Consultorio 115 EGAÑA - Arriendo / Gasto Comun / GTD MANQUEHUE  </v>
          </cell>
          <cell r="G62">
            <v>2405332</v>
          </cell>
          <cell r="L62">
            <v>323404</v>
          </cell>
          <cell r="Q62">
            <v>40143</v>
          </cell>
          <cell r="V62">
            <v>29838</v>
          </cell>
          <cell r="AA62">
            <v>0</v>
          </cell>
          <cell r="AF62">
            <v>0</v>
          </cell>
          <cell r="AK62">
            <v>0</v>
          </cell>
          <cell r="AP62">
            <v>0</v>
          </cell>
          <cell r="AU62">
            <v>0</v>
          </cell>
          <cell r="AZ62">
            <v>0</v>
          </cell>
          <cell r="BE62">
            <v>0</v>
          </cell>
          <cell r="BJ62">
            <v>0</v>
          </cell>
        </row>
        <row r="63">
          <cell r="B63" t="str">
            <v xml:space="preserve">Consultorio 115 EGAÑA - AGUAS ANDINAS / ENEL / VERISURE </v>
          </cell>
          <cell r="G63">
            <v>64448</v>
          </cell>
          <cell r="L63">
            <v>61406</v>
          </cell>
          <cell r="Q63">
            <v>50722</v>
          </cell>
          <cell r="V63">
            <v>50800</v>
          </cell>
          <cell r="AA63">
            <v>51196</v>
          </cell>
          <cell r="AF63">
            <v>51460</v>
          </cell>
          <cell r="AK63">
            <v>0</v>
          </cell>
          <cell r="AP63">
            <v>0</v>
          </cell>
          <cell r="AU63">
            <v>0</v>
          </cell>
          <cell r="AZ63">
            <v>51692</v>
          </cell>
          <cell r="BE63">
            <v>51974</v>
          </cell>
          <cell r="BJ63">
            <v>52220</v>
          </cell>
        </row>
        <row r="64">
          <cell r="B64" t="str">
            <v xml:space="preserve">AGUA MINERAL / ENTEL CELULARES </v>
          </cell>
          <cell r="G64">
            <v>16790</v>
          </cell>
          <cell r="L64">
            <v>18470</v>
          </cell>
          <cell r="Q64">
            <v>18470</v>
          </cell>
          <cell r="V64">
            <v>18470</v>
          </cell>
          <cell r="AA64">
            <v>9235</v>
          </cell>
          <cell r="AF64">
            <v>9235</v>
          </cell>
          <cell r="AK64">
            <v>9235</v>
          </cell>
          <cell r="AP64">
            <v>9235</v>
          </cell>
          <cell r="AU64">
            <v>21275</v>
          </cell>
          <cell r="AZ64">
            <v>9235</v>
          </cell>
          <cell r="BE64">
            <v>9235</v>
          </cell>
          <cell r="BJ64">
            <v>9235</v>
          </cell>
        </row>
        <row r="65">
          <cell r="B65" t="str">
            <v>OFICINA 375 - ARRIENDO / GASTO COMUN / ENTEL INTERNET</v>
          </cell>
          <cell r="G65">
            <v>883344</v>
          </cell>
          <cell r="L65">
            <v>833217</v>
          </cell>
          <cell r="Q65">
            <v>902882</v>
          </cell>
          <cell r="V65">
            <v>905178</v>
          </cell>
          <cell r="AA65">
            <v>916557</v>
          </cell>
          <cell r="AF65">
            <v>921778</v>
          </cell>
          <cell r="AK65">
            <v>976608</v>
          </cell>
          <cell r="AP65">
            <v>930857</v>
          </cell>
          <cell r="AU65">
            <v>930713</v>
          </cell>
          <cell r="AZ65">
            <v>935988</v>
          </cell>
          <cell r="BE65">
            <v>942329</v>
          </cell>
          <cell r="BJ65">
            <v>971197</v>
          </cell>
        </row>
        <row r="66">
          <cell r="B66" t="str">
            <v>OFICINA 375 - AGUAS ANDINAS - ENEL</v>
          </cell>
          <cell r="G66">
            <v>3885</v>
          </cell>
          <cell r="L66">
            <v>3492</v>
          </cell>
          <cell r="Q66">
            <v>2178</v>
          </cell>
          <cell r="V66">
            <v>4966</v>
          </cell>
          <cell r="AA66">
            <v>7667</v>
          </cell>
          <cell r="AF66">
            <v>14083</v>
          </cell>
          <cell r="AK66">
            <v>4230</v>
          </cell>
          <cell r="AP66">
            <v>10356</v>
          </cell>
          <cell r="AU66">
            <v>5063</v>
          </cell>
          <cell r="AZ66">
            <v>5115</v>
          </cell>
          <cell r="BE66">
            <v>9604</v>
          </cell>
          <cell r="BJ66">
            <v>4861</v>
          </cell>
        </row>
        <row r="67">
          <cell r="B67" t="str">
            <v>Consultorio 1307 LA FLORIDA - Arriendo / Gasto Comun / ENEL / ENTEL</v>
          </cell>
          <cell r="G67">
            <v>367675</v>
          </cell>
          <cell r="L67">
            <v>406360</v>
          </cell>
          <cell r="Q67">
            <v>399456</v>
          </cell>
          <cell r="V67">
            <v>400259</v>
          </cell>
          <cell r="AA67">
            <v>397565</v>
          </cell>
          <cell r="AF67">
            <v>397039</v>
          </cell>
          <cell r="AK67">
            <v>391412</v>
          </cell>
          <cell r="AP67">
            <v>383571</v>
          </cell>
          <cell r="AU67">
            <v>409777</v>
          </cell>
          <cell r="AZ67">
            <v>409531</v>
          </cell>
          <cell r="BE67">
            <v>425569</v>
          </cell>
          <cell r="BJ67">
            <v>408388</v>
          </cell>
        </row>
        <row r="68">
          <cell r="B68" t="str">
            <v>MERCADO PAGO SS</v>
          </cell>
          <cell r="G68">
            <v>21595</v>
          </cell>
          <cell r="L68">
            <v>19980</v>
          </cell>
          <cell r="Q68">
            <v>0</v>
          </cell>
          <cell r="V68">
            <v>17900</v>
          </cell>
          <cell r="AA68">
            <v>23639</v>
          </cell>
          <cell r="AF68">
            <v>106640</v>
          </cell>
          <cell r="AK68">
            <v>0</v>
          </cell>
          <cell r="AP68">
            <v>0</v>
          </cell>
          <cell r="AU68">
            <v>12040</v>
          </cell>
          <cell r="AZ68">
            <v>0</v>
          </cell>
          <cell r="BE68">
            <v>12040</v>
          </cell>
          <cell r="BJ68">
            <v>107357</v>
          </cell>
        </row>
        <row r="69">
          <cell r="B69" t="str">
            <v>FERNANDO STANGE</v>
          </cell>
          <cell r="G69">
            <v>0</v>
          </cell>
          <cell r="L69">
            <v>0</v>
          </cell>
          <cell r="Q69">
            <v>0</v>
          </cell>
          <cell r="V69">
            <v>0</v>
          </cell>
          <cell r="AA69">
            <v>0</v>
          </cell>
          <cell r="AF69">
            <v>0</v>
          </cell>
          <cell r="AK69">
            <v>0</v>
          </cell>
          <cell r="AP69">
            <v>0</v>
          </cell>
          <cell r="AU69">
            <v>0</v>
          </cell>
          <cell r="AZ69">
            <v>0</v>
          </cell>
          <cell r="BE69">
            <v>0</v>
          </cell>
          <cell r="BJ69">
            <v>0</v>
          </cell>
        </row>
        <row r="70">
          <cell r="B70" t="str">
            <v xml:space="preserve">CRISTOBAL MONTERO / </v>
          </cell>
          <cell r="G70">
            <v>0</v>
          </cell>
          <cell r="L70">
            <v>0</v>
          </cell>
          <cell r="Q70">
            <v>0</v>
          </cell>
          <cell r="V70">
            <v>0</v>
          </cell>
          <cell r="AA70">
            <v>0</v>
          </cell>
          <cell r="AF70">
            <v>0</v>
          </cell>
          <cell r="AK70">
            <v>0</v>
          </cell>
          <cell r="AP70">
            <v>0</v>
          </cell>
          <cell r="AU70">
            <v>0</v>
          </cell>
          <cell r="AZ70">
            <v>0</v>
          </cell>
          <cell r="BE70">
            <v>0</v>
          </cell>
          <cell r="BJ70">
            <v>0</v>
          </cell>
        </row>
        <row r="71">
          <cell r="B71" t="str">
            <v>CALL CENTER - ANA PARRA</v>
          </cell>
          <cell r="G71">
            <v>0</v>
          </cell>
          <cell r="L71">
            <v>0</v>
          </cell>
          <cell r="Q71">
            <v>0</v>
          </cell>
          <cell r="V71">
            <v>0</v>
          </cell>
          <cell r="AA71">
            <v>0</v>
          </cell>
          <cell r="AF71">
            <v>0</v>
          </cell>
          <cell r="AK71">
            <v>0</v>
          </cell>
          <cell r="AP71">
            <v>0</v>
          </cell>
          <cell r="AU71">
            <v>0</v>
          </cell>
          <cell r="AZ71">
            <v>0</v>
          </cell>
          <cell r="BE71">
            <v>0</v>
          </cell>
          <cell r="BJ71">
            <v>0</v>
          </cell>
        </row>
        <row r="72">
          <cell r="B72" t="str">
            <v>ALEX GOMEZ</v>
          </cell>
          <cell r="G72">
            <v>0</v>
          </cell>
          <cell r="L72">
            <v>0</v>
          </cell>
          <cell r="Q72">
            <v>0</v>
          </cell>
          <cell r="V72">
            <v>0</v>
          </cell>
          <cell r="AA72">
            <v>0</v>
          </cell>
          <cell r="AF72">
            <v>0</v>
          </cell>
          <cell r="AK72">
            <v>0</v>
          </cell>
          <cell r="AP72">
            <v>0</v>
          </cell>
          <cell r="AU72">
            <v>0</v>
          </cell>
          <cell r="AZ72">
            <v>0</v>
          </cell>
          <cell r="BE72">
            <v>0</v>
          </cell>
          <cell r="BJ72">
            <v>0</v>
          </cell>
        </row>
        <row r="73">
          <cell r="B73" t="str">
            <v>NATALIE ARENAS DENTISTA</v>
          </cell>
          <cell r="G73">
            <v>0</v>
          </cell>
          <cell r="L73">
            <v>0</v>
          </cell>
          <cell r="Q73">
            <v>0</v>
          </cell>
          <cell r="V73">
            <v>0</v>
          </cell>
          <cell r="AA73">
            <v>0</v>
          </cell>
          <cell r="AF73">
            <v>0</v>
          </cell>
          <cell r="AK73">
            <v>0</v>
          </cell>
          <cell r="AP73">
            <v>0</v>
          </cell>
          <cell r="AU73">
            <v>0</v>
          </cell>
          <cell r="AZ73">
            <v>0</v>
          </cell>
          <cell r="BE73">
            <v>0</v>
          </cell>
          <cell r="BJ73">
            <v>0</v>
          </cell>
        </row>
        <row r="74">
          <cell r="B74" t="str">
            <v>JESSICA MOROCHO</v>
          </cell>
          <cell r="G74">
            <v>1000000</v>
          </cell>
          <cell r="L74">
            <v>0</v>
          </cell>
          <cell r="Q74">
            <v>0</v>
          </cell>
          <cell r="V74">
            <v>0</v>
          </cell>
          <cell r="AA74">
            <v>0</v>
          </cell>
          <cell r="AF74">
            <v>0</v>
          </cell>
          <cell r="AK74">
            <v>0</v>
          </cell>
          <cell r="AP74">
            <v>0</v>
          </cell>
          <cell r="AU74">
            <v>0</v>
          </cell>
          <cell r="AZ74">
            <v>0</v>
          </cell>
          <cell r="BE74">
            <v>0</v>
          </cell>
          <cell r="BJ74">
            <v>0</v>
          </cell>
        </row>
        <row r="75">
          <cell r="B75" t="str">
            <v>SEBASTIAN URETA</v>
          </cell>
          <cell r="G75">
            <v>1956016</v>
          </cell>
          <cell r="L75">
            <v>0</v>
          </cell>
          <cell r="Q75">
            <v>0</v>
          </cell>
          <cell r="V75">
            <v>0</v>
          </cell>
          <cell r="AA75">
            <v>0</v>
          </cell>
          <cell r="AF75">
            <v>0</v>
          </cell>
          <cell r="AK75">
            <v>0</v>
          </cell>
          <cell r="AP75">
            <v>0</v>
          </cell>
          <cell r="AU75">
            <v>0</v>
          </cell>
          <cell r="AZ75">
            <v>0</v>
          </cell>
          <cell r="BE75">
            <v>0</v>
          </cell>
          <cell r="BJ75">
            <v>0</v>
          </cell>
        </row>
        <row r="76">
          <cell r="B76" t="str">
            <v>SEGURO COMPLEMENTARIO CONSORCIO</v>
          </cell>
          <cell r="G76">
            <v>0</v>
          </cell>
          <cell r="L76">
            <v>0</v>
          </cell>
          <cell r="Q76">
            <v>0</v>
          </cell>
          <cell r="V76">
            <v>0</v>
          </cell>
          <cell r="AA76">
            <v>0</v>
          </cell>
          <cell r="AF76">
            <v>0</v>
          </cell>
          <cell r="AK76">
            <v>0</v>
          </cell>
          <cell r="AP76">
            <v>0</v>
          </cell>
          <cell r="AU76">
            <v>0</v>
          </cell>
          <cell r="AZ76">
            <v>0</v>
          </cell>
          <cell r="BE76">
            <v>0</v>
          </cell>
          <cell r="BJ76">
            <v>0</v>
          </cell>
        </row>
        <row r="77">
          <cell r="B77" t="str">
            <v>IMPOSICIONES DE TRABAJADORES</v>
          </cell>
          <cell r="G77">
            <v>0</v>
          </cell>
          <cell r="L77">
            <v>0</v>
          </cell>
          <cell r="Q77">
            <v>0</v>
          </cell>
          <cell r="V77">
            <v>0</v>
          </cell>
          <cell r="AA77">
            <v>0</v>
          </cell>
          <cell r="AF77">
            <v>0</v>
          </cell>
          <cell r="AK77">
            <v>0</v>
          </cell>
          <cell r="AP77">
            <v>0</v>
          </cell>
          <cell r="AU77">
            <v>0</v>
          </cell>
          <cell r="AZ77">
            <v>0</v>
          </cell>
          <cell r="BE77">
            <v>0</v>
          </cell>
          <cell r="BJ77">
            <v>0</v>
          </cell>
        </row>
        <row r="78">
          <cell r="B78" t="str">
            <v>Alojamientos</v>
          </cell>
          <cell r="G78">
            <v>0</v>
          </cell>
          <cell r="L78">
            <v>0</v>
          </cell>
          <cell r="Q78">
            <v>0</v>
          </cell>
          <cell r="V78">
            <v>0</v>
          </cell>
          <cell r="AA78">
            <v>0</v>
          </cell>
          <cell r="AF78">
            <v>0</v>
          </cell>
          <cell r="AK78">
            <v>0</v>
          </cell>
          <cell r="AP78">
            <v>0</v>
          </cell>
          <cell r="AU78">
            <v>0</v>
          </cell>
          <cell r="AZ78">
            <v>0</v>
          </cell>
          <cell r="BE78">
            <v>0</v>
          </cell>
          <cell r="BJ78">
            <v>0</v>
          </cell>
        </row>
        <row r="79">
          <cell r="B79" t="str">
            <v>Pasajes</v>
          </cell>
          <cell r="G79">
            <v>0</v>
          </cell>
          <cell r="L79">
            <v>557138</v>
          </cell>
          <cell r="Q79">
            <v>0</v>
          </cell>
          <cell r="V79">
            <v>2505540</v>
          </cell>
          <cell r="AA79">
            <v>557956</v>
          </cell>
          <cell r="AF79">
            <v>0</v>
          </cell>
          <cell r="AK79">
            <v>0</v>
          </cell>
          <cell r="AP79">
            <v>404759</v>
          </cell>
          <cell r="AU79">
            <v>977243</v>
          </cell>
          <cell r="AZ79">
            <v>0</v>
          </cell>
          <cell r="BE79">
            <v>0</v>
          </cell>
          <cell r="BJ79">
            <v>0</v>
          </cell>
        </row>
        <row r="80">
          <cell r="B80"/>
          <cell r="G80">
            <v>0</v>
          </cell>
          <cell r="L80">
            <v>0</v>
          </cell>
          <cell r="Q80">
            <v>0</v>
          </cell>
          <cell r="V80">
            <v>0</v>
          </cell>
          <cell r="AA80">
            <v>0</v>
          </cell>
          <cell r="AF80">
            <v>0</v>
          </cell>
          <cell r="AK80">
            <v>0</v>
          </cell>
          <cell r="AP80">
            <v>0</v>
          </cell>
          <cell r="AU80">
            <v>0</v>
          </cell>
          <cell r="AZ80">
            <v>0</v>
          </cell>
          <cell r="BE80">
            <v>0</v>
          </cell>
          <cell r="BJ80">
            <v>0</v>
          </cell>
        </row>
        <row r="81">
          <cell r="B81" t="str">
            <v xml:space="preserve">Gastos de viajes de rendiciones </v>
          </cell>
          <cell r="G81">
            <v>0</v>
          </cell>
          <cell r="L81">
            <v>0</v>
          </cell>
          <cell r="Q81">
            <v>0</v>
          </cell>
          <cell r="V81">
            <v>0</v>
          </cell>
          <cell r="AA81">
            <v>785739</v>
          </cell>
          <cell r="AF81">
            <v>0</v>
          </cell>
          <cell r="AK81">
            <v>0</v>
          </cell>
          <cell r="AP81">
            <v>65981</v>
          </cell>
          <cell r="AU81">
            <v>0</v>
          </cell>
          <cell r="AZ81">
            <v>271431</v>
          </cell>
          <cell r="BE81">
            <v>277171</v>
          </cell>
          <cell r="BJ81">
            <v>0</v>
          </cell>
        </row>
        <row r="82">
          <cell r="B82" t="str">
            <v xml:space="preserve">TGR IMPUESTOS Invisalign </v>
          </cell>
          <cell r="G82">
            <v>0</v>
          </cell>
          <cell r="L82">
            <v>0</v>
          </cell>
          <cell r="Q82">
            <v>0</v>
          </cell>
          <cell r="V82">
            <v>0</v>
          </cell>
          <cell r="AA82">
            <v>0</v>
          </cell>
          <cell r="AF82">
            <v>0</v>
          </cell>
          <cell r="AK82">
            <v>0</v>
          </cell>
          <cell r="AP82">
            <v>0</v>
          </cell>
          <cell r="AU82">
            <v>0</v>
          </cell>
          <cell r="AZ82">
            <v>0</v>
          </cell>
          <cell r="BE82">
            <v>0</v>
          </cell>
          <cell r="BJ82">
            <v>0</v>
          </cell>
        </row>
        <row r="83">
          <cell r="B83" t="str">
            <v xml:space="preserve">FLETE INTERNO Invisalign </v>
          </cell>
          <cell r="G83">
            <v>0</v>
          </cell>
          <cell r="L83">
            <v>0</v>
          </cell>
          <cell r="Q83">
            <v>0</v>
          </cell>
          <cell r="V83">
            <v>124950</v>
          </cell>
          <cell r="AA83">
            <v>0</v>
          </cell>
          <cell r="AF83">
            <v>0</v>
          </cell>
          <cell r="AK83">
            <v>0</v>
          </cell>
          <cell r="AP83">
            <v>404600</v>
          </cell>
          <cell r="AU83">
            <v>190400</v>
          </cell>
          <cell r="AZ83">
            <v>0</v>
          </cell>
          <cell r="BE83">
            <v>0</v>
          </cell>
          <cell r="BJ83">
            <v>0</v>
          </cell>
        </row>
        <row r="84">
          <cell r="B84" t="str">
            <v xml:space="preserve">UPS / ALMACENAJE Invisalign </v>
          </cell>
          <cell r="G84">
            <v>1754301</v>
          </cell>
          <cell r="L84">
            <v>1652469</v>
          </cell>
          <cell r="Q84">
            <v>1813994</v>
          </cell>
          <cell r="V84">
            <v>1676574</v>
          </cell>
          <cell r="AA84">
            <v>1717382</v>
          </cell>
          <cell r="AF84">
            <v>1711419</v>
          </cell>
          <cell r="AK84">
            <v>1709439</v>
          </cell>
          <cell r="AP84">
            <v>1478329</v>
          </cell>
          <cell r="AU84">
            <v>1735716</v>
          </cell>
          <cell r="AZ84">
            <v>2524551</v>
          </cell>
          <cell r="BE84">
            <v>1676488</v>
          </cell>
          <cell r="BJ84">
            <v>1570052</v>
          </cell>
        </row>
        <row r="85">
          <cell r="B85" t="str">
            <v xml:space="preserve">TGR ARANCEL Y SEGURO Invisalign </v>
          </cell>
          <cell r="G85">
            <v>131701</v>
          </cell>
          <cell r="L85">
            <v>127908</v>
          </cell>
          <cell r="Q85">
            <v>126280</v>
          </cell>
          <cell r="V85">
            <v>76818</v>
          </cell>
          <cell r="AA85">
            <v>19583</v>
          </cell>
          <cell r="AF85">
            <v>0</v>
          </cell>
          <cell r="AK85">
            <v>29080</v>
          </cell>
          <cell r="AP85">
            <v>0</v>
          </cell>
          <cell r="AU85">
            <v>0</v>
          </cell>
          <cell r="AZ85">
            <v>0</v>
          </cell>
          <cell r="BE85">
            <v>0</v>
          </cell>
          <cell r="BJ85">
            <v>2525323.4468</v>
          </cell>
        </row>
        <row r="86">
          <cell r="B86" t="str">
            <v xml:space="preserve">Instituto Salud Publica (CDA) Invisalign </v>
          </cell>
          <cell r="G86">
            <v>785849</v>
          </cell>
          <cell r="L86">
            <v>876918</v>
          </cell>
          <cell r="Q86">
            <v>876918</v>
          </cell>
          <cell r="V86">
            <v>876918</v>
          </cell>
          <cell r="AA86">
            <v>814281</v>
          </cell>
          <cell r="AF86">
            <v>814281</v>
          </cell>
          <cell r="AK86">
            <v>751644</v>
          </cell>
          <cell r="AP86">
            <v>876918</v>
          </cell>
          <cell r="AU86">
            <v>814281</v>
          </cell>
          <cell r="AZ86">
            <v>1064829</v>
          </cell>
          <cell r="BE86">
            <v>1127466</v>
          </cell>
          <cell r="BJ86">
            <v>689007</v>
          </cell>
        </row>
        <row r="87">
          <cell r="B87" t="str">
            <v xml:space="preserve">AGENCIA DE ADUANA Invisalign </v>
          </cell>
          <cell r="G87">
            <v>2629900</v>
          </cell>
          <cell r="L87">
            <v>2629900</v>
          </cell>
          <cell r="Q87">
            <v>2832200</v>
          </cell>
          <cell r="V87">
            <v>2629900</v>
          </cell>
          <cell r="AA87">
            <v>2629900</v>
          </cell>
          <cell r="AF87">
            <v>2629900</v>
          </cell>
          <cell r="AK87">
            <v>2629900</v>
          </cell>
          <cell r="AP87">
            <v>2665600</v>
          </cell>
          <cell r="AU87">
            <v>2427600</v>
          </cell>
          <cell r="AZ87">
            <v>3439100</v>
          </cell>
          <cell r="BE87">
            <v>2225300</v>
          </cell>
          <cell r="BJ87">
            <v>2225300</v>
          </cell>
        </row>
        <row r="88">
          <cell r="B88" t="str">
            <v xml:space="preserve">AGENCIA DE ADUANA Itero </v>
          </cell>
          <cell r="G88">
            <v>202300</v>
          </cell>
          <cell r="L88">
            <v>0</v>
          </cell>
          <cell r="Q88">
            <v>404600</v>
          </cell>
          <cell r="V88">
            <v>404600</v>
          </cell>
          <cell r="AA88">
            <v>202300</v>
          </cell>
          <cell r="AF88">
            <v>404600</v>
          </cell>
          <cell r="AK88">
            <v>606900</v>
          </cell>
          <cell r="AP88">
            <v>606900</v>
          </cell>
          <cell r="AU88">
            <v>202300</v>
          </cell>
          <cell r="AZ88">
            <v>404600</v>
          </cell>
          <cell r="BE88">
            <v>404600</v>
          </cell>
          <cell r="BJ88">
            <v>0</v>
          </cell>
        </row>
        <row r="89">
          <cell r="B89" t="str">
            <v>FLETE INTERNO - FEDEX OCASIONAL Itero</v>
          </cell>
          <cell r="G89">
            <v>0</v>
          </cell>
          <cell r="L89">
            <v>0</v>
          </cell>
          <cell r="Q89">
            <v>0</v>
          </cell>
          <cell r="V89">
            <v>238000</v>
          </cell>
          <cell r="AA89">
            <v>0</v>
          </cell>
          <cell r="AF89">
            <v>214200</v>
          </cell>
          <cell r="AK89">
            <v>0</v>
          </cell>
          <cell r="AP89">
            <v>309400</v>
          </cell>
          <cell r="AU89">
            <v>190400</v>
          </cell>
          <cell r="AZ89">
            <v>190400</v>
          </cell>
          <cell r="BE89">
            <v>0</v>
          </cell>
          <cell r="BJ89">
            <v>0</v>
          </cell>
        </row>
        <row r="90">
          <cell r="B90" t="str">
            <v>DESCONSOLIDADO (DHL, UPS) Itero</v>
          </cell>
          <cell r="G90">
            <v>0</v>
          </cell>
          <cell r="L90">
            <v>0</v>
          </cell>
          <cell r="Q90">
            <v>347796</v>
          </cell>
          <cell r="V90">
            <v>353067</v>
          </cell>
          <cell r="AA90">
            <v>252806</v>
          </cell>
          <cell r="AF90">
            <v>491473</v>
          </cell>
          <cell r="AK90">
            <v>622546</v>
          </cell>
          <cell r="AP90">
            <v>689477</v>
          </cell>
          <cell r="AU90">
            <v>509988</v>
          </cell>
          <cell r="AZ90">
            <v>396295</v>
          </cell>
          <cell r="BE90">
            <v>505501</v>
          </cell>
          <cell r="BJ90">
            <v>0</v>
          </cell>
        </row>
        <row r="91">
          <cell r="B91" t="str">
            <v xml:space="preserve">Almacenaje (Depocargo, Aerosan, FAST AIR, UPS) Itero </v>
          </cell>
          <cell r="G91">
            <v>135599</v>
          </cell>
          <cell r="L91">
            <v>0</v>
          </cell>
          <cell r="Q91">
            <v>0</v>
          </cell>
          <cell r="V91">
            <v>350399</v>
          </cell>
          <cell r="AA91">
            <v>49347</v>
          </cell>
          <cell r="AF91">
            <v>362498</v>
          </cell>
          <cell r="AK91">
            <v>416556</v>
          </cell>
          <cell r="AP91">
            <v>735520</v>
          </cell>
          <cell r="AU91">
            <v>152120</v>
          </cell>
          <cell r="AZ91">
            <v>496474</v>
          </cell>
          <cell r="BE91">
            <v>69989</v>
          </cell>
          <cell r="BJ91">
            <v>0</v>
          </cell>
        </row>
        <row r="92">
          <cell r="B92" t="str">
            <v xml:space="preserve">TGR ARANCEL Y SEGURO Itero </v>
          </cell>
          <cell r="G92">
            <v>209735</v>
          </cell>
          <cell r="L92">
            <v>0</v>
          </cell>
          <cell r="Q92">
            <v>318372</v>
          </cell>
          <cell r="V92">
            <v>1974992</v>
          </cell>
          <cell r="AA92">
            <v>876511.34550000005</v>
          </cell>
          <cell r="AF92">
            <v>1736192</v>
          </cell>
          <cell r="AK92">
            <v>677762</v>
          </cell>
          <cell r="AP92">
            <v>1845446.7616999999</v>
          </cell>
          <cell r="AU92">
            <v>777577</v>
          </cell>
          <cell r="AZ92">
            <v>2254756</v>
          </cell>
          <cell r="BE92">
            <v>1134795.5429999998</v>
          </cell>
          <cell r="BJ92">
            <v>0</v>
          </cell>
        </row>
        <row r="93">
          <cell r="B93" t="str">
            <v xml:space="preserve">Instituto Salud Publica (CDA) Intero </v>
          </cell>
          <cell r="G93">
            <v>55529</v>
          </cell>
          <cell r="L93">
            <v>0</v>
          </cell>
          <cell r="Q93">
            <v>125274</v>
          </cell>
          <cell r="V93">
            <v>125274</v>
          </cell>
          <cell r="AA93">
            <v>62637</v>
          </cell>
          <cell r="AF93">
            <v>125274</v>
          </cell>
          <cell r="AK93">
            <v>187911</v>
          </cell>
          <cell r="AP93">
            <v>187911</v>
          </cell>
          <cell r="AU93">
            <v>62637</v>
          </cell>
          <cell r="AZ93">
            <v>125274</v>
          </cell>
          <cell r="BE93">
            <v>125274</v>
          </cell>
          <cell r="BJ93">
            <v>0</v>
          </cell>
        </row>
        <row r="94">
          <cell r="B94" t="str">
            <v>Fastmark - USA EXPRESS CS / DSV</v>
          </cell>
          <cell r="G94">
            <v>2105886</v>
          </cell>
          <cell r="L94">
            <v>256534</v>
          </cell>
          <cell r="Q94">
            <v>0</v>
          </cell>
          <cell r="V94">
            <v>81633</v>
          </cell>
          <cell r="AA94">
            <v>0</v>
          </cell>
          <cell r="AF94">
            <v>1556129</v>
          </cell>
          <cell r="AK94">
            <v>0</v>
          </cell>
          <cell r="AP94">
            <v>283968</v>
          </cell>
          <cell r="AU94">
            <v>701680</v>
          </cell>
          <cell r="AZ94">
            <v>1246648</v>
          </cell>
          <cell r="BE94">
            <v>1481578</v>
          </cell>
          <cell r="BJ94">
            <v>1559117</v>
          </cell>
        </row>
        <row r="95">
          <cell r="B95" t="str">
            <v>ALMACENAJE CS / FLETE INTERNO</v>
          </cell>
          <cell r="G95">
            <v>0</v>
          </cell>
          <cell r="L95">
            <v>0</v>
          </cell>
          <cell r="Q95">
            <v>0</v>
          </cell>
          <cell r="V95">
            <v>0</v>
          </cell>
          <cell r="AA95">
            <v>0</v>
          </cell>
          <cell r="AF95">
            <v>239428</v>
          </cell>
          <cell r="AK95">
            <v>0</v>
          </cell>
          <cell r="AP95">
            <v>0</v>
          </cell>
          <cell r="AU95">
            <v>0</v>
          </cell>
          <cell r="AZ95">
            <v>0</v>
          </cell>
          <cell r="BE95">
            <v>0</v>
          </cell>
          <cell r="BJ95">
            <v>0</v>
          </cell>
        </row>
        <row r="96">
          <cell r="B96" t="str">
            <v>AGENCIA DE ADUANA CS</v>
          </cell>
          <cell r="G96">
            <v>0</v>
          </cell>
          <cell r="L96">
            <v>0</v>
          </cell>
          <cell r="Q96">
            <v>0</v>
          </cell>
          <cell r="V96">
            <v>0</v>
          </cell>
          <cell r="AA96">
            <v>0</v>
          </cell>
          <cell r="AF96">
            <v>232050</v>
          </cell>
          <cell r="AK96">
            <v>0</v>
          </cell>
          <cell r="AP96">
            <v>0</v>
          </cell>
          <cell r="AU96">
            <v>0</v>
          </cell>
          <cell r="AZ96">
            <v>0</v>
          </cell>
          <cell r="BE96">
            <v>250548</v>
          </cell>
          <cell r="BJ96">
            <v>0</v>
          </cell>
        </row>
        <row r="97">
          <cell r="B97" t="str">
            <v>TGR</v>
          </cell>
          <cell r="G97">
            <v>0</v>
          </cell>
          <cell r="L97">
            <v>0</v>
          </cell>
          <cell r="Q97">
            <v>0</v>
          </cell>
          <cell r="V97">
            <v>0</v>
          </cell>
          <cell r="AA97">
            <v>0</v>
          </cell>
          <cell r="AF97">
            <v>606907</v>
          </cell>
          <cell r="AK97">
            <v>0</v>
          </cell>
          <cell r="AP97">
            <v>0</v>
          </cell>
          <cell r="AU97">
            <v>0</v>
          </cell>
          <cell r="AZ97">
            <v>0</v>
          </cell>
          <cell r="BE97">
            <v>1741084</v>
          </cell>
          <cell r="BJ97">
            <v>0</v>
          </cell>
        </row>
        <row r="98">
          <cell r="B98" t="str">
            <v>SUELDO CLAUDIA BLANCO / IMPOSICIONES CS</v>
          </cell>
          <cell r="G98">
            <v>4039479.0136000002</v>
          </cell>
          <cell r="L98">
            <v>4039704</v>
          </cell>
          <cell r="Q98">
            <v>3289505</v>
          </cell>
          <cell r="V98">
            <v>3263589</v>
          </cell>
          <cell r="AA98">
            <v>3390065</v>
          </cell>
          <cell r="AF98">
            <v>3452660</v>
          </cell>
          <cell r="AK98">
            <v>3440192</v>
          </cell>
          <cell r="AP98">
            <v>4261203.760400001</v>
          </cell>
          <cell r="AU98">
            <v>6272534.517</v>
          </cell>
          <cell r="AZ98">
            <v>6291267.517</v>
          </cell>
          <cell r="BE98">
            <v>6325531.7171999998</v>
          </cell>
          <cell r="BJ98">
            <v>6340726.0404000003</v>
          </cell>
        </row>
        <row r="99">
          <cell r="B99" t="str">
            <v>GASTOS CS (BANCO SECURITY - INTERNACIONAL)</v>
          </cell>
          <cell r="G99">
            <v>58569881</v>
          </cell>
          <cell r="L99">
            <v>67420824</v>
          </cell>
          <cell r="Q99">
            <v>24342789</v>
          </cell>
          <cell r="V99">
            <v>47353484</v>
          </cell>
          <cell r="AA99">
            <v>38946156</v>
          </cell>
          <cell r="AF99">
            <v>12546857</v>
          </cell>
          <cell r="AK99">
            <v>37979581</v>
          </cell>
          <cell r="AP99">
            <v>22826698</v>
          </cell>
          <cell r="AU99">
            <v>27210785</v>
          </cell>
          <cell r="AZ99">
            <v>24848543</v>
          </cell>
          <cell r="BE99">
            <v>14223027</v>
          </cell>
          <cell r="BJ99">
            <v>137958420</v>
          </cell>
        </row>
        <row r="100">
          <cell r="B100" t="str">
            <v xml:space="preserve">ENTEL CLAUDIA Y TERESA </v>
          </cell>
          <cell r="G100">
            <v>18585</v>
          </cell>
          <cell r="L100">
            <v>22337</v>
          </cell>
          <cell r="Q100">
            <v>21832</v>
          </cell>
          <cell r="V100">
            <v>21884</v>
          </cell>
          <cell r="AA100">
            <v>21832</v>
          </cell>
          <cell r="AF100">
            <v>22493</v>
          </cell>
          <cell r="AK100">
            <v>28361</v>
          </cell>
          <cell r="AP100">
            <v>23842</v>
          </cell>
          <cell r="AU100">
            <v>22084</v>
          </cell>
          <cell r="AZ100">
            <v>21924</v>
          </cell>
          <cell r="BE100">
            <v>21832</v>
          </cell>
          <cell r="BJ100">
            <v>21832</v>
          </cell>
        </row>
        <row r="101">
          <cell r="B101" t="str">
            <v>VERISURE SRA. TERESA</v>
          </cell>
          <cell r="G101">
            <v>47214</v>
          </cell>
          <cell r="L101">
            <v>47456</v>
          </cell>
          <cell r="Q101">
            <v>47763</v>
          </cell>
          <cell r="V101">
            <v>47837</v>
          </cell>
          <cell r="AA101">
            <v>48210</v>
          </cell>
          <cell r="AF101">
            <v>48458</v>
          </cell>
          <cell r="AK101">
            <v>48531</v>
          </cell>
          <cell r="AP101">
            <v>48469</v>
          </cell>
          <cell r="AU101">
            <v>48591</v>
          </cell>
          <cell r="AZ101">
            <v>48676</v>
          </cell>
          <cell r="BE101">
            <v>48942</v>
          </cell>
          <cell r="BJ101">
            <v>49174</v>
          </cell>
        </row>
        <row r="102">
          <cell r="B102" t="str">
            <v>SERVIPAG</v>
          </cell>
          <cell r="G102">
            <v>100095</v>
          </cell>
          <cell r="L102">
            <v>41301</v>
          </cell>
          <cell r="Q102">
            <v>228626</v>
          </cell>
          <cell r="V102">
            <v>136991</v>
          </cell>
          <cell r="AA102">
            <v>59200</v>
          </cell>
          <cell r="AF102">
            <v>93744</v>
          </cell>
          <cell r="AK102">
            <v>56375</v>
          </cell>
          <cell r="AP102">
            <v>130693</v>
          </cell>
          <cell r="AU102">
            <v>314897</v>
          </cell>
          <cell r="AZ102">
            <v>104016</v>
          </cell>
          <cell r="BE102">
            <v>334467</v>
          </cell>
          <cell r="BJ102">
            <v>247895</v>
          </cell>
        </row>
        <row r="103">
          <cell r="B103" t="str">
            <v>ABOGADOS CS / NOTARIA</v>
          </cell>
          <cell r="G103">
            <v>180000</v>
          </cell>
          <cell r="L103">
            <v>257632</v>
          </cell>
          <cell r="Q103">
            <v>26000</v>
          </cell>
          <cell r="V103">
            <v>0</v>
          </cell>
          <cell r="AA103">
            <v>280000</v>
          </cell>
          <cell r="AF103">
            <v>237000</v>
          </cell>
          <cell r="AK103">
            <v>534882</v>
          </cell>
          <cell r="AP103">
            <v>0</v>
          </cell>
          <cell r="AU103">
            <v>0</v>
          </cell>
          <cell r="AZ103">
            <v>407026</v>
          </cell>
          <cell r="BE103">
            <v>0</v>
          </cell>
          <cell r="BJ103">
            <v>926600</v>
          </cell>
        </row>
        <row r="104">
          <cell r="B104" t="str">
            <v>GASTOS TERRENOS NATALIO STEIN / LAS GOLONDRINAS / LOS SUEÑOS</v>
          </cell>
          <cell r="G104">
            <v>0</v>
          </cell>
          <cell r="L104">
            <v>0</v>
          </cell>
          <cell r="Q104">
            <v>1379310</v>
          </cell>
          <cell r="V104">
            <v>2631975</v>
          </cell>
          <cell r="AA104">
            <v>1111543</v>
          </cell>
          <cell r="AF104">
            <v>1200000</v>
          </cell>
          <cell r="AK104">
            <v>1111543</v>
          </cell>
          <cell r="AP104">
            <v>150091</v>
          </cell>
          <cell r="AU104">
            <v>0</v>
          </cell>
          <cell r="AZ104">
            <v>0</v>
          </cell>
          <cell r="BE104">
            <v>0</v>
          </cell>
          <cell r="BJ104">
            <v>320000</v>
          </cell>
        </row>
        <row r="105">
          <cell r="B105" t="str">
            <v xml:space="preserve">Gastos extras de rendiciones </v>
          </cell>
          <cell r="G105">
            <v>1521095</v>
          </cell>
          <cell r="L105">
            <v>6107971</v>
          </cell>
          <cell r="Q105">
            <v>1681157</v>
          </cell>
          <cell r="V105">
            <v>2773748</v>
          </cell>
          <cell r="AA105">
            <v>4031092</v>
          </cell>
          <cell r="AF105">
            <v>991569</v>
          </cell>
          <cell r="AK105">
            <v>7891815</v>
          </cell>
          <cell r="AP105">
            <v>8343605.3300000001</v>
          </cell>
          <cell r="AU105">
            <v>962410</v>
          </cell>
          <cell r="AZ105">
            <v>106376</v>
          </cell>
          <cell r="BE105">
            <v>271183.16800000001</v>
          </cell>
          <cell r="BJ105">
            <v>1225440</v>
          </cell>
        </row>
        <row r="106">
          <cell r="B106" t="str">
            <v>ENTEL PALMA</v>
          </cell>
          <cell r="G106">
            <v>24353</v>
          </cell>
          <cell r="L106">
            <v>25193</v>
          </cell>
          <cell r="Q106">
            <v>25193</v>
          </cell>
          <cell r="V106">
            <v>25193</v>
          </cell>
          <cell r="AA106">
            <v>25193</v>
          </cell>
          <cell r="AF106">
            <v>25193</v>
          </cell>
          <cell r="AK106">
            <v>25193</v>
          </cell>
          <cell r="AP106">
            <v>25193</v>
          </cell>
          <cell r="AU106">
            <v>25193</v>
          </cell>
          <cell r="AZ106">
            <v>25193</v>
          </cell>
          <cell r="BE106">
            <v>25193</v>
          </cell>
          <cell r="BJ106">
            <v>25193</v>
          </cell>
        </row>
        <row r="107">
          <cell r="B107" t="str">
            <v>SUELDO REPRESENTANTE LEGAL</v>
          </cell>
          <cell r="G107">
            <v>4500000</v>
          </cell>
          <cell r="L107">
            <v>4500000</v>
          </cell>
          <cell r="Q107">
            <v>4500000</v>
          </cell>
          <cell r="V107">
            <v>4500000</v>
          </cell>
          <cell r="AA107">
            <v>4500000</v>
          </cell>
          <cell r="AF107">
            <v>5600000</v>
          </cell>
          <cell r="AK107">
            <v>5600000</v>
          </cell>
          <cell r="AP107">
            <v>5600000</v>
          </cell>
          <cell r="AU107">
            <v>5600000</v>
          </cell>
          <cell r="AZ107">
            <v>5600000</v>
          </cell>
          <cell r="BE107">
            <v>5600000</v>
          </cell>
          <cell r="BJ107">
            <v>5600000</v>
          </cell>
        </row>
        <row r="108">
          <cell r="B108" t="str">
            <v>AGENCIA DE VIAJE CS</v>
          </cell>
          <cell r="G108">
            <v>740520</v>
          </cell>
          <cell r="L108">
            <v>15312925</v>
          </cell>
          <cell r="Q108">
            <v>3780510</v>
          </cell>
          <cell r="V108">
            <v>358775</v>
          </cell>
          <cell r="AA108">
            <v>7180565</v>
          </cell>
          <cell r="AF108">
            <v>9565768</v>
          </cell>
          <cell r="AK108">
            <v>17564001</v>
          </cell>
          <cell r="AP108">
            <v>1942663</v>
          </cell>
          <cell r="AU108">
            <v>322653</v>
          </cell>
          <cell r="AZ108">
            <v>0</v>
          </cell>
          <cell r="BE108">
            <v>11899943</v>
          </cell>
          <cell r="BJ108">
            <v>5200943</v>
          </cell>
        </row>
        <row r="109">
          <cell r="B109" t="str">
            <v>RIBBS AND BEER GASTRONOMIA</v>
          </cell>
          <cell r="G109">
            <v>3060000</v>
          </cell>
          <cell r="L109">
            <v>0</v>
          </cell>
          <cell r="Q109">
            <v>0</v>
          </cell>
          <cell r="V109">
            <v>0</v>
          </cell>
          <cell r="AA109">
            <v>0</v>
          </cell>
          <cell r="AF109">
            <v>0</v>
          </cell>
          <cell r="AK109">
            <v>0</v>
          </cell>
          <cell r="AP109">
            <v>0</v>
          </cell>
          <cell r="AU109">
            <v>0</v>
          </cell>
          <cell r="AZ109">
            <v>0</v>
          </cell>
          <cell r="BE109">
            <v>0</v>
          </cell>
          <cell r="BJ109">
            <v>0</v>
          </cell>
        </row>
        <row r="110">
          <cell r="B110" t="str">
            <v>Alexis Daniel Vogel  OP</v>
          </cell>
          <cell r="G110">
            <v>1447169.6856</v>
          </cell>
          <cell r="L110">
            <v>1620649.2435999999</v>
          </cell>
          <cell r="Q110">
            <v>1755447.0663999999</v>
          </cell>
          <cell r="V110">
            <v>1767633.0663999999</v>
          </cell>
          <cell r="AA110">
            <v>1712796.0663999999</v>
          </cell>
          <cell r="AF110">
            <v>1679792.3163999999</v>
          </cell>
          <cell r="AK110">
            <v>1581395.6524</v>
          </cell>
          <cell r="AP110">
            <v>1631048.3163999999</v>
          </cell>
          <cell r="AU110">
            <v>1820269.2748</v>
          </cell>
          <cell r="AZ110">
            <v>0</v>
          </cell>
          <cell r="BE110">
            <v>0</v>
          </cell>
          <cell r="BJ110">
            <v>0</v>
          </cell>
        </row>
        <row r="111">
          <cell r="B111" t="str">
            <v>David Alfredo Herce Bolek OP</v>
          </cell>
          <cell r="G111">
            <v>147886.70952</v>
          </cell>
          <cell r="L111">
            <v>128422.76584000001</v>
          </cell>
          <cell r="Q111">
            <v>150113.10952</v>
          </cell>
          <cell r="V111">
            <v>149370.90951999999</v>
          </cell>
          <cell r="AA111">
            <v>150113.10952</v>
          </cell>
          <cell r="AF111">
            <v>150113.10952</v>
          </cell>
          <cell r="AK111">
            <v>150273.03416000001</v>
          </cell>
          <cell r="AP111">
            <v>130769.11343999999</v>
          </cell>
          <cell r="AU111">
            <v>167554.50951999999</v>
          </cell>
          <cell r="AZ111">
            <v>129993.30952</v>
          </cell>
          <cell r="BE111">
            <v>123757.59496</v>
          </cell>
          <cell r="BJ111">
            <v>176759.25951999999</v>
          </cell>
        </row>
        <row r="112">
          <cell r="B112" t="str">
            <v>Deisy Mildred Sierra Calderon OP</v>
          </cell>
          <cell r="G112">
            <v>746248.24945800006</v>
          </cell>
          <cell r="L112">
            <v>765918.76364600018</v>
          </cell>
          <cell r="Q112">
            <v>765759.97364600014</v>
          </cell>
          <cell r="V112">
            <v>1026845.083876</v>
          </cell>
          <cell r="AA112">
            <v>764657.1536460002</v>
          </cell>
          <cell r="AF112">
            <v>1069134.0473960002</v>
          </cell>
          <cell r="AK112">
            <v>376386.94176000007</v>
          </cell>
          <cell r="AP112">
            <v>296910.09176000004</v>
          </cell>
          <cell r="AU112">
            <v>337794.86600000004</v>
          </cell>
          <cell r="AZ112">
            <v>294241.86600000004</v>
          </cell>
          <cell r="BE112">
            <v>298004.06600000005</v>
          </cell>
          <cell r="BJ112">
            <v>345470.21600000001</v>
          </cell>
        </row>
        <row r="113">
          <cell r="B113" t="str">
            <v>Edynar Aracelis Monsalbe Oviedo OP</v>
          </cell>
          <cell r="G113">
            <v>568119.63760400005</v>
          </cell>
          <cell r="L113">
            <v>552014.87827600003</v>
          </cell>
          <cell r="Q113">
            <v>547622.37026800006</v>
          </cell>
          <cell r="V113">
            <v>547622.37026800006</v>
          </cell>
          <cell r="AA113">
            <v>547622.37026800006</v>
          </cell>
          <cell r="AF113">
            <v>554040.66192400001</v>
          </cell>
          <cell r="AK113">
            <v>598478.25644000003</v>
          </cell>
          <cell r="AP113">
            <v>552210.72609600006</v>
          </cell>
          <cell r="AU113">
            <v>817297.92565600004</v>
          </cell>
          <cell r="AZ113">
            <v>572085.69388000004</v>
          </cell>
          <cell r="BE113">
            <v>552210.72609600006</v>
          </cell>
          <cell r="BJ113">
            <v>714692.69777600013</v>
          </cell>
        </row>
        <row r="114">
          <cell r="B114" t="str">
            <v>Gabriel David Baltodano Saavedra OP</v>
          </cell>
          <cell r="G114">
            <v>867233.33400000003</v>
          </cell>
          <cell r="L114">
            <v>867233.33400000003</v>
          </cell>
          <cell r="Q114">
            <v>499999.76319999999</v>
          </cell>
          <cell r="V114">
            <v>499999.76319999999</v>
          </cell>
          <cell r="AA114">
            <v>491603.76319999999</v>
          </cell>
          <cell r="AF114">
            <v>513349.52619999996</v>
          </cell>
          <cell r="AK114">
            <v>510019.90480000002</v>
          </cell>
          <cell r="AP114">
            <v>477469.43459999998</v>
          </cell>
          <cell r="AU114">
            <v>603980.8702</v>
          </cell>
          <cell r="AZ114">
            <v>536703.76679999998</v>
          </cell>
          <cell r="BE114">
            <v>517939.79580000002</v>
          </cell>
          <cell r="BJ114">
            <v>642087.03520000004</v>
          </cell>
        </row>
        <row r="115">
          <cell r="B115" t="str">
            <v>Adolfo Raul  Quintana Giannoni OP</v>
          </cell>
          <cell r="G115">
            <v>4073608.9530000002</v>
          </cell>
          <cell r="L115">
            <v>4070359.2464999999</v>
          </cell>
          <cell r="Q115">
            <v>4069396.8600300006</v>
          </cell>
          <cell r="V115">
            <v>4065548.8804200003</v>
          </cell>
          <cell r="AA115">
            <v>4062706.4890800002</v>
          </cell>
          <cell r="AF115">
            <v>4058631.9</v>
          </cell>
          <cell r="AK115">
            <v>4069913.4</v>
          </cell>
          <cell r="AP115">
            <v>4068717.3000000003</v>
          </cell>
          <cell r="AU115">
            <v>4277352.6000000006</v>
          </cell>
          <cell r="AZ115">
            <v>4072048.2</v>
          </cell>
          <cell r="BE115">
            <v>4069461.6</v>
          </cell>
          <cell r="BJ115">
            <v>4319267.4000000004</v>
          </cell>
        </row>
        <row r="116">
          <cell r="B116" t="str">
            <v>Lara Schroeder OP</v>
          </cell>
          <cell r="G116"/>
          <cell r="L116"/>
          <cell r="Q116"/>
          <cell r="V116"/>
          <cell r="AA116"/>
          <cell r="AF116"/>
          <cell r="AK116">
            <v>1009788</v>
          </cell>
          <cell r="AP116">
            <v>1009788.0388</v>
          </cell>
          <cell r="AU116">
            <v>1016312.406</v>
          </cell>
          <cell r="AZ116">
            <v>1016312.406</v>
          </cell>
          <cell r="BE116">
            <v>1010369.826</v>
          </cell>
          <cell r="BJ116">
            <v>1010369.826</v>
          </cell>
        </row>
        <row r="117">
          <cell r="B117" t="str">
            <v>Alfonso Camps Nielsen OP</v>
          </cell>
          <cell r="G117"/>
          <cell r="L117"/>
          <cell r="Q117"/>
          <cell r="V117"/>
          <cell r="AA117"/>
          <cell r="AF117">
            <v>2975463</v>
          </cell>
          <cell r="AK117">
            <v>0</v>
          </cell>
          <cell r="AP117">
            <v>0</v>
          </cell>
          <cell r="AU117">
            <v>0</v>
          </cell>
          <cell r="AZ117">
            <v>0</v>
          </cell>
          <cell r="BE117">
            <v>0</v>
          </cell>
          <cell r="BJ117">
            <v>0</v>
          </cell>
        </row>
        <row r="118">
          <cell r="B118" t="str">
            <v>Aleibys Veronica Rodriguez Lopez OP</v>
          </cell>
          <cell r="G118"/>
          <cell r="L118"/>
          <cell r="Q118"/>
          <cell r="V118"/>
          <cell r="AA118"/>
          <cell r="AF118">
            <v>0</v>
          </cell>
          <cell r="AK118">
            <v>850168.57068</v>
          </cell>
          <cell r="AP118">
            <v>724333.0748399999</v>
          </cell>
          <cell r="AU118">
            <v>1004656.8589200001</v>
          </cell>
          <cell r="AZ118">
            <v>683015.28960000002</v>
          </cell>
          <cell r="BE118">
            <v>840184.55891999998</v>
          </cell>
          <cell r="BJ118">
            <v>1057858.0178399999</v>
          </cell>
        </row>
        <row r="119">
          <cell r="B119" t="str">
            <v>Castaña Niñoles Díaz OP</v>
          </cell>
          <cell r="G119"/>
          <cell r="L119"/>
          <cell r="Q119"/>
          <cell r="V119"/>
          <cell r="AA119"/>
          <cell r="AF119"/>
          <cell r="AK119"/>
          <cell r="AP119"/>
          <cell r="AU119">
            <v>0</v>
          </cell>
          <cell r="AZ119">
            <v>1712057.3106</v>
          </cell>
          <cell r="BE119">
            <v>1439419.8692000001</v>
          </cell>
          <cell r="BJ119">
            <v>51137.5</v>
          </cell>
        </row>
        <row r="120">
          <cell r="B120" t="str">
            <v>Austerlitz Eduardo Capriles Rodriguez OP</v>
          </cell>
          <cell r="G120"/>
          <cell r="L120"/>
          <cell r="Q120"/>
          <cell r="V120"/>
          <cell r="AA120"/>
          <cell r="AF120"/>
          <cell r="AK120"/>
          <cell r="AP120"/>
          <cell r="AU120">
            <v>0</v>
          </cell>
          <cell r="AZ120">
            <v>1919817.0444999998</v>
          </cell>
          <cell r="BE120">
            <v>1985863.0444999998</v>
          </cell>
          <cell r="BJ120">
            <v>1985863.0444999998</v>
          </cell>
        </row>
        <row r="121">
          <cell r="B121" t="str">
            <v>Teresa Espinoza Cerón</v>
          </cell>
          <cell r="G121"/>
          <cell r="L121"/>
          <cell r="Q121"/>
          <cell r="V121"/>
          <cell r="AA121"/>
          <cell r="AF121"/>
          <cell r="AK121"/>
          <cell r="AP121"/>
          <cell r="AU121">
            <v>775510</v>
          </cell>
          <cell r="AZ121">
            <v>775510</v>
          </cell>
          <cell r="BE121">
            <v>775510</v>
          </cell>
          <cell r="BJ121">
            <v>816250.42999999993</v>
          </cell>
        </row>
        <row r="122">
          <cell r="B122" t="str">
            <v>ORCI LATAM HOLDING / BARONI CONSULTORES/ Adsformance</v>
          </cell>
          <cell r="G122">
            <v>629821</v>
          </cell>
          <cell r="L122">
            <v>632406</v>
          </cell>
          <cell r="Q122">
            <v>635042</v>
          </cell>
          <cell r="V122">
            <v>637622</v>
          </cell>
          <cell r="AA122">
            <v>642380</v>
          </cell>
          <cell r="AF122">
            <v>643833</v>
          </cell>
          <cell r="AK122">
            <v>1500733</v>
          </cell>
          <cell r="AP122">
            <v>644014</v>
          </cell>
          <cell r="AU122">
            <v>645911</v>
          </cell>
          <cell r="AZ122">
            <v>7326535</v>
          </cell>
          <cell r="BE122">
            <v>651798</v>
          </cell>
          <cell r="BJ122">
            <v>7319066</v>
          </cell>
        </row>
        <row r="123">
          <cell r="B123" t="str">
            <v>GASTOS DE EXPORTACIONES ARGENTINA</v>
          </cell>
          <cell r="G123">
            <v>1883324</v>
          </cell>
          <cell r="L123">
            <v>718345</v>
          </cell>
          <cell r="Q123">
            <v>762045</v>
          </cell>
          <cell r="V123">
            <v>1336763</v>
          </cell>
          <cell r="AA123">
            <v>198400</v>
          </cell>
          <cell r="AF123">
            <v>561526</v>
          </cell>
          <cell r="AK123">
            <v>1517575</v>
          </cell>
          <cell r="AP123">
            <v>595200</v>
          </cell>
          <cell r="AU123">
            <v>396800</v>
          </cell>
          <cell r="AZ123">
            <v>985510</v>
          </cell>
          <cell r="BE123">
            <v>1032070</v>
          </cell>
          <cell r="BJ123">
            <v>1583356</v>
          </cell>
        </row>
        <row r="124">
          <cell r="B124" t="str">
            <v>GASTOS DE EXPORTACIONES O IMPORTACIONES PARA URUGUAY</v>
          </cell>
          <cell r="G124">
            <v>0</v>
          </cell>
          <cell r="L124">
            <v>149112</v>
          </cell>
          <cell r="Q124">
            <v>0</v>
          </cell>
          <cell r="V124">
            <v>0</v>
          </cell>
          <cell r="AA124">
            <v>0</v>
          </cell>
          <cell r="AF124">
            <v>0</v>
          </cell>
          <cell r="AK124">
            <v>0</v>
          </cell>
          <cell r="AP124">
            <v>0</v>
          </cell>
          <cell r="AU124">
            <v>0</v>
          </cell>
          <cell r="AZ124">
            <v>0</v>
          </cell>
          <cell r="BE124">
            <v>0</v>
          </cell>
          <cell r="BJ124">
            <v>0</v>
          </cell>
        </row>
        <row r="125">
          <cell r="B125" t="str">
            <v>GASTOS DE IMPORTACIONES PARA ARGENTINA</v>
          </cell>
          <cell r="G125">
            <v>0</v>
          </cell>
          <cell r="L125">
            <v>2051440</v>
          </cell>
          <cell r="Q125">
            <v>1155094</v>
          </cell>
          <cell r="V125">
            <v>0</v>
          </cell>
          <cell r="AA125">
            <v>264937</v>
          </cell>
          <cell r="AF125">
            <v>0</v>
          </cell>
          <cell r="AK125">
            <v>0</v>
          </cell>
          <cell r="AP125">
            <v>0</v>
          </cell>
          <cell r="AU125">
            <v>0</v>
          </cell>
          <cell r="AZ125">
            <v>0</v>
          </cell>
          <cell r="BE125">
            <v>264937</v>
          </cell>
          <cell r="BJ125">
            <v>0</v>
          </cell>
        </row>
        <row r="126">
          <cell r="B126" t="str">
            <v>GASTOS DE IMPORTACIONES OTROS PAISES</v>
          </cell>
          <cell r="G126">
            <v>0</v>
          </cell>
          <cell r="L126">
            <v>0</v>
          </cell>
          <cell r="Q126">
            <v>0</v>
          </cell>
          <cell r="V126">
            <v>0</v>
          </cell>
          <cell r="AA126">
            <v>0</v>
          </cell>
          <cell r="AF126">
            <v>0</v>
          </cell>
          <cell r="AK126">
            <v>0</v>
          </cell>
          <cell r="AP126">
            <v>0</v>
          </cell>
          <cell r="AU126">
            <v>758242</v>
          </cell>
          <cell r="AZ126">
            <v>0</v>
          </cell>
          <cell r="BE126">
            <v>0</v>
          </cell>
          <cell r="BJ126">
            <v>0</v>
          </cell>
        </row>
        <row r="127">
          <cell r="B127" t="str">
            <v>GASTOS DE EXPORTACIONES OTROS PAISES</v>
          </cell>
          <cell r="G127">
            <v>0</v>
          </cell>
          <cell r="L127">
            <v>0</v>
          </cell>
          <cell r="Q127">
            <v>0</v>
          </cell>
          <cell r="V127">
            <v>0</v>
          </cell>
          <cell r="AA127">
            <v>0</v>
          </cell>
          <cell r="AF127">
            <v>0</v>
          </cell>
          <cell r="AK127">
            <v>0</v>
          </cell>
          <cell r="AP127">
            <v>2431676</v>
          </cell>
          <cell r="AU127">
            <v>0</v>
          </cell>
          <cell r="AZ127">
            <v>148503</v>
          </cell>
          <cell r="BE127">
            <v>0</v>
          </cell>
          <cell r="BJ127">
            <v>0</v>
          </cell>
        </row>
        <row r="128">
          <cell r="B128" t="str">
            <v xml:space="preserve">ALIGNERCLICK ODONTOLOGA LIMITADA OTROS PAISES </v>
          </cell>
          <cell r="G128"/>
          <cell r="L128"/>
          <cell r="Q128"/>
          <cell r="V128"/>
          <cell r="AA128"/>
          <cell r="AF128"/>
          <cell r="AK128"/>
          <cell r="AP128">
            <v>5734512</v>
          </cell>
          <cell r="AU128">
            <v>4597684</v>
          </cell>
          <cell r="AZ128">
            <v>2673816</v>
          </cell>
          <cell r="BE128">
            <v>0</v>
          </cell>
          <cell r="BJ128">
            <v>4348432</v>
          </cell>
        </row>
        <row r="129">
          <cell r="B129" t="str">
            <v>MARTHA SOCARRAS - ERNESTO SEPULVEDA - ALG - FURQAN</v>
          </cell>
          <cell r="G129">
            <v>12586943</v>
          </cell>
          <cell r="L129">
            <v>2217831</v>
          </cell>
          <cell r="Q129">
            <v>34125775</v>
          </cell>
          <cell r="V129">
            <v>21405654</v>
          </cell>
          <cell r="AA129">
            <v>11951748</v>
          </cell>
          <cell r="AF129">
            <v>13760307</v>
          </cell>
          <cell r="AK129">
            <v>0</v>
          </cell>
          <cell r="AP129">
            <v>11994620</v>
          </cell>
          <cell r="AU129">
            <v>2439223</v>
          </cell>
          <cell r="AZ129">
            <v>0</v>
          </cell>
          <cell r="BE129">
            <v>0</v>
          </cell>
          <cell r="BJ129">
            <v>0</v>
          </cell>
        </row>
        <row r="130">
          <cell r="B130" t="str">
            <v>AGENCIA DE VIAJE OTROS PAISES HECA</v>
          </cell>
          <cell r="G130">
            <v>10793157</v>
          </cell>
          <cell r="L130">
            <v>2831136</v>
          </cell>
          <cell r="Q130">
            <v>13302722</v>
          </cell>
          <cell r="V130">
            <v>1320315</v>
          </cell>
          <cell r="AA130">
            <v>12051421</v>
          </cell>
          <cell r="AF130">
            <v>13081099</v>
          </cell>
          <cell r="AK130">
            <v>12242032</v>
          </cell>
          <cell r="AP130">
            <v>19115896</v>
          </cell>
          <cell r="AU130">
            <v>17833394</v>
          </cell>
          <cell r="AZ130">
            <v>12571890</v>
          </cell>
          <cell r="BE130">
            <v>1599218</v>
          </cell>
          <cell r="BJ130">
            <v>2024627</v>
          </cell>
        </row>
        <row r="131">
          <cell r="B131" t="str">
            <v>UPS ENVIOS A OTROS PAISES HECA</v>
          </cell>
          <cell r="G131">
            <v>0</v>
          </cell>
          <cell r="L131">
            <v>23062.221000000001</v>
          </cell>
          <cell r="Q131">
            <v>160289</v>
          </cell>
          <cell r="V131">
            <v>106056</v>
          </cell>
          <cell r="AA131">
            <v>188369.78160000007</v>
          </cell>
          <cell r="AF131">
            <v>143011</v>
          </cell>
          <cell r="AK131">
            <v>0</v>
          </cell>
          <cell r="AP131">
            <v>17617</v>
          </cell>
          <cell r="AU131">
            <v>0</v>
          </cell>
          <cell r="AZ131">
            <v>54848</v>
          </cell>
          <cell r="BE131">
            <v>0</v>
          </cell>
          <cell r="BJ131">
            <v>0</v>
          </cell>
        </row>
        <row r="132">
          <cell r="B132" t="str">
            <v xml:space="preserve">EXTRA MANUEL GUAJARDO </v>
          </cell>
          <cell r="G132"/>
          <cell r="L132"/>
          <cell r="Q132"/>
          <cell r="V132"/>
          <cell r="AA132"/>
          <cell r="AF132"/>
          <cell r="AK132"/>
          <cell r="AP132">
            <v>3709860</v>
          </cell>
          <cell r="AU132">
            <v>0</v>
          </cell>
          <cell r="AZ132">
            <v>0</v>
          </cell>
          <cell r="BE132">
            <v>0</v>
          </cell>
          <cell r="BJ132">
            <v>0</v>
          </cell>
        </row>
        <row r="133">
          <cell r="B133" t="str">
            <v>Otros gastos Extras</v>
          </cell>
          <cell r="G133"/>
          <cell r="L133"/>
          <cell r="Q133"/>
          <cell r="V133"/>
          <cell r="AA133"/>
          <cell r="AF133"/>
          <cell r="AK133"/>
          <cell r="AP133"/>
          <cell r="AU133"/>
          <cell r="AZ133">
            <v>4201962</v>
          </cell>
          <cell r="BE133">
            <v>0</v>
          </cell>
          <cell r="BJ133">
            <v>128000</v>
          </cell>
        </row>
        <row r="134">
          <cell r="B134" t="str">
            <v xml:space="preserve"> Cu2 Cloud Tec Store / SAGE O.P</v>
          </cell>
          <cell r="G134"/>
          <cell r="L134"/>
          <cell r="Q134"/>
          <cell r="V134"/>
          <cell r="AA134"/>
          <cell r="AF134"/>
          <cell r="AK134"/>
          <cell r="AP134"/>
          <cell r="AU134"/>
          <cell r="AZ134">
            <v>1277406</v>
          </cell>
          <cell r="BE134">
            <v>0</v>
          </cell>
          <cell r="BJ134">
            <v>4765955</v>
          </cell>
        </row>
        <row r="135">
          <cell r="B135" t="str">
            <v>VANTRUST - SECURITY (TRANSFERENCIAS OTROS PAISES)</v>
          </cell>
          <cell r="G135">
            <v>0</v>
          </cell>
          <cell r="L135">
            <v>0</v>
          </cell>
          <cell r="Q135">
            <v>0</v>
          </cell>
          <cell r="V135">
            <v>0</v>
          </cell>
          <cell r="AA135">
            <v>0</v>
          </cell>
          <cell r="AF135">
            <v>0</v>
          </cell>
          <cell r="AK135">
            <v>0</v>
          </cell>
          <cell r="AP135">
            <v>0</v>
          </cell>
          <cell r="AU135">
            <v>0</v>
          </cell>
          <cell r="AZ135">
            <v>0</v>
          </cell>
          <cell r="BE135">
            <v>0</v>
          </cell>
          <cell r="BJ135">
            <v>0</v>
          </cell>
        </row>
        <row r="136">
          <cell r="B136" t="str">
            <v>EQUIFAX</v>
          </cell>
          <cell r="G136">
            <v>359537</v>
          </cell>
          <cell r="L136">
            <v>361801</v>
          </cell>
          <cell r="Q136">
            <v>362471</v>
          </cell>
          <cell r="V136">
            <v>394152</v>
          </cell>
          <cell r="AA136">
            <v>420301</v>
          </cell>
          <cell r="AF136">
            <v>431698</v>
          </cell>
          <cell r="AK136">
            <v>403758</v>
          </cell>
          <cell r="AP136">
            <v>412075</v>
          </cell>
          <cell r="AU136">
            <v>405423</v>
          </cell>
          <cell r="AZ136">
            <v>407556</v>
          </cell>
          <cell r="BE136">
            <v>413016</v>
          </cell>
          <cell r="BJ136">
            <v>476577</v>
          </cell>
        </row>
        <row r="137">
          <cell r="B137" t="str">
            <v>Banco Security</v>
          </cell>
          <cell r="G137">
            <v>42546</v>
          </cell>
          <cell r="L137">
            <v>43165</v>
          </cell>
          <cell r="Q137">
            <v>42696</v>
          </cell>
          <cell r="V137">
            <v>42928</v>
          </cell>
          <cell r="AA137">
            <v>43215</v>
          </cell>
          <cell r="AF137">
            <v>43303</v>
          </cell>
          <cell r="AK137">
            <v>43276</v>
          </cell>
          <cell r="AP137">
            <v>43323</v>
          </cell>
          <cell r="AU137">
            <v>43430</v>
          </cell>
          <cell r="AZ137">
            <v>60237</v>
          </cell>
          <cell r="BE137">
            <v>6581</v>
          </cell>
          <cell r="BJ137">
            <v>6616</v>
          </cell>
        </row>
        <row r="138">
          <cell r="B138" t="str">
            <v>MAPFRE SEGUROS GRALES-FRAUDE</v>
          </cell>
          <cell r="G138">
            <v>8795</v>
          </cell>
          <cell r="L138">
            <v>8824</v>
          </cell>
          <cell r="Q138">
            <v>8900</v>
          </cell>
          <cell r="V138">
            <v>8181</v>
          </cell>
          <cell r="AA138">
            <v>8973</v>
          </cell>
          <cell r="AF138">
            <v>9014</v>
          </cell>
          <cell r="AK138">
            <v>9024</v>
          </cell>
          <cell r="AP138">
            <v>9009</v>
          </cell>
          <cell r="AU138">
            <v>9038</v>
          </cell>
          <cell r="AZ138">
            <v>9058</v>
          </cell>
          <cell r="BE138">
            <v>9109</v>
          </cell>
          <cell r="BJ138">
            <v>9147</v>
          </cell>
        </row>
        <row r="139">
          <cell r="B139" t="str">
            <v>MERCADO PAGO</v>
          </cell>
          <cell r="G139">
            <v>19270629</v>
          </cell>
          <cell r="L139">
            <v>13623843</v>
          </cell>
          <cell r="Q139">
            <v>20793901</v>
          </cell>
          <cell r="V139">
            <v>19945908</v>
          </cell>
          <cell r="AA139">
            <v>23443075</v>
          </cell>
          <cell r="AF139">
            <v>19303172</v>
          </cell>
          <cell r="AK139">
            <v>21075059</v>
          </cell>
          <cell r="AP139">
            <v>20290600</v>
          </cell>
          <cell r="AU139">
            <v>19253544</v>
          </cell>
          <cell r="AZ139">
            <v>20642716</v>
          </cell>
          <cell r="BE139">
            <v>19501014</v>
          </cell>
          <cell r="BJ139">
            <v>25923078</v>
          </cell>
        </row>
        <row r="140">
          <cell r="B140" t="str">
            <v>VANTRUST</v>
          </cell>
          <cell r="G140">
            <v>52795</v>
          </cell>
          <cell r="L140">
            <v>50892</v>
          </cell>
          <cell r="Q140">
            <v>34262</v>
          </cell>
          <cell r="V140">
            <v>34326</v>
          </cell>
          <cell r="AA140">
            <v>0</v>
          </cell>
          <cell r="AF140">
            <v>34084</v>
          </cell>
          <cell r="AK140">
            <v>70754</v>
          </cell>
          <cell r="AP140">
            <v>36350</v>
          </cell>
          <cell r="AU140">
            <v>0</v>
          </cell>
          <cell r="AZ140">
            <v>0</v>
          </cell>
          <cell r="BE140">
            <v>0</v>
          </cell>
          <cell r="BJ140">
            <v>0</v>
          </cell>
        </row>
        <row r="141">
          <cell r="B141" t="str">
            <v>TRANSBANK</v>
          </cell>
          <cell r="G141">
            <v>1595459</v>
          </cell>
          <cell r="L141">
            <v>302103</v>
          </cell>
          <cell r="Q141">
            <v>669740</v>
          </cell>
          <cell r="V141">
            <v>832282</v>
          </cell>
          <cell r="AA141">
            <v>1051590</v>
          </cell>
          <cell r="AF141">
            <v>1034429</v>
          </cell>
          <cell r="AK141">
            <v>720723</v>
          </cell>
          <cell r="AP141">
            <v>1020186</v>
          </cell>
          <cell r="AU141">
            <v>756867</v>
          </cell>
          <cell r="AZ141">
            <v>490931</v>
          </cell>
          <cell r="BE141">
            <v>968989</v>
          </cell>
          <cell r="BJ141">
            <v>1012321</v>
          </cell>
        </row>
        <row r="142">
          <cell r="B142" t="str">
            <v>BCI</v>
          </cell>
          <cell r="G142">
            <v>0</v>
          </cell>
          <cell r="L142">
            <v>47467</v>
          </cell>
          <cell r="Q142">
            <v>0</v>
          </cell>
          <cell r="V142">
            <v>0</v>
          </cell>
          <cell r="AA142">
            <v>0</v>
          </cell>
          <cell r="AF142">
            <v>0</v>
          </cell>
          <cell r="AK142">
            <v>97670</v>
          </cell>
          <cell r="AP142">
            <v>0</v>
          </cell>
          <cell r="AU142">
            <v>53059</v>
          </cell>
          <cell r="AZ142">
            <v>410282</v>
          </cell>
          <cell r="BE142">
            <v>262099</v>
          </cell>
          <cell r="BJ142">
            <v>155235</v>
          </cell>
        </row>
        <row r="143">
          <cell r="B143" t="str">
            <v>BANCO DE CHILE</v>
          </cell>
          <cell r="G143">
            <v>0</v>
          </cell>
          <cell r="L143">
            <v>0</v>
          </cell>
          <cell r="Q143">
            <v>0</v>
          </cell>
          <cell r="V143">
            <v>0</v>
          </cell>
          <cell r="AA143">
            <v>0</v>
          </cell>
          <cell r="AF143">
            <v>0</v>
          </cell>
          <cell r="AK143">
            <v>25728</v>
          </cell>
          <cell r="AP143">
            <v>25768</v>
          </cell>
          <cell r="AU143">
            <v>28742</v>
          </cell>
          <cell r="AZ143">
            <v>28806</v>
          </cell>
          <cell r="BE143">
            <v>28860</v>
          </cell>
          <cell r="BJ143">
            <v>29012</v>
          </cell>
        </row>
        <row r="144">
          <cell r="B144" t="str">
            <v>SCOTIABANK COMISIONES</v>
          </cell>
          <cell r="G144">
            <v>38477</v>
          </cell>
          <cell r="L144">
            <v>3353</v>
          </cell>
          <cell r="Q144">
            <v>336798</v>
          </cell>
          <cell r="V144">
            <v>400098</v>
          </cell>
          <cell r="AA144">
            <v>0</v>
          </cell>
          <cell r="AF144">
            <v>251030</v>
          </cell>
          <cell r="AK144">
            <v>208644</v>
          </cell>
          <cell r="AP144">
            <v>129601</v>
          </cell>
          <cell r="AU144">
            <v>90229</v>
          </cell>
          <cell r="AZ144">
            <v>21539</v>
          </cell>
          <cell r="BE144">
            <v>36186</v>
          </cell>
          <cell r="BJ144">
            <v>71193</v>
          </cell>
        </row>
        <row r="145">
          <cell r="B145" t="str">
            <v>ITAU COMISIONES</v>
          </cell>
          <cell r="G145">
            <v>0</v>
          </cell>
          <cell r="L145">
            <v>0</v>
          </cell>
          <cell r="Q145">
            <v>0</v>
          </cell>
          <cell r="V145">
            <v>0</v>
          </cell>
          <cell r="AA145">
            <v>0</v>
          </cell>
          <cell r="AF145">
            <v>82237</v>
          </cell>
          <cell r="AK145">
            <v>0</v>
          </cell>
          <cell r="AP145">
            <v>0</v>
          </cell>
          <cell r="AU145">
            <v>0</v>
          </cell>
          <cell r="AZ145">
            <v>0</v>
          </cell>
          <cell r="BE145">
            <v>0</v>
          </cell>
          <cell r="BJ145">
            <v>0</v>
          </cell>
        </row>
        <row r="146">
          <cell r="B146" t="str">
            <v>BANCO INTERNACIONAL</v>
          </cell>
          <cell r="G146">
            <v>78144</v>
          </cell>
          <cell r="L146">
            <v>293605</v>
          </cell>
          <cell r="Q146">
            <v>202489</v>
          </cell>
          <cell r="V146">
            <v>1770852</v>
          </cell>
          <cell r="AA146">
            <v>1756165</v>
          </cell>
          <cell r="AF146">
            <v>3255752</v>
          </cell>
          <cell r="AK146">
            <v>1780206</v>
          </cell>
          <cell r="AP146">
            <v>1833241</v>
          </cell>
          <cell r="AU146">
            <v>236204</v>
          </cell>
          <cell r="AZ146">
            <v>1713059</v>
          </cell>
          <cell r="BE146">
            <v>1666994</v>
          </cell>
          <cell r="BJ146">
            <v>1734260</v>
          </cell>
        </row>
        <row r="147">
          <cell r="B147" t="str">
            <v>Ivan Alexander Rojo Toro</v>
          </cell>
          <cell r="G147">
            <v>807522.00520000001</v>
          </cell>
          <cell r="L147">
            <v>803240.36459999997</v>
          </cell>
          <cell r="Q147">
            <v>813467.86459999997</v>
          </cell>
          <cell r="V147">
            <v>900045</v>
          </cell>
          <cell r="AA147">
            <v>830855</v>
          </cell>
          <cell r="AF147">
            <v>809159</v>
          </cell>
          <cell r="AK147">
            <v>877532.10639999993</v>
          </cell>
          <cell r="AP147">
            <v>876904.94940000004</v>
          </cell>
          <cell r="AU147">
            <v>1032743.0348</v>
          </cell>
          <cell r="AZ147">
            <v>532999.44200000004</v>
          </cell>
          <cell r="BE147">
            <v>805275.10820000002</v>
          </cell>
          <cell r="BJ147">
            <v>1048888.5506</v>
          </cell>
        </row>
        <row r="148">
          <cell r="B148" t="str">
            <v>Austerlitz Eduardo Capriles Rodriguez</v>
          </cell>
          <cell r="G148">
            <v>1087385.9545</v>
          </cell>
          <cell r="L148">
            <v>1483488.497</v>
          </cell>
          <cell r="Q148">
            <v>1782414.6014999999</v>
          </cell>
          <cell r="V148">
            <v>1905740</v>
          </cell>
          <cell r="AA148">
            <v>1842331</v>
          </cell>
          <cell r="AF148">
            <v>1772370</v>
          </cell>
          <cell r="AK148">
            <v>1826006.0425</v>
          </cell>
          <cell r="AP148">
            <v>1856629.0425</v>
          </cell>
          <cell r="AU148">
            <v>1656754.3495</v>
          </cell>
          <cell r="AZ148">
            <v>0</v>
          </cell>
          <cell r="BE148">
            <v>0</v>
          </cell>
          <cell r="BJ148">
            <v>0</v>
          </cell>
        </row>
        <row r="149">
          <cell r="B149" t="str">
            <v>Bastian Hernaldo Landeros Tobar</v>
          </cell>
          <cell r="G149">
            <v>907700.77679999999</v>
          </cell>
          <cell r="L149">
            <v>676667.45900000003</v>
          </cell>
          <cell r="Q149">
            <v>6011006.5615999997</v>
          </cell>
          <cell r="V149">
            <v>0</v>
          </cell>
          <cell r="AA149">
            <v>0</v>
          </cell>
          <cell r="AF149">
            <v>0</v>
          </cell>
          <cell r="AK149">
            <v>0</v>
          </cell>
          <cell r="AP149">
            <v>0</v>
          </cell>
          <cell r="AU149">
            <v>0</v>
          </cell>
          <cell r="AZ149">
            <v>0</v>
          </cell>
          <cell r="BE149">
            <v>0</v>
          </cell>
          <cell r="BJ149">
            <v>0</v>
          </cell>
        </row>
        <row r="150">
          <cell r="B150" t="str">
            <v xml:space="preserve">Alexis Daniel Vogel </v>
          </cell>
          <cell r="G150">
            <v>0</v>
          </cell>
          <cell r="L150">
            <v>0</v>
          </cell>
          <cell r="Q150">
            <v>1755447.0663999999</v>
          </cell>
          <cell r="V150">
            <v>0</v>
          </cell>
          <cell r="AA150">
            <v>0</v>
          </cell>
          <cell r="AF150">
            <v>0</v>
          </cell>
          <cell r="AK150">
            <v>0</v>
          </cell>
          <cell r="AP150">
            <v>0</v>
          </cell>
          <cell r="AU150">
            <v>0</v>
          </cell>
          <cell r="AZ150">
            <v>0</v>
          </cell>
          <cell r="BE150">
            <v>0</v>
          </cell>
          <cell r="BJ150">
            <v>0</v>
          </cell>
        </row>
        <row r="151">
          <cell r="B151" t="str">
            <v>Manuel Alejandro Guajardo Olivares</v>
          </cell>
          <cell r="G151">
            <v>4240485.4440000001</v>
          </cell>
          <cell r="L151">
            <v>4237056.7560000001</v>
          </cell>
          <cell r="Q151">
            <v>4236042.4837999996</v>
          </cell>
          <cell r="V151">
            <v>4231983</v>
          </cell>
          <cell r="AA151">
            <v>4246484</v>
          </cell>
          <cell r="AF151">
            <v>4252253</v>
          </cell>
          <cell r="AK151">
            <v>4253011</v>
          </cell>
          <cell r="AP151">
            <v>4251486</v>
          </cell>
          <cell r="AU151">
            <v>4573138</v>
          </cell>
          <cell r="AZ151">
            <v>4344560</v>
          </cell>
          <cell r="BE151">
            <v>4341260</v>
          </cell>
          <cell r="BJ151">
            <v>4672907</v>
          </cell>
        </row>
        <row r="152">
          <cell r="B152" t="str">
            <v xml:space="preserve">David Alfredo Herce Bolek </v>
          </cell>
          <cell r="G152">
            <v>517603</v>
          </cell>
          <cell r="L152">
            <v>449479.68044000003</v>
          </cell>
          <cell r="Q152">
            <v>525395.88331999991</v>
          </cell>
          <cell r="V152">
            <v>522798</v>
          </cell>
          <cell r="AA152">
            <v>525395.88331999991</v>
          </cell>
          <cell r="AF152">
            <v>525396</v>
          </cell>
          <cell r="AK152">
            <v>525955.6195599999</v>
          </cell>
          <cell r="AP152">
            <v>457691.89703999995</v>
          </cell>
          <cell r="AU152">
            <v>586440.78331999993</v>
          </cell>
          <cell r="AZ152">
            <v>454976.58331999992</v>
          </cell>
          <cell r="BE152">
            <v>433151.58235999994</v>
          </cell>
          <cell r="BJ152">
            <v>618657.40831999993</v>
          </cell>
        </row>
        <row r="153">
          <cell r="B153" t="str">
            <v>Mariangel Aimara Veloz Bastardo</v>
          </cell>
          <cell r="G153">
            <v>789094.74820000003</v>
          </cell>
          <cell r="L153">
            <v>768263.60080000001</v>
          </cell>
          <cell r="Q153">
            <v>768263.60080000001</v>
          </cell>
          <cell r="V153">
            <v>800212</v>
          </cell>
          <cell r="AA153">
            <v>768264</v>
          </cell>
          <cell r="AF153">
            <v>769569</v>
          </cell>
          <cell r="AK153">
            <v>839249.16330000001</v>
          </cell>
          <cell r="AP153">
            <v>769568.50949999993</v>
          </cell>
          <cell r="AU153">
            <v>953416.00949999993</v>
          </cell>
          <cell r="AZ153">
            <v>786868.59149999998</v>
          </cell>
          <cell r="BE153">
            <v>771207.39949999994</v>
          </cell>
          <cell r="BJ153">
            <v>999667.27449999994</v>
          </cell>
        </row>
        <row r="154">
          <cell r="B154" t="str">
            <v>Deisy Mildred Sierra Calderon</v>
          </cell>
          <cell r="G154">
            <v>367555</v>
          </cell>
          <cell r="L154">
            <v>377243.57015400007</v>
          </cell>
          <cell r="Q154">
            <v>377165.36015400005</v>
          </cell>
          <cell r="V154">
            <v>505760</v>
          </cell>
          <cell r="AA154">
            <v>376622.18015400006</v>
          </cell>
          <cell r="AF154">
            <v>526588</v>
          </cell>
          <cell r="AK154">
            <v>1505547.7670400003</v>
          </cell>
          <cell r="AP154">
            <v>1187640.3670400002</v>
          </cell>
          <cell r="AU154">
            <v>1351179.4640000002</v>
          </cell>
          <cell r="AZ154">
            <v>1176967.4640000002</v>
          </cell>
          <cell r="BE154">
            <v>1192016.2640000002</v>
          </cell>
          <cell r="BJ154">
            <v>1381880.8640000001</v>
          </cell>
        </row>
        <row r="155">
          <cell r="B155" t="str">
            <v>Edynar Aracelis Monsalbe Oviedo</v>
          </cell>
          <cell r="G155">
            <v>267350</v>
          </cell>
          <cell r="L155">
            <v>259771.70742399999</v>
          </cell>
          <cell r="Q155">
            <v>257705</v>
          </cell>
          <cell r="V155">
            <v>257705</v>
          </cell>
          <cell r="AA155">
            <v>257704.64483199999</v>
          </cell>
          <cell r="AF155">
            <v>260725</v>
          </cell>
          <cell r="AK155">
            <v>281636.82656000002</v>
          </cell>
          <cell r="AP155">
            <v>259863.87110399999</v>
          </cell>
          <cell r="AU155">
            <v>384610.78854400001</v>
          </cell>
          <cell r="AZ155">
            <v>269216.79712</v>
          </cell>
          <cell r="BE155">
            <v>259863.87110399999</v>
          </cell>
          <cell r="BJ155">
            <v>336325.975424</v>
          </cell>
        </row>
        <row r="156">
          <cell r="B156" t="str">
            <v>Aleibys Veronica Rodriguez Lopez</v>
          </cell>
          <cell r="G156">
            <v>835100.91099999996</v>
          </cell>
          <cell r="L156">
            <v>901547.22640000004</v>
          </cell>
          <cell r="Q156">
            <v>853933.14099999995</v>
          </cell>
          <cell r="V156">
            <v>818657</v>
          </cell>
          <cell r="AA156">
            <v>877558</v>
          </cell>
          <cell r="AF156">
            <v>984093</v>
          </cell>
          <cell r="AK156">
            <v>94463.17452</v>
          </cell>
          <cell r="AP156">
            <v>80481.45276</v>
          </cell>
          <cell r="AU156">
            <v>111628.53988000001</v>
          </cell>
          <cell r="AZ156">
            <v>0</v>
          </cell>
          <cell r="BE156">
            <v>93353.83988</v>
          </cell>
          <cell r="BJ156">
            <v>117539.77976</v>
          </cell>
        </row>
        <row r="157">
          <cell r="B157" t="str">
            <v>Gabriel David Baltodano Saavedra</v>
          </cell>
          <cell r="G157">
            <v>0</v>
          </cell>
          <cell r="L157">
            <v>0</v>
          </cell>
          <cell r="Q157">
            <v>500000</v>
          </cell>
          <cell r="V157">
            <v>500000</v>
          </cell>
          <cell r="AA157">
            <v>491603.76319999999</v>
          </cell>
          <cell r="AF157">
            <v>513350</v>
          </cell>
          <cell r="AK157">
            <v>510019.90480000002</v>
          </cell>
          <cell r="AP157">
            <v>477469.43459999998</v>
          </cell>
          <cell r="AU157">
            <v>603980.8702</v>
          </cell>
          <cell r="AZ157">
            <v>536703.76679999998</v>
          </cell>
          <cell r="BE157">
            <v>517939.79580000002</v>
          </cell>
          <cell r="BJ157">
            <v>642087.03520000004</v>
          </cell>
        </row>
        <row r="158">
          <cell r="B158" t="str">
            <v>Hyrlenne Yolizeth Carrizo Rodriguez</v>
          </cell>
          <cell r="G158">
            <v>959280.02399999998</v>
          </cell>
          <cell r="L158">
            <v>1004578.4121999999</v>
          </cell>
          <cell r="Q158">
            <v>903239.0514</v>
          </cell>
          <cell r="V158">
            <v>903239</v>
          </cell>
          <cell r="AA158">
            <v>903239</v>
          </cell>
          <cell r="AF158">
            <v>912955</v>
          </cell>
          <cell r="AK158">
            <v>927665.59419999993</v>
          </cell>
          <cell r="AP158">
            <v>912955.1764</v>
          </cell>
          <cell r="AU158">
            <v>1072063.0475999999</v>
          </cell>
          <cell r="AZ158">
            <v>930710.11639999994</v>
          </cell>
          <cell r="BE158">
            <v>921548.52020000003</v>
          </cell>
          <cell r="BJ158">
            <v>1139976.7975999999</v>
          </cell>
        </row>
        <row r="159">
          <cell r="B159" t="str">
            <v>Patricia Cecilia Romero Echandia</v>
          </cell>
          <cell r="G159">
            <v>611544.25719999999</v>
          </cell>
          <cell r="L159">
            <v>599569.25719999999</v>
          </cell>
          <cell r="Q159">
            <v>609980.25719999999</v>
          </cell>
          <cell r="V159">
            <v>581001</v>
          </cell>
          <cell r="AA159">
            <v>634775</v>
          </cell>
          <cell r="AF159">
            <v>661323</v>
          </cell>
          <cell r="AK159">
            <v>634711.24560000002</v>
          </cell>
          <cell r="AP159">
            <v>650395.25719999999</v>
          </cell>
          <cell r="AU159">
            <v>863931.777</v>
          </cell>
          <cell r="AZ159">
            <v>662364.95819999999</v>
          </cell>
          <cell r="BE159">
            <v>660512.20900000003</v>
          </cell>
          <cell r="BJ159">
            <v>943533.60860000004</v>
          </cell>
        </row>
        <row r="160">
          <cell r="B160" t="str">
            <v>Marta Veronica Avaria Martinez</v>
          </cell>
          <cell r="G160">
            <v>486689.51360000001</v>
          </cell>
          <cell r="L160">
            <v>486689.51360000001</v>
          </cell>
          <cell r="Q160">
            <v>486689.51360000001</v>
          </cell>
          <cell r="V160">
            <v>486690</v>
          </cell>
          <cell r="AA160">
            <v>470466</v>
          </cell>
          <cell r="AF160">
            <v>486690</v>
          </cell>
          <cell r="AK160">
            <v>534681.5</v>
          </cell>
          <cell r="AP160">
            <v>534681.5</v>
          </cell>
          <cell r="AU160">
            <v>780731.76</v>
          </cell>
          <cell r="AZ160">
            <v>419098.38</v>
          </cell>
          <cell r="BE160">
            <v>544858.62</v>
          </cell>
          <cell r="BJ160">
            <v>835119.5</v>
          </cell>
        </row>
        <row r="161">
          <cell r="B161" t="str">
            <v>Adolfo Raul  Quintana Giannoni</v>
          </cell>
          <cell r="G161">
            <v>452623</v>
          </cell>
          <cell r="L161">
            <v>452262.1385</v>
          </cell>
          <cell r="Q161">
            <v>452155</v>
          </cell>
          <cell r="V161">
            <v>451728</v>
          </cell>
          <cell r="AA161">
            <v>451411.83212000004</v>
          </cell>
          <cell r="AF161">
            <v>450959</v>
          </cell>
          <cell r="AK161">
            <v>452212.60000000003</v>
          </cell>
          <cell r="AP161">
            <v>452079.7</v>
          </cell>
          <cell r="AU161">
            <v>475261.4</v>
          </cell>
          <cell r="AZ161">
            <v>452449.80000000005</v>
          </cell>
          <cell r="BE161">
            <v>452162.4</v>
          </cell>
          <cell r="BJ161">
            <v>479918.60000000003</v>
          </cell>
        </row>
        <row r="162">
          <cell r="B162" t="str">
            <v>Javiera Catalina  Garcia Diaz</v>
          </cell>
          <cell r="G162">
            <v>699999.15119999996</v>
          </cell>
          <cell r="L162">
            <v>699999.15119999996</v>
          </cell>
          <cell r="Q162">
            <v>699999.15119999996</v>
          </cell>
          <cell r="V162">
            <v>697167</v>
          </cell>
          <cell r="AA162">
            <v>686002</v>
          </cell>
          <cell r="AF162">
            <v>1541453</v>
          </cell>
          <cell r="AK162">
            <v>0</v>
          </cell>
          <cell r="AP162">
            <v>0</v>
          </cell>
          <cell r="AU162">
            <v>0</v>
          </cell>
          <cell r="AZ162">
            <v>0</v>
          </cell>
          <cell r="BE162">
            <v>0</v>
          </cell>
          <cell r="BJ162">
            <v>0</v>
          </cell>
        </row>
        <row r="163">
          <cell r="B163" t="str">
            <v>Alvaro Antonio Martinez Perez</v>
          </cell>
          <cell r="G163">
            <v>711805.77720000001</v>
          </cell>
          <cell r="L163">
            <v>626523.973</v>
          </cell>
          <cell r="Q163">
            <v>727182.20979999995</v>
          </cell>
          <cell r="V163">
            <v>612932</v>
          </cell>
          <cell r="AA163">
            <v>639007</v>
          </cell>
          <cell r="AF163">
            <v>682679</v>
          </cell>
          <cell r="AK163">
            <v>608270.74919999996</v>
          </cell>
          <cell r="AP163">
            <v>608270.74919999996</v>
          </cell>
          <cell r="AU163">
            <v>905729.8138</v>
          </cell>
          <cell r="AZ163">
            <v>756297.33920000005</v>
          </cell>
          <cell r="BE163">
            <v>759954.69239999994</v>
          </cell>
          <cell r="BJ163">
            <v>1007517.1666</v>
          </cell>
        </row>
        <row r="164">
          <cell r="B164" t="str">
            <v>Constanza Bernardita Cuevas Yañez</v>
          </cell>
          <cell r="G164">
            <v>595334.28819999995</v>
          </cell>
          <cell r="L164">
            <v>600000.38359999994</v>
          </cell>
          <cell r="Q164">
            <v>582889.38359999994</v>
          </cell>
          <cell r="V164">
            <v>420001</v>
          </cell>
          <cell r="AA164">
            <v>39999</v>
          </cell>
          <cell r="AF164">
            <v>1585155</v>
          </cell>
          <cell r="AK164">
            <v>0</v>
          </cell>
          <cell r="AP164">
            <v>0</v>
          </cell>
          <cell r="AU164">
            <v>0</v>
          </cell>
          <cell r="AZ164">
            <v>0</v>
          </cell>
          <cell r="BE164">
            <v>0</v>
          </cell>
          <cell r="BJ164">
            <v>0</v>
          </cell>
        </row>
        <row r="165">
          <cell r="B165" t="str">
            <v>Ruperto Francisco Rojo Valles</v>
          </cell>
          <cell r="G165">
            <v>634922.45700000005</v>
          </cell>
          <cell r="L165">
            <v>600181.14549999998</v>
          </cell>
          <cell r="Q165">
            <v>703750.19449999998</v>
          </cell>
          <cell r="V165">
            <v>642643</v>
          </cell>
          <cell r="AA165">
            <v>318428</v>
          </cell>
          <cell r="AF165">
            <v>1899067</v>
          </cell>
          <cell r="AK165">
            <v>0</v>
          </cell>
          <cell r="AP165">
            <v>0</v>
          </cell>
          <cell r="AU165">
            <v>0</v>
          </cell>
          <cell r="AZ165">
            <v>0</v>
          </cell>
          <cell r="BE165">
            <v>0</v>
          </cell>
          <cell r="BJ165">
            <v>0</v>
          </cell>
        </row>
        <row r="166">
          <cell r="B166" t="str">
            <v>Brian Andres Rojo Figueroa</v>
          </cell>
          <cell r="G166">
            <v>711922.77980000002</v>
          </cell>
          <cell r="L166">
            <v>650406.41279999993</v>
          </cell>
          <cell r="Q166">
            <v>618007.79180000001</v>
          </cell>
          <cell r="V166">
            <v>631778</v>
          </cell>
          <cell r="AA166">
            <v>472652</v>
          </cell>
          <cell r="AF166">
            <v>1252462</v>
          </cell>
          <cell r="AK166">
            <v>0</v>
          </cell>
          <cell r="AP166">
            <v>0</v>
          </cell>
          <cell r="AU166">
            <v>0</v>
          </cell>
          <cell r="AZ166">
            <v>0</v>
          </cell>
          <cell r="BE166">
            <v>0</v>
          </cell>
          <cell r="BJ166">
            <v>0</v>
          </cell>
        </row>
        <row r="167">
          <cell r="B167" t="str">
            <v>Francisco Gonzalez</v>
          </cell>
          <cell r="G167">
            <v>579999.6496</v>
          </cell>
          <cell r="L167">
            <v>600000.38359999994</v>
          </cell>
          <cell r="Q167">
            <v>267046.19180000003</v>
          </cell>
          <cell r="V167">
            <v>593663</v>
          </cell>
          <cell r="AA167">
            <v>340000</v>
          </cell>
          <cell r="AF167">
            <v>1375713</v>
          </cell>
          <cell r="AK167">
            <v>0</v>
          </cell>
          <cell r="AP167">
            <v>0</v>
          </cell>
          <cell r="AU167">
            <v>0</v>
          </cell>
          <cell r="AZ167">
            <v>0</v>
          </cell>
          <cell r="BE167">
            <v>0</v>
          </cell>
          <cell r="BJ167">
            <v>0</v>
          </cell>
        </row>
        <row r="168">
          <cell r="B168" t="str">
            <v>Ana Medina Duque</v>
          </cell>
          <cell r="G168">
            <v>579999.6496</v>
          </cell>
          <cell r="L168">
            <v>600000.38359999994</v>
          </cell>
          <cell r="Q168">
            <v>600000.38359999994</v>
          </cell>
          <cell r="V168">
            <v>600000</v>
          </cell>
          <cell r="AA168">
            <v>600000</v>
          </cell>
          <cell r="AF168">
            <v>580000</v>
          </cell>
          <cell r="AK168">
            <v>600000.38359999994</v>
          </cell>
          <cell r="AP168">
            <v>596755.38359999994</v>
          </cell>
          <cell r="AU168">
            <v>860762.39299999992</v>
          </cell>
          <cell r="AZ168">
            <v>676667.39300000004</v>
          </cell>
          <cell r="BE168">
            <v>691482.80780000007</v>
          </cell>
          <cell r="BJ168">
            <v>930118.55779999995</v>
          </cell>
        </row>
        <row r="169">
          <cell r="B169" t="str">
            <v>Luis  Alberto Hasbun Leon</v>
          </cell>
          <cell r="G169">
            <v>1051657.3739999998</v>
          </cell>
          <cell r="L169">
            <v>1048695.3739999998</v>
          </cell>
          <cell r="Q169">
            <v>1047818.374</v>
          </cell>
          <cell r="V169">
            <v>1044310</v>
          </cell>
          <cell r="AA169">
            <v>1041720</v>
          </cell>
          <cell r="AF169">
            <v>1051410</v>
          </cell>
          <cell r="AK169">
            <v>1315799.1864999998</v>
          </cell>
          <cell r="AP169">
            <v>1050866.1864999998</v>
          </cell>
          <cell r="AU169">
            <v>1254819.6884999999</v>
          </cell>
          <cell r="AZ169">
            <v>1169355.7519999999</v>
          </cell>
          <cell r="BE169">
            <v>1213769.1884999999</v>
          </cell>
          <cell r="BJ169">
            <v>1459120.0634999999</v>
          </cell>
        </row>
        <row r="170">
          <cell r="B170" t="str">
            <v>Raul Andres Diaz Hernandez</v>
          </cell>
          <cell r="G170">
            <v>723151.54879999999</v>
          </cell>
          <cell r="L170">
            <v>666465.77600000007</v>
          </cell>
          <cell r="Q170">
            <v>636981.77279999992</v>
          </cell>
          <cell r="V170">
            <v>765233</v>
          </cell>
          <cell r="AA170">
            <v>831113</v>
          </cell>
          <cell r="AF170">
            <v>717421</v>
          </cell>
          <cell r="AK170">
            <v>694281.21279999998</v>
          </cell>
          <cell r="AP170">
            <v>694281.21279999998</v>
          </cell>
          <cell r="AU170">
            <v>1018886.2848</v>
          </cell>
          <cell r="AZ170">
            <v>934084.7328</v>
          </cell>
          <cell r="BE170">
            <v>739717.58400000003</v>
          </cell>
          <cell r="BJ170">
            <v>1249195.3856000002</v>
          </cell>
        </row>
        <row r="171">
          <cell r="B171" t="str">
            <v>Davis Edwad Torres Linares</v>
          </cell>
          <cell r="G171">
            <v>653016.69200000004</v>
          </cell>
          <cell r="L171">
            <v>669436.69200000004</v>
          </cell>
          <cell r="Q171">
            <v>691696.4412</v>
          </cell>
          <cell r="V171">
            <v>705719</v>
          </cell>
          <cell r="AA171">
            <v>635732</v>
          </cell>
          <cell r="AF171">
            <v>660400</v>
          </cell>
          <cell r="AK171">
            <v>678662.2452</v>
          </cell>
          <cell r="AP171">
            <v>642436.4412</v>
          </cell>
          <cell r="AU171">
            <v>832670.16200000001</v>
          </cell>
          <cell r="AZ171">
            <v>664844.16200000001</v>
          </cell>
          <cell r="BE171">
            <v>672357.4412</v>
          </cell>
          <cell r="BJ171">
            <v>888843.66200000001</v>
          </cell>
        </row>
        <row r="172">
          <cell r="B172"/>
          <cell r="G172">
            <v>0</v>
          </cell>
          <cell r="L172">
            <v>0</v>
          </cell>
          <cell r="Q172">
            <v>0</v>
          </cell>
          <cell r="V172">
            <v>0</v>
          </cell>
          <cell r="AA172">
            <v>0</v>
          </cell>
          <cell r="AF172">
            <v>0</v>
          </cell>
          <cell r="AK172">
            <v>0</v>
          </cell>
          <cell r="AP172">
            <v>0</v>
          </cell>
          <cell r="AU172">
            <v>0</v>
          </cell>
          <cell r="AZ172">
            <v>0</v>
          </cell>
          <cell r="BE172">
            <v>0</v>
          </cell>
          <cell r="BJ172">
            <v>0</v>
          </cell>
        </row>
        <row r="173">
          <cell r="B173"/>
          <cell r="G173">
            <v>0</v>
          </cell>
          <cell r="L173">
            <v>0</v>
          </cell>
          <cell r="Q173">
            <v>0</v>
          </cell>
          <cell r="V173">
            <v>0</v>
          </cell>
          <cell r="AA173">
            <v>0</v>
          </cell>
          <cell r="AF173">
            <v>0</v>
          </cell>
          <cell r="AK173">
            <v>0</v>
          </cell>
          <cell r="AP173">
            <v>0</v>
          </cell>
          <cell r="AU173">
            <v>0</v>
          </cell>
          <cell r="AZ173">
            <v>0</v>
          </cell>
          <cell r="BE173">
            <v>0</v>
          </cell>
          <cell r="BJ173">
            <v>0</v>
          </cell>
        </row>
        <row r="174">
          <cell r="B174"/>
          <cell r="G174">
            <v>0</v>
          </cell>
          <cell r="L174">
            <v>0</v>
          </cell>
          <cell r="Q174">
            <v>0</v>
          </cell>
          <cell r="V174">
            <v>0</v>
          </cell>
          <cell r="AA174">
            <v>0</v>
          </cell>
          <cell r="AF174">
            <v>0</v>
          </cell>
          <cell r="AK174">
            <v>0</v>
          </cell>
          <cell r="AP174">
            <v>0</v>
          </cell>
          <cell r="AU174">
            <v>0</v>
          </cell>
          <cell r="AZ174">
            <v>0</v>
          </cell>
          <cell r="BE174">
            <v>0</v>
          </cell>
          <cell r="BJ174">
            <v>0</v>
          </cell>
        </row>
        <row r="175">
          <cell r="B175"/>
          <cell r="G175">
            <v>0</v>
          </cell>
          <cell r="L175">
            <v>0</v>
          </cell>
          <cell r="Q175">
            <v>0</v>
          </cell>
          <cell r="V175">
            <v>0</v>
          </cell>
          <cell r="AA175">
            <v>0</v>
          </cell>
          <cell r="AF175">
            <v>0</v>
          </cell>
          <cell r="AK175">
            <v>0</v>
          </cell>
          <cell r="AP175">
            <v>0</v>
          </cell>
          <cell r="AU175">
            <v>0</v>
          </cell>
          <cell r="AZ175">
            <v>0</v>
          </cell>
          <cell r="BE175">
            <v>0</v>
          </cell>
          <cell r="BJ175">
            <v>0</v>
          </cell>
        </row>
        <row r="176">
          <cell r="B176"/>
          <cell r="G176">
            <v>0</v>
          </cell>
          <cell r="L176">
            <v>0</v>
          </cell>
          <cell r="Q176">
            <v>0</v>
          </cell>
          <cell r="V176">
            <v>0</v>
          </cell>
          <cell r="AA176">
            <v>0</v>
          </cell>
          <cell r="AF176">
            <v>0</v>
          </cell>
          <cell r="AK176">
            <v>0</v>
          </cell>
          <cell r="AP176">
            <v>0</v>
          </cell>
          <cell r="AU176">
            <v>0</v>
          </cell>
          <cell r="AZ176">
            <v>0</v>
          </cell>
          <cell r="BE176">
            <v>0</v>
          </cell>
          <cell r="BJ176">
            <v>0</v>
          </cell>
        </row>
        <row r="177">
          <cell r="B177" t="str">
            <v>Maria Jose Faundez Doren</v>
          </cell>
          <cell r="G177"/>
          <cell r="L177"/>
          <cell r="Q177"/>
          <cell r="V177"/>
          <cell r="AA177">
            <v>529714.84</v>
          </cell>
          <cell r="AF177">
            <v>565488</v>
          </cell>
          <cell r="AK177">
            <v>575611.75679999997</v>
          </cell>
          <cell r="AP177">
            <v>14243.772000000001</v>
          </cell>
          <cell r="AU177">
            <v>0</v>
          </cell>
          <cell r="AZ177">
            <v>0</v>
          </cell>
          <cell r="BE177">
            <v>0</v>
          </cell>
          <cell r="BJ177">
            <v>0</v>
          </cell>
        </row>
        <row r="178">
          <cell r="B178" t="str">
            <v>Constanza Belen Guajardo Fernandez</v>
          </cell>
          <cell r="G178"/>
          <cell r="L178"/>
          <cell r="Q178"/>
          <cell r="V178"/>
          <cell r="AA178">
            <v>326666.4558</v>
          </cell>
          <cell r="AF178">
            <v>699999</v>
          </cell>
          <cell r="AK178">
            <v>707693.97019999998</v>
          </cell>
          <cell r="AP178">
            <v>705167.62880000006</v>
          </cell>
          <cell r="AU178">
            <v>801954.64520000003</v>
          </cell>
          <cell r="AZ178">
            <v>750414.06260000006</v>
          </cell>
          <cell r="BE178">
            <v>721293.88119999995</v>
          </cell>
          <cell r="BJ178">
            <v>950778.04559999995</v>
          </cell>
        </row>
        <row r="179">
          <cell r="B179" t="str">
            <v>Javier Salazar</v>
          </cell>
          <cell r="G179"/>
          <cell r="L179"/>
          <cell r="Q179"/>
          <cell r="V179"/>
          <cell r="AA179">
            <v>197675.12599999999</v>
          </cell>
          <cell r="AF179">
            <v>623836</v>
          </cell>
          <cell r="AK179">
            <v>720072.94959999993</v>
          </cell>
          <cell r="AP179">
            <v>732425.21160000004</v>
          </cell>
          <cell r="AU179">
            <v>755806.01679999998</v>
          </cell>
          <cell r="AZ179">
            <v>787062.25560000003</v>
          </cell>
          <cell r="BE179">
            <v>756090.93440000003</v>
          </cell>
          <cell r="BJ179">
            <v>856783.59840000002</v>
          </cell>
        </row>
        <row r="180">
          <cell r="B180" t="str">
            <v>Osvaldo Valenzuela Valenzuela</v>
          </cell>
          <cell r="G180"/>
          <cell r="L180"/>
          <cell r="Q180"/>
          <cell r="V180"/>
          <cell r="AA180">
            <v>20001.198899999999</v>
          </cell>
          <cell r="AF180">
            <v>492977</v>
          </cell>
          <cell r="AK180">
            <v>0</v>
          </cell>
          <cell r="AP180">
            <v>0</v>
          </cell>
          <cell r="AU180">
            <v>0</v>
          </cell>
          <cell r="AZ180">
            <v>0</v>
          </cell>
          <cell r="BE180">
            <v>0</v>
          </cell>
          <cell r="BJ180">
            <v>0</v>
          </cell>
        </row>
        <row r="181">
          <cell r="B181" t="str">
            <v>Alejandra Olivares Reyes</v>
          </cell>
          <cell r="G181"/>
          <cell r="L181"/>
          <cell r="Q181"/>
          <cell r="V181"/>
          <cell r="AA181"/>
          <cell r="AF181">
            <v>699342</v>
          </cell>
          <cell r="AK181">
            <v>713325.62170000002</v>
          </cell>
          <cell r="AP181">
            <v>705541.65650000004</v>
          </cell>
          <cell r="AU181">
            <v>807560.75089999998</v>
          </cell>
          <cell r="AZ181">
            <v>767178.31719999993</v>
          </cell>
          <cell r="BE181">
            <v>676029.53749999998</v>
          </cell>
          <cell r="BJ181">
            <v>953545.60629999998</v>
          </cell>
        </row>
        <row r="182">
          <cell r="B182" t="str">
            <v xml:space="preserve">Alfonso Camps Nielsen </v>
          </cell>
          <cell r="G182"/>
          <cell r="L182"/>
          <cell r="Q182"/>
          <cell r="V182"/>
          <cell r="AA182"/>
          <cell r="AF182">
            <v>330607</v>
          </cell>
          <cell r="AK182">
            <v>0</v>
          </cell>
          <cell r="AP182">
            <v>0</v>
          </cell>
          <cell r="AU182">
            <v>0</v>
          </cell>
          <cell r="AZ182">
            <v>0</v>
          </cell>
          <cell r="BE182">
            <v>0</v>
          </cell>
          <cell r="BJ182">
            <v>0</v>
          </cell>
        </row>
        <row r="183">
          <cell r="B183" t="str">
            <v>Camila Soto Salas</v>
          </cell>
          <cell r="G183"/>
          <cell r="L183"/>
          <cell r="Q183"/>
          <cell r="V183"/>
          <cell r="AA183"/>
          <cell r="AF183"/>
          <cell r="AK183">
            <v>0</v>
          </cell>
          <cell r="AP183">
            <v>533319.10959999997</v>
          </cell>
          <cell r="AU183">
            <v>655179.47160000005</v>
          </cell>
          <cell r="AZ183">
            <v>608454.64720000001</v>
          </cell>
          <cell r="BE183">
            <v>594351.97160000005</v>
          </cell>
          <cell r="BJ183">
            <v>705297.97160000005</v>
          </cell>
        </row>
        <row r="184">
          <cell r="B184" t="str">
            <v>Gustavo Gutierrez Morales</v>
          </cell>
          <cell r="G184"/>
          <cell r="L184"/>
          <cell r="Q184"/>
          <cell r="V184"/>
          <cell r="AA184"/>
          <cell r="AF184"/>
          <cell r="AK184">
            <v>0</v>
          </cell>
          <cell r="AP184">
            <v>585378</v>
          </cell>
          <cell r="AU184">
            <v>80000.058399999994</v>
          </cell>
          <cell r="AZ184">
            <v>0</v>
          </cell>
          <cell r="BE184">
            <v>0</v>
          </cell>
          <cell r="BJ184">
            <v>0</v>
          </cell>
        </row>
        <row r="185">
          <cell r="B185" t="str">
            <v>Edgar Hernandez Zapata</v>
          </cell>
          <cell r="G185"/>
          <cell r="L185"/>
          <cell r="Q185"/>
          <cell r="V185"/>
          <cell r="AA185"/>
          <cell r="AF185"/>
          <cell r="AK185"/>
          <cell r="AP185"/>
          <cell r="AU185">
            <v>478114.17879999999</v>
          </cell>
          <cell r="AZ185">
            <v>679448.86479999998</v>
          </cell>
          <cell r="BE185">
            <v>624251.15260000003</v>
          </cell>
          <cell r="BJ185">
            <v>743677.94660000002</v>
          </cell>
        </row>
        <row r="186">
          <cell r="B186" t="str">
            <v>Angela Jara Urrutia</v>
          </cell>
          <cell r="G186"/>
          <cell r="L186"/>
          <cell r="Q186"/>
          <cell r="V186"/>
          <cell r="AA186"/>
          <cell r="AF186"/>
          <cell r="AK186"/>
          <cell r="AP186"/>
          <cell r="AU186"/>
          <cell r="AZ186"/>
          <cell r="BE186">
            <v>390092.1</v>
          </cell>
          <cell r="BJ186">
            <v>0</v>
          </cell>
        </row>
        <row r="187">
          <cell r="B187" t="str">
            <v>Tabita Elena Araya Maldonado</v>
          </cell>
          <cell r="G187"/>
          <cell r="L187"/>
          <cell r="Q187"/>
          <cell r="V187"/>
          <cell r="AA187"/>
          <cell r="AF187"/>
          <cell r="AK187"/>
          <cell r="AP187"/>
          <cell r="AU187"/>
          <cell r="AZ187"/>
          <cell r="BE187">
            <v>370282.49900000001</v>
          </cell>
          <cell r="BJ187">
            <v>737568.77749999997</v>
          </cell>
        </row>
        <row r="188">
          <cell r="B188" t="str">
            <v>CRISTOBAL STANGE</v>
          </cell>
          <cell r="G188">
            <v>6000000</v>
          </cell>
          <cell r="L188">
            <v>6000000</v>
          </cell>
          <cell r="Q188">
            <v>6000000</v>
          </cell>
          <cell r="V188">
            <v>6000000</v>
          </cell>
          <cell r="AA188">
            <v>6000000</v>
          </cell>
          <cell r="AF188">
            <v>6000000</v>
          </cell>
          <cell r="AK188">
            <v>6000000</v>
          </cell>
          <cell r="AP188">
            <v>6000000</v>
          </cell>
          <cell r="AU188">
            <v>6000000</v>
          </cell>
          <cell r="AZ188">
            <v>6000000</v>
          </cell>
          <cell r="BE188">
            <v>6000000</v>
          </cell>
          <cell r="BJ188">
            <v>6000000</v>
          </cell>
        </row>
        <row r="189">
          <cell r="B189" t="str">
            <v>IMPOSICIONES DE TRABAJADORES</v>
          </cell>
          <cell r="G189">
            <v>6738628.6013999982</v>
          </cell>
          <cell r="L189">
            <v>6815213</v>
          </cell>
          <cell r="Q189">
            <v>6788146.8963000011</v>
          </cell>
          <cell r="V189">
            <v>6945537</v>
          </cell>
          <cell r="AA189">
            <v>6870407</v>
          </cell>
          <cell r="AF189">
            <v>7804331</v>
          </cell>
          <cell r="AK189">
            <v>7115324</v>
          </cell>
          <cell r="AP189">
            <v>7083931.9673999995</v>
          </cell>
          <cell r="AU189">
            <v>8138993.4890000001</v>
          </cell>
          <cell r="AZ189">
            <v>7189378.6808000002</v>
          </cell>
          <cell r="BE189">
            <v>7189611.5761999991</v>
          </cell>
          <cell r="BJ189">
            <v>6345732.2846000018</v>
          </cell>
        </row>
        <row r="190">
          <cell r="B190" t="str">
            <v>SEGURO COMPLEMENTARIO CONSORCIO</v>
          </cell>
          <cell r="G190">
            <v>678237</v>
          </cell>
          <cell r="L190">
            <v>680272</v>
          </cell>
          <cell r="Q190">
            <v>621739</v>
          </cell>
          <cell r="V190">
            <v>685029</v>
          </cell>
          <cell r="AA190">
            <v>798049</v>
          </cell>
          <cell r="AF190">
            <v>710646</v>
          </cell>
          <cell r="AK190">
            <v>690923</v>
          </cell>
          <cell r="AP190">
            <v>689649</v>
          </cell>
          <cell r="AU190">
            <v>712517</v>
          </cell>
          <cell r="AZ190">
            <v>664486</v>
          </cell>
          <cell r="BE190">
            <v>669136</v>
          </cell>
          <cell r="BJ190">
            <v>700641</v>
          </cell>
        </row>
        <row r="191">
          <cell r="B191" t="str">
            <v>TOTAL</v>
          </cell>
          <cell r="G191">
            <v>196181960.68608195</v>
          </cell>
          <cell r="L191">
            <v>197846134.81148002</v>
          </cell>
          <cell r="Q191">
            <v>203020383.319038</v>
          </cell>
          <cell r="V191">
            <v>191108999.57368401</v>
          </cell>
          <cell r="AA191">
            <v>192820581.96933344</v>
          </cell>
          <cell r="AF191">
            <v>185829238.06144002</v>
          </cell>
          <cell r="AK191">
            <v>203342129.38032001</v>
          </cell>
          <cell r="AP191">
            <v>200695137.32478005</v>
          </cell>
          <cell r="AU191">
            <v>170892562.96523997</v>
          </cell>
          <cell r="AZ191">
            <v>181953102.01043999</v>
          </cell>
          <cell r="BE191">
            <v>144869566.49612004</v>
          </cell>
          <cell r="BJ191">
            <v>290865746.22413993</v>
          </cell>
        </row>
        <row r="192">
          <cell r="B192"/>
          <cell r="G192"/>
          <cell r="L192"/>
          <cell r="Q192"/>
          <cell r="V192"/>
          <cell r="AA192"/>
          <cell r="AF192"/>
          <cell r="AK192"/>
          <cell r="AP192"/>
          <cell r="AU192">
            <v>-12942508</v>
          </cell>
          <cell r="AZ192"/>
          <cell r="BE192"/>
          <cell r="BJ192"/>
        </row>
        <row r="193">
          <cell r="B193"/>
          <cell r="G193"/>
          <cell r="L193"/>
          <cell r="Q193"/>
          <cell r="V193"/>
          <cell r="AA193"/>
          <cell r="AF193"/>
          <cell r="AK193"/>
          <cell r="AP193"/>
          <cell r="AU193"/>
          <cell r="AZ193"/>
          <cell r="BE193"/>
        </row>
        <row r="194">
          <cell r="B194" t="str">
            <v>Gastos OFICINA</v>
          </cell>
          <cell r="G194">
            <v>7677904.5</v>
          </cell>
          <cell r="L194">
            <v>7790976.5</v>
          </cell>
          <cell r="Q194">
            <v>10454951</v>
          </cell>
          <cell r="V194">
            <v>13376069.5</v>
          </cell>
          <cell r="AA194">
            <v>8601224.9657934122</v>
          </cell>
          <cell r="AF194">
            <v>9572940.5</v>
          </cell>
          <cell r="AK194">
            <v>12958396</v>
          </cell>
          <cell r="AP194">
            <v>14976268.279999999</v>
          </cell>
          <cell r="AU194">
            <v>9829467.5</v>
          </cell>
          <cell r="AZ194">
            <v>15567438.5</v>
          </cell>
          <cell r="BE194">
            <v>8380577</v>
          </cell>
          <cell r="BJ194">
            <v>10674934.050000001</v>
          </cell>
        </row>
        <row r="195">
          <cell r="B195" t="str">
            <v>Gastos operacionales</v>
          </cell>
          <cell r="G195">
            <v>13094446</v>
          </cell>
          <cell r="L195">
            <v>20392583</v>
          </cell>
          <cell r="Q195">
            <v>24284736</v>
          </cell>
          <cell r="V195">
            <v>14200251</v>
          </cell>
          <cell r="AA195">
            <v>22477249</v>
          </cell>
          <cell r="AF195">
            <v>24014534</v>
          </cell>
          <cell r="AK195">
            <v>24565773</v>
          </cell>
          <cell r="AP195">
            <v>20132674.620000001</v>
          </cell>
          <cell r="AU195">
            <v>14045744.859999999</v>
          </cell>
          <cell r="AZ195">
            <v>18155696</v>
          </cell>
          <cell r="BE195">
            <v>14153162.01</v>
          </cell>
          <cell r="BJ195">
            <v>14700578.800000001</v>
          </cell>
        </row>
        <row r="196">
          <cell r="B196" t="str">
            <v>Gastos SIGA SONRIENDO</v>
          </cell>
          <cell r="G196">
            <v>6719085</v>
          </cell>
          <cell r="L196">
            <v>1666329</v>
          </cell>
          <cell r="Q196">
            <v>1413851</v>
          </cell>
          <cell r="V196">
            <v>1498811</v>
          </cell>
          <cell r="AA196">
            <v>1405859</v>
          </cell>
          <cell r="AF196">
            <v>1500235</v>
          </cell>
          <cell r="AK196">
            <v>1381485</v>
          </cell>
          <cell r="AP196">
            <v>1334019</v>
          </cell>
          <cell r="AU196">
            <v>1378868</v>
          </cell>
          <cell r="AZ196">
            <v>1411561</v>
          </cell>
          <cell r="BE196">
            <v>1450751</v>
          </cell>
          <cell r="BJ196">
            <v>1553258</v>
          </cell>
        </row>
        <row r="197">
          <cell r="B197" t="str">
            <v>Gastos Viajes</v>
          </cell>
          <cell r="G197">
            <v>0</v>
          </cell>
          <cell r="L197">
            <v>557138</v>
          </cell>
          <cell r="Q197">
            <v>0</v>
          </cell>
          <cell r="V197">
            <v>2505540</v>
          </cell>
          <cell r="AA197">
            <v>1343695</v>
          </cell>
          <cell r="AF197">
            <v>0</v>
          </cell>
          <cell r="AK197">
            <v>0</v>
          </cell>
          <cell r="AP197">
            <v>470740</v>
          </cell>
          <cell r="AU197">
            <v>977243</v>
          </cell>
          <cell r="AZ197">
            <v>271431</v>
          </cell>
          <cell r="BE197">
            <v>277171</v>
          </cell>
          <cell r="BJ197">
            <v>0</v>
          </cell>
        </row>
        <row r="198">
          <cell r="B198" t="str">
            <v>Gastos Importacion</v>
          </cell>
          <cell r="G198">
            <v>5301751</v>
          </cell>
          <cell r="L198">
            <v>5287195</v>
          </cell>
          <cell r="Q198">
            <v>5649392</v>
          </cell>
          <cell r="V198">
            <v>5385160</v>
          </cell>
          <cell r="AA198">
            <v>5181146</v>
          </cell>
          <cell r="AF198">
            <v>5155600</v>
          </cell>
          <cell r="AK198">
            <v>5120063</v>
          </cell>
          <cell r="AP198">
            <v>5425447</v>
          </cell>
          <cell r="AU198">
            <v>5167997</v>
          </cell>
          <cell r="AZ198">
            <v>7028480</v>
          </cell>
          <cell r="BE198">
            <v>5029254</v>
          </cell>
          <cell r="BJ198">
            <v>7009682.4468</v>
          </cell>
        </row>
        <row r="199">
          <cell r="B199" t="str">
            <v>Gastos Importacion iTero</v>
          </cell>
          <cell r="G199">
            <v>603163</v>
          </cell>
          <cell r="L199">
            <v>0</v>
          </cell>
          <cell r="Q199">
            <v>1196042</v>
          </cell>
          <cell r="V199">
            <v>3446332</v>
          </cell>
          <cell r="AA199">
            <v>1443601.3455000001</v>
          </cell>
          <cell r="AF199">
            <v>3334237</v>
          </cell>
          <cell r="AK199">
            <v>2511675</v>
          </cell>
          <cell r="AP199">
            <v>4374654.7616999997</v>
          </cell>
          <cell r="AU199">
            <v>1895022</v>
          </cell>
          <cell r="AZ199">
            <v>3867799</v>
          </cell>
          <cell r="BE199">
            <v>2240159.5429999996</v>
          </cell>
          <cell r="BJ199">
            <v>0</v>
          </cell>
        </row>
        <row r="200">
          <cell r="B200" t="str">
            <v>Gastos extra</v>
          </cell>
          <cell r="G200">
            <v>108650619.58278199</v>
          </cell>
          <cell r="L200">
            <v>114659807.45286201</v>
          </cell>
          <cell r="Q200">
            <v>97251991.143064007</v>
          </cell>
          <cell r="V200">
            <v>94058539.073684007</v>
          </cell>
          <cell r="AA200">
            <v>92620610.733713999</v>
          </cell>
          <cell r="AF200">
            <v>75608556.561439991</v>
          </cell>
          <cell r="AK200">
            <v>98687237.760240018</v>
          </cell>
          <cell r="AP200">
            <v>96771067.186336011</v>
          </cell>
          <cell r="AU200">
            <v>78972810.828096002</v>
          </cell>
          <cell r="AZ200">
            <v>79651924.403899997</v>
          </cell>
          <cell r="BE200">
            <v>57384072.966675997</v>
          </cell>
          <cell r="BJ200">
            <v>190764531.46723598</v>
          </cell>
        </row>
        <row r="201">
          <cell r="B201" t="str">
            <v>Gastos Financieros</v>
          </cell>
          <cell r="G201">
            <v>21446382</v>
          </cell>
          <cell r="L201">
            <v>14735053</v>
          </cell>
          <cell r="Q201">
            <v>22451257</v>
          </cell>
          <cell r="V201">
            <v>23428727</v>
          </cell>
          <cell r="AA201">
            <v>26723319</v>
          </cell>
          <cell r="AF201">
            <v>24444719</v>
          </cell>
          <cell r="AK201">
            <v>24434842</v>
          </cell>
          <cell r="AP201">
            <v>23800153</v>
          </cell>
          <cell r="AU201">
            <v>20876536</v>
          </cell>
          <cell r="AZ201">
            <v>23784184</v>
          </cell>
          <cell r="BE201">
            <v>22892848</v>
          </cell>
          <cell r="BJ201">
            <v>29417439</v>
          </cell>
        </row>
        <row r="202">
          <cell r="B202" t="str">
            <v>Sueldos</v>
          </cell>
          <cell r="G202">
            <v>32688609.603300001</v>
          </cell>
          <cell r="L202">
            <v>32757052.858617999</v>
          </cell>
          <cell r="Q202">
            <v>40318163.175973997</v>
          </cell>
          <cell r="V202">
            <v>33209570</v>
          </cell>
          <cell r="AA202">
            <v>33023876.924325999</v>
          </cell>
          <cell r="AF202">
            <v>42198416</v>
          </cell>
          <cell r="AK202">
            <v>33682657.620079994</v>
          </cell>
          <cell r="AP202">
            <v>33410113.476744</v>
          </cell>
          <cell r="AU202">
            <v>37748873.777144</v>
          </cell>
          <cell r="AZ202">
            <v>32214588.106540002</v>
          </cell>
          <cell r="BE202">
            <v>33061570.976444006</v>
          </cell>
          <cell r="BJ202">
            <v>36745322.460104004</v>
          </cell>
        </row>
        <row r="203">
          <cell r="B203"/>
          <cell r="G203"/>
          <cell r="V203"/>
          <cell r="AA203"/>
          <cell r="AF203"/>
          <cell r="AK203"/>
          <cell r="AP203"/>
          <cell r="AU203"/>
          <cell r="AZ203"/>
          <cell r="BE203"/>
          <cell r="BJ203"/>
        </row>
        <row r="204">
          <cell r="B204"/>
          <cell r="G204"/>
          <cell r="L204"/>
          <cell r="Q204"/>
          <cell r="V204"/>
          <cell r="AA204"/>
          <cell r="AF204"/>
          <cell r="AK204"/>
          <cell r="AP204"/>
          <cell r="AU204"/>
          <cell r="AZ204"/>
          <cell r="BE204"/>
          <cell r="BJ204"/>
        </row>
        <row r="205">
          <cell r="B205"/>
          <cell r="G205"/>
          <cell r="L205"/>
          <cell r="Q205">
            <v>20341988.497699998</v>
          </cell>
          <cell r="V205"/>
          <cell r="AA205"/>
          <cell r="AF205">
            <v>21620275</v>
          </cell>
          <cell r="AK205"/>
          <cell r="AP205"/>
          <cell r="AU205">
            <v>22338249.4564</v>
          </cell>
          <cell r="AZ205"/>
          <cell r="BE205"/>
          <cell r="BJ205">
            <v>20724722.5416</v>
          </cell>
        </row>
        <row r="206">
          <cell r="G206"/>
          <cell r="L206"/>
          <cell r="Q206">
            <v>1980248</v>
          </cell>
          <cell r="V206"/>
          <cell r="AA206"/>
          <cell r="AF206">
            <v>2193724</v>
          </cell>
          <cell r="AK206"/>
          <cell r="AP206"/>
          <cell r="AU206">
            <v>2093089</v>
          </cell>
          <cell r="AZ206"/>
          <cell r="BE206"/>
          <cell r="BJ206">
            <v>2034263</v>
          </cell>
        </row>
        <row r="207">
          <cell r="G207">
            <v>7850266.5691820011</v>
          </cell>
          <cell r="L207">
            <v>8004598.2318619993</v>
          </cell>
          <cell r="Q207">
            <v>7788339.1430639997</v>
          </cell>
          <cell r="V207">
            <v>8057020.0736840004</v>
          </cell>
          <cell r="AA207">
            <v>7729498.9521140009</v>
          </cell>
          <cell r="AF207">
            <v>11000524.56144</v>
          </cell>
          <cell r="AK207">
            <v>9146423.7602399997</v>
          </cell>
          <cell r="AP207">
            <v>8891246.0959360003</v>
          </cell>
          <cell r="AU207">
            <v>10820729.311096001</v>
          </cell>
          <cell r="AZ207">
            <v>11711784.8869</v>
          </cell>
          <cell r="BE207">
            <v>11612721.081475999</v>
          </cell>
          <cell r="BJ207">
            <v>11119755.426836001</v>
          </cell>
        </row>
        <row r="208">
          <cell r="G208">
            <v>19271744.001900002</v>
          </cell>
          <cell r="L208">
            <v>19261567.858617999</v>
          </cell>
          <cell r="Q208">
            <v>26908277.279673994</v>
          </cell>
          <cell r="V208">
            <v>19579004</v>
          </cell>
          <cell r="AA208">
            <v>19355420.924325999</v>
          </cell>
          <cell r="AF208">
            <v>27683439</v>
          </cell>
          <cell r="AK208">
            <v>19876410.620079998</v>
          </cell>
          <cell r="AP208">
            <v>19636532.509344</v>
          </cell>
          <cell r="AU208">
            <v>22897363.288144004</v>
          </cell>
          <cell r="AZ208">
            <v>18360723.42574</v>
          </cell>
          <cell r="BE208">
            <v>19202823.400244005</v>
          </cell>
          <cell r="BJ208">
            <v>23698949.175503999</v>
          </cell>
        </row>
        <row r="209">
          <cell r="G209">
            <v>27122010.571082003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MARZO 2024"/>
    </sheetNames>
    <sheetDataSet>
      <sheetData sheetId="0">
        <row r="3">
          <cell r="A3" t="str">
            <v>Etiquetas de fila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tabilidad Hecaglobal" refreshedDate="46311.407390046297" createdVersion="8" refreshedVersion="8" minRefreshableVersion="3" recordCount="655" xr:uid="{8EA37260-5E4C-4E4D-9E83-15F9095F635C}">
  <cacheSource type="worksheet">
    <worksheetSource name="Rendiciones"/>
  </cacheSource>
  <cacheFields count="22">
    <cacheField name="Nombre Solicitante" numFmtId="0">
      <sharedItems containsBlank="1" count="40">
        <s v="Brigitte Moran Mesa"/>
        <s v="Raul Diaz"/>
        <s v="Alejandra Olivares"/>
        <s v="Javier Salazar"/>
        <s v="David Herce "/>
        <s v="Tomas Castro "/>
        <s v="Edgar hernandez"/>
        <s v="Davis Torres"/>
        <s v="Dailin Arellano "/>
        <s v="Mariangel Veloz"/>
        <s v="Manuel Guajardo "/>
        <s v="Abel Kottwitz"/>
        <s v="Adolfo Quintana"/>
        <s v="Deisy Sierra"/>
        <s v="Rodrigo Ibañez "/>
        <s v="Pia Cotronea"/>
        <s v="Yohana Morillo "/>
        <s v="Edynar Monsalbe"/>
        <m/>
        <s v=" David Herce " u="1"/>
        <s v="CDA David Herce " u="1"/>
        <s v="Vania Rojas " u="1"/>
        <s v="Luis Hasbun" u="1"/>
        <s v="Constanza García " u="1"/>
        <s v="Fabiola Rojas " u="1"/>
        <s v="Teresa Espinoza" u="1"/>
        <s v="Fernando Stange" u="1"/>
        <s v="Marcia Otto " u="1"/>
        <s v="Rodrigo Letelier" u="1"/>
        <s v="Austerliz Capriles " u="1"/>
        <s v="Ana Jocelyn  Schnell" u="1"/>
        <s v="Alvaro Martínez" u="1"/>
        <s v="Arleen Cedeño" u="1"/>
        <s v="Nicolas Gonzalez" u="1"/>
        <s v="Alexis Vogel " u="1"/>
        <s v="Dante Letelier " u="1"/>
        <s v="Aleibys Rodríguez" u="1"/>
        <s v="Ivan Rojo " u="1"/>
        <s v="ALG" u="1"/>
        <s v="Javiea Garcia" u="1"/>
      </sharedItems>
    </cacheField>
    <cacheField name="Nro Rend." numFmtId="0">
      <sharedItems containsString="0" containsBlank="1" containsNumber="1" containsInteger="1" minValue="0" maxValue="55" count="57">
        <m/>
        <n v="1"/>
        <n v="2"/>
        <n v="3"/>
        <n v="4"/>
        <n v="5"/>
        <n v="6"/>
        <n v="0"/>
        <n v="7"/>
        <n v="8"/>
        <n v="9"/>
        <n v="10"/>
        <n v="11"/>
        <n v="12"/>
        <n v="13"/>
        <n v="14"/>
        <n v="15"/>
        <n v="16"/>
        <n v="17"/>
        <n v="18"/>
        <n v="19"/>
        <n v="22"/>
        <n v="23"/>
        <n v="24"/>
        <n v="25"/>
        <n v="26"/>
        <n v="20"/>
        <n v="21"/>
        <n v="29"/>
        <n v="30"/>
        <n v="31"/>
        <n v="32"/>
        <n v="27"/>
        <n v="28"/>
        <n v="33"/>
        <n v="34"/>
        <n v="35"/>
        <n v="36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</sharedItems>
    </cacheField>
    <cacheField name="Fecha " numFmtId="14">
      <sharedItems containsNonDate="0" containsDate="1" containsString="0" containsBlank="1" minDate="2026-01-01T00:00:00" maxDate="2026-10-10T00:00:00" count="112">
        <d v="2026-01-09T00:00:00"/>
        <d v="2026-01-13T00:00:00"/>
        <d v="2026-01-08T00:00:00"/>
        <d v="2026-01-12T00:00:00"/>
        <d v="2026-01-15T00:00:00"/>
        <d v="2026-01-16T00:00:00"/>
        <d v="2026-01-23T00:00:00"/>
        <d v="2026-01-22T00:00:00"/>
        <d v="2026-01-21T00:00:00"/>
        <d v="2026-01-19T00:00:00"/>
        <d v="2026-01-28T00:00:00"/>
        <d v="2026-02-05T00:00:00"/>
        <d v="2026-02-02T00:00:00"/>
        <d v="2026-01-30T00:00:00"/>
        <d v="2026-01-26T00:00:00"/>
        <d v="2026-02-09T00:00:00"/>
        <d v="2026-02-10T00:00:00"/>
        <d v="2026-02-12T00:00:00"/>
        <d v="2026-02-17T00:00:00"/>
        <d v="2026-01-01T00:00:00"/>
        <d v="2026-02-20T00:00:00"/>
        <d v="2026-02-23T00:00:00"/>
        <d v="2026-02-19T00:00:00"/>
        <d v="2026-02-27T00:00:00"/>
        <d v="2026-03-04T00:00:00"/>
        <d v="2026-03-05T00:00:00"/>
        <d v="2026-03-03T00:00:00"/>
        <d v="2026-03-12T00:00:00"/>
        <d v="2026-03-18T00:00:00"/>
        <d v="2026-03-06T00:00:00"/>
        <d v="2026-03-11T00:00:00"/>
        <d v="2026-03-13T00:00:00"/>
        <d v="2026-03-23T00:00:00"/>
        <d v="2026-03-26T00:00:00"/>
        <d v="2026-03-27T00:00:00"/>
        <d v="2026-03-31T00:00:00"/>
        <d v="2026-04-09T00:00:00"/>
        <d v="2026-02-24T00:00:00"/>
        <d v="2026-03-09T00:00:00"/>
        <d v="2026-03-16T00:00:00"/>
        <d v="2026-03-24T00:00:00"/>
        <d v="2026-04-14T00:00:00"/>
        <d v="2026-04-15T00:00:00"/>
        <d v="2026-04-16T00:00:00"/>
        <d v="2026-04-07T00:00:00"/>
        <d v="2026-05-12T00:00:00"/>
        <d v="2026-04-23T00:00:00"/>
        <d v="2026-04-24T00:00:00"/>
        <d v="2026-04-30T00:00:00"/>
        <m/>
        <d v="2026-05-07T00:00:00"/>
        <d v="2026-04-10T00:00:00"/>
        <d v="2026-04-20T00:00:00"/>
        <d v="2026-04-21T00:00:00"/>
        <d v="2026-05-11T00:00:00"/>
        <d v="2026-05-19T00:00:00"/>
        <d v="2026-05-22T00:00:00"/>
        <d v="2026-05-29T00:00:00"/>
        <d v="2026-06-01T00:00:00"/>
        <d v="2026-06-04T00:00:00"/>
        <d v="2026-05-20T00:00:00"/>
        <d v="2026-05-26T00:00:00"/>
        <d v="2026-05-30T00:00:00"/>
        <d v="2026-05-13T00:00:00"/>
        <d v="2026-05-14T00:00:00"/>
        <d v="2026-05-21T00:00:00"/>
        <d v="2026-05-28T00:00:00"/>
        <d v="2026-06-03T00:00:00"/>
        <d v="2026-06-17T00:00:00"/>
        <d v="2026-06-15T00:00:00"/>
        <d v="2026-06-10T00:00:00"/>
        <d v="2026-06-16T00:00:00"/>
        <d v="2026-06-11T00:00:00"/>
        <d v="2026-06-18T00:00:00"/>
        <d v="2026-06-30T00:00:00"/>
        <d v="2026-07-01T00:00:00"/>
        <d v="2026-06-19T00:00:00"/>
        <d v="2026-06-25T00:00:00"/>
        <d v="2026-06-22T00:00:00"/>
        <d v="2026-06-24T00:00:00"/>
        <d v="2026-06-12T00:00:00"/>
        <d v="2026-07-08T00:00:00"/>
        <d v="2026-07-09T00:00:00"/>
        <d v="2026-07-13T00:00:00"/>
        <d v="2026-07-20T00:00:00"/>
        <d v="2026-07-17T00:00:00"/>
        <d v="2026-07-14T00:00:00"/>
        <d v="2026-07-22T00:00:00"/>
        <d v="2026-07-23T00:00:00"/>
        <d v="2026-07-30T00:00:00"/>
        <d v="2026-07-21T00:00:00"/>
        <d v="2026-07-28T00:00:00"/>
        <d v="2026-08-04T00:00:00"/>
        <d v="2026-08-06T00:00:00"/>
        <d v="2026-08-03T00:00:00"/>
        <d v="2026-08-20T00:00:00"/>
        <d v="2026-08-05T00:00:00"/>
        <d v="2026-08-10T00:00:00"/>
        <d v="2026-08-07T00:00:00"/>
        <d v="2026-08-11T00:00:00"/>
        <d v="2026-07-29T00:00:00"/>
        <d v="2026-07-31T00:00:00"/>
        <d v="2026-08-13T00:00:00"/>
        <d v="2026-08-21T00:00:00"/>
        <d v="2026-08-14T00:00:00"/>
        <d v="2026-08-19T00:00:00"/>
        <d v="2026-08-18T00:00:00"/>
        <d v="2026-08-28T00:00:00"/>
        <d v="2026-09-08T00:00:00"/>
        <d v="2026-09-23T00:00:00"/>
        <d v="2026-09-30T00:00:00"/>
        <d v="2026-10-09T00:00:00"/>
      </sharedItems>
      <fieldGroup par="21"/>
    </cacheField>
    <cacheField name="Semana" numFmtId="0">
      <sharedItems containsBlank="1" count="62">
        <s v="Del 05 al 09"/>
        <s v="Del 12 al 16"/>
        <s v="Del 19 al 23"/>
        <s v="Del 26 al 30"/>
        <s v="Del 02 al 06"/>
        <s v="Del 09 al 13"/>
        <s v="Del 16 al 20"/>
        <s v="Del 01 al 02"/>
        <s v="Del 23 al 27"/>
        <s v="Del 30 al 03"/>
        <s v="Del 06 al 10"/>
        <s v="Del 13 al 15"/>
        <s v="Del 13 al 17"/>
        <s v="Del 11 al 15"/>
        <s v="Del 20 al 24"/>
        <s v="Del 27 al 01"/>
        <m/>
        <s v="Del 04 al 08"/>
        <s v="Del 18 al 22"/>
        <s v="Del 25 al 29"/>
        <s v="Del 01 al 05"/>
        <s v="Del 1 al 19"/>
        <s v="Del 15 al 19"/>
        <s v="Del 08 al 12"/>
        <s v="Del 29 al 03"/>
        <s v="Del 22 al 26"/>
        <s v="Del 13 al 18"/>
        <s v="Del 27 al 31"/>
        <s v="Del 03 al 07"/>
        <s v="Del 17 al 21"/>
        <s v="Del 10 al 14"/>
        <s v="Del 24 al 28"/>
        <s v="Del 07 al 11"/>
        <s v="Del 28 al 02"/>
        <s v="del 02 al 05 " u="1"/>
        <s v="del 02 al 05" u="1"/>
        <s v="Del 29 al 02" u="1"/>
        <s v="del 26 al 02" u="1"/>
        <s v="del 26 al 01" u="1"/>
        <s v="del 26 al 29" u="1"/>
        <s v="Del 25 al 28" u="1"/>
        <s v="Del 20 al 25" u="1"/>
        <s v="Del 30 al 04" u="1"/>
        <s v="Del 28 al 01" u="1"/>
        <s v="Del 21 al 25" u="1"/>
        <s v="Del 14 al 18" u="1"/>
        <s v="del 01 al 04" u="1"/>
        <s v="Del 28 al 30" u="1"/>
        <s v="Del 28 al 31" u="1"/>
        <s v="Del 11al 15" u="1"/>
        <s v="del 3 al 7" u="1"/>
        <s v="del 31al 4 " u="1"/>
        <s v="del 7 al 11" u="1"/>
        <s v="del 28 al 31 " u="1"/>
        <s v="Del 4 al 8 " u="1"/>
        <s v="del 5 al 8" u="1"/>
        <s v="del 30 al 3 " u="1"/>
        <s v="del 6 al 10" u="1"/>
        <s v="del 27 al 1 " u="1"/>
        <s v="del 17 al 20" u="1"/>
        <s v="del 2 al 6" u="1"/>
        <s v="01 al 02" u="1"/>
      </sharedItems>
    </cacheField>
    <cacheField name="Mes" numFmtId="3">
      <sharedItems containsBlank="1" count="29">
        <s v="enero"/>
        <s v="febrero"/>
        <s v="marzo"/>
        <s v="abril"/>
        <s v="mayo"/>
        <s v=""/>
        <s v="junio"/>
        <s v="julio"/>
        <s v="agosto"/>
        <s v="septiembre"/>
        <s v="octubre"/>
        <s v="February" u="1"/>
        <s v="January" u="1"/>
        <s v="March" u="1"/>
        <s v="April" u="1"/>
        <s v="May" u="1"/>
        <s v="June" u="1"/>
        <s v="July" u="1"/>
        <s v="August" u="1"/>
        <s v="September" u="1"/>
        <s v="October" u="1"/>
        <s v="November" u="1"/>
        <s v="December" u="1"/>
        <s v="31-9-24" u="1"/>
        <s v="19-825" u="1"/>
        <s v="25-111-24" u="1"/>
        <s v="diciembre" u="1"/>
        <m u="1"/>
        <s v="Junio " u="1"/>
      </sharedItems>
    </cacheField>
    <cacheField name="C.C." numFmtId="3">
      <sharedItems containsBlank="1" count="11">
        <s v="HGI."/>
        <m/>
        <s v="HG"/>
        <s v="O. PAÍS"/>
        <s v="CS"/>
        <s v="Air Heca"/>
        <s v="C. ORDEN" u="1"/>
        <s v="Obra" u="1"/>
        <s v="MIXTO" u="1"/>
        <s v="H.G.I." u="1"/>
        <s v="H.G" u="1"/>
      </sharedItems>
    </cacheField>
    <cacheField name="Cuenta " numFmtId="0">
      <sharedItems containsBlank="1" count="11">
        <m/>
        <s v="Oficina"/>
        <s v="Operacionales"/>
        <s v="Activo fijo "/>
        <s v="Extras"/>
        <s v="Viajes "/>
        <s v="Importaciones / Export. "/>
        <s v="Otros "/>
        <s v="Gastos de Personal " u="1"/>
        <s v="Impuestos " u="1"/>
        <s v="Marketing" u="1"/>
      </sharedItems>
    </cacheField>
    <cacheField name="Detalle" numFmtId="0">
      <sharedItems containsBlank="1" count="52">
        <m/>
        <s v="Miscelaneos Administracion"/>
        <s v="Artículos de Oficina "/>
        <s v="Bodega"/>
        <s v="Peajes / Estacionamientos "/>
        <s v="Comidas y Bebidas "/>
        <s v="Equipos Electronicos y de Computacion "/>
        <s v="Artículos de Aseo "/>
        <s v="Bencina"/>
        <s v="Reparaciones y remodelaciones"/>
        <s v="Otros  "/>
        <s v="Taxi - Uber"/>
        <s v="Envíos y encomiendas"/>
        <s v="Patente "/>
        <s v="Hospedaje"/>
        <s v="Café / Doctores Colación "/>
        <s v="Estacionamiento"/>
        <s v="Otros Gastos de Oficina "/>
        <s v="Gastos Auto"/>
        <s v="Honorarios "/>
        <s v="Gastos Furgón "/>
        <s v="Pasajes Bus - Aéreos "/>
        <s v="Pólizas de garantías Licitaciones"/>
        <s v="Gastos Otros Países - Chile "/>
        <s v="Instituto Salud Publica (CDA)"/>
        <s v="Notario y Legal "/>
        <s v="Gastos Importacion"/>
        <s v="Gastos de Vehiculo"/>
        <s v="Gastos de Viajes"/>
        <s v="Gastos Varios "/>
        <s v="Equipos de Protección personal "/>
        <s v="Insumos para Presentaciones"/>
        <s v="Insumos Dentales "/>
        <s v="Publicidad / Marketing "/>
        <s v="DIN Importaciones"/>
        <s v="Maletas Pelican"/>
        <s v="Gastos Legales"/>
        <s v="Pasajes Latam " u="1"/>
        <s v="Combustible" u="1"/>
        <s v="Presentación Doctores" u="1"/>
        <s v="Gastos Audi" u="1"/>
        <s v="Metro - tarjeta Bip " u="1"/>
        <s v="Previsiones Sociales " u="1"/>
        <s v="Teléfono celular" u="1"/>
        <s v="Servicio de Encomienda" u="1"/>
        <s v="TAG " u="1"/>
        <s v="Cuentas por Cobrar R.L." u="1"/>
        <s v="Pasajes Aéreos CS" u="1"/>
        <s v="F-29 " u="1"/>
        <s v="Servipag" u="1"/>
        <s v="Bus- Peaje" u="1"/>
        <s v="Tablet 11" u="1"/>
      </sharedItems>
    </cacheField>
    <cacheField name="Concepto " numFmtId="0">
      <sharedItems containsBlank="1"/>
    </cacheField>
    <cacheField name="Tipo Doc" numFmtId="0">
      <sharedItems containsBlank="1"/>
    </cacheField>
    <cacheField name="Monto Neto " numFmtId="165">
      <sharedItems containsString="0" containsBlank="1" containsNumber="1" minValue="-95003.6" maxValue="1428555"/>
    </cacheField>
    <cacheField name="Monto Exento " numFmtId="165">
      <sharedItems containsString="0" containsBlank="1" containsNumber="1" minValue="-26717" maxValue="2340839"/>
    </cacheField>
    <cacheField name="Iva" numFmtId="165">
      <sharedItems containsString="0" containsBlank="1" containsNumber="1" minValue="-18050.684000000001" maxValue="271425.45"/>
    </cacheField>
    <cacheField name="Total " numFmtId="165">
      <sharedItems containsSemiMixedTypes="0" containsString="0" containsNumber="1" minValue="-113054.28400000001" maxValue="2340839"/>
    </cacheField>
    <cacheField name="Pagado por " numFmtId="0">
      <sharedItems containsBlank="1" count="6">
        <s v="Banco Internacional HGI "/>
        <m/>
        <s v="No Genera Pago "/>
        <s v="Scotianbank CLP"/>
        <s v="Banco Estado HGI" u="1"/>
        <s v="Cash CLP" u="1"/>
      </sharedItems>
    </cacheField>
    <cacheField name="Fecha de Pago " numFmtId="0">
      <sharedItems containsDate="1" containsBlank="1" containsMixedTypes="1" minDate="2025-02-20T00:00:00" maxDate="2026-10-10T00:00:00"/>
    </cacheField>
    <cacheField name="Monto " numFmtId="165">
      <sharedItems containsString="0" containsBlank="1" containsNumber="1" minValue="-113053.54" maxValue="5000000"/>
    </cacheField>
    <cacheField name="Saldo Fondo " numFmtId="165">
      <sharedItems containsString="0" containsBlank="1" containsNumber="1" minValue="-4504996" maxValue="2340839"/>
    </cacheField>
    <cacheField name="Columna1" numFmtId="0">
      <sharedItems containsNonDate="0" containsString="0" containsBlank="1"/>
    </cacheField>
    <cacheField name="Meses (Fecha )" numFmtId="0" databaseField="0">
      <fieldGroup base="2">
        <rangePr groupBy="months" startDate="2026-01-01T00:00:00" endDate="2026-10-10T00:00:00"/>
        <groupItems count="14">
          <s v="&lt;1/1/2026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0/10/2026"/>
        </groupItems>
      </fieldGroup>
    </cacheField>
    <cacheField name="Trimestres (Fecha )" numFmtId="0" databaseField="0">
      <fieldGroup base="2">
        <rangePr groupBy="quarters" startDate="2026-01-01T00:00:00" endDate="2026-10-10T00:00:00"/>
        <groupItems count="6">
          <s v="&lt;1/1/2026"/>
          <s v="Trim.1"/>
          <s v="Trim.2"/>
          <s v="Trim.3"/>
          <s v="Trim.4"/>
          <s v="&gt;10/10/2026"/>
        </groupItems>
      </fieldGroup>
    </cacheField>
    <cacheField name="Años (Fecha )" numFmtId="0" databaseField="0">
      <fieldGroup base="2">
        <rangePr groupBy="years" startDate="2026-01-01T00:00:00" endDate="2026-10-10T00:00:00"/>
        <groupItems count="3">
          <s v="&lt;1/1/2026"/>
          <s v="2026"/>
          <s v="&gt;10/10/2026"/>
        </groupItems>
      </fieldGroup>
    </cacheField>
  </cacheFields>
  <extLst>
    <ext xmlns:x14="http://schemas.microsoft.com/office/spreadsheetml/2009/9/main" uri="{725AE2AE-9491-48be-B2B4-4EB974FC3084}">
      <x14:pivotCacheDefinition pivotCacheId="65071106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tabilidad Hecaglobal" refreshedDate="46311.40739108796" createdVersion="8" refreshedVersion="8" minRefreshableVersion="3" recordCount="168" xr:uid="{B9DE846C-E43A-4276-A410-C689A6058971}">
  <cacheSource type="worksheet">
    <worksheetSource name="Tabla14"/>
  </cacheSource>
  <cacheFields count="19">
    <cacheField name="Cuenta" numFmtId="0">
      <sharedItems count="10">
        <s v="Gastos de Oficina "/>
        <s v="Gastos de Operaciones "/>
        <s v="Siga Sonriendo "/>
        <s v="Gastos de Viaje "/>
        <s v="Gastos de Importacion Invisalign "/>
        <s v="Gastos de Importacion Itero"/>
        <s v="Gastos Extras"/>
        <s v="Gastos Financieros "/>
        <s v="Gastos de Personal "/>
        <s v="Gasto Tax Ingenieria"/>
      </sharedItems>
    </cacheField>
    <cacheField name="Subcuenta " numFmtId="0">
      <sharedItems count="160">
        <s v="Fumigación y Sanitización"/>
        <s v="Equipos de protección al Personal"/>
        <s v="Articulos de OFICINA (Dimerc, TodoToner)"/>
        <s v="AGUA MINERAL"/>
        <s v="Mantencion de Aires Acondicionados / Impresoras/ JARDINERO"/>
        <s v="LA FLORIDA 1301 - Verisure / Movistar Fijo / Claro Internet  "/>
        <s v="LA FLORIDA 1301 - Entel Fijo -  Entel Celulares "/>
        <s v="LA FLORIDA 1301 - ARRIENDO / Estacionamiento/ G. Común / ENEL"/>
        <s v="OFICINA 450-455-460 GASTOS ENTRE HECA / SONRIE / SIGA SONRIENDO"/>
        <s v="OFICINA 455 EGAÑA - ARRIENDO / VERISURE / ENTEL INTERNET"/>
        <s v="OFICINA 450-455-460 EGAÑA Gasto Comun  "/>
        <s v="OFICINA 450-455-460 EGAÑA - AGUAS ANDINAS "/>
        <s v="OFICINA 450-455-460 EGAÑA - ENEL "/>
        <s v="OFICINA 520-525-530 EGAÑA - ARRIENDO / VERISURE /  INTERNET"/>
        <s v="OFICINA 520-525-530 EGAÑA Gasto Comun  "/>
        <s v="OFICINA 520-525-530 EGAÑA AGUAS ANDINAS "/>
        <s v="OFICINA 520-525-530 EGAÑA - ENEL "/>
        <s v="OFICINA 375 EGAÑA - ARRIENDO / GASTO COMUN / INTERNET"/>
        <s v="OFICINA 375 EGAÑA - AGUAS ANDINAS - ENEL"/>
        <s v="OFICINA 510 EGAÑA - ARRIENDO / GASTO COMUN / VERISURE"/>
        <s v="OFICINA 510 EGAÑA - AGUAS ANDINAS - ENEL "/>
        <s v="ESTACIONJAMIENTO STREET CENTER A PARTIR DE JUNIO"/>
        <s v="MARKETING. "/>
        <s v="Credenciales / GEOVICTORIA / AGAZAJOS AL PERSONAL"/>
        <s v="POLIZA CHILENA CONSOLIDADA SEGUROS GENERALES - BCI"/>
        <s v="GASTOS REMODELACION PISO 5"/>
        <s v="Gastos de OFICINA de rendiciones "/>
        <s v="ASB Contadores / W &amp; A ASESORIAS"/>
        <s v="Autopista Central"/>
        <s v="Vespucio Norte "/>
        <s v="Vespusio Sur "/>
        <s v="Costanera Norte"/>
        <s v="Ruta del Maipo"/>
        <s v="RUTA PASS 78"/>
        <s v="VESPUCIO ORIENTE"/>
        <s v="GLOBALBVIA / AUTOPISTA DEL ACONCAGUA"/>
        <s v="CHILEXPRESS"/>
        <s v="ORCI LATAM CHILE"/>
        <s v="NOTARIA"/>
        <s v="AUTOPISTAS AMBULANCIA - GASTOS FURGON"/>
        <s v="CAMARA CHILENO NORTEAMERICANA DE COMERCIO / PATENTE MUNICIPAL"/>
        <s v="ASESORIAS LEGALES CABELLO Y COMPAÑÍA / SILVA Y CIA / BARONI CONSULTORES"/>
        <s v="FLETES- AYUDANTES- BONIFICACIONES - GASTOS DE PERSONAL - TRASLADOS"/>
        <s v="JULIO TRUCCO - JOSE TOMAS CASTRO"/>
        <s v="DELLA MAGGIORA EYZAGUIRRE / CARLOS ROBERTO MONTI"/>
        <s v="JORGE LOPEZ KINESIOLOGO"/>
        <s v="POLIZAS DE SEGURO HDI VEHICULOS"/>
        <s v="Gastos operacionales de Rendiciones"/>
        <s v="Gastos Ambulancia Club Sonrie"/>
        <s v="Gastos CLUB SONRIE de Rendiciones"/>
        <s v="DIMERC"/>
        <s v="EXTERNAL"/>
        <s v="GEOVICTORIA - DENTALINK"/>
        <s v="AG. PUBLICIDAD MERAKI PAIDEIA "/>
        <s v="MAESTROS Y AYUDANTES - VARIOS"/>
        <s v="BIODEFENSA"/>
        <s v="MARKETING KITCHEN CLUB - FADUOR"/>
        <s v="SEGUNDO FUENMAYOR / YENNY VILLANO (ASEO)"/>
        <s v="RICARDO PALMA"/>
        <s v="Consultorio 115 EGAÑA - Arriendo / Gasto Comun / ENEL / VERISURE"/>
        <s v="AGUAS ANDINAS / GTD MANQUEHUE CONSULTORIO 115 EGAÑA"/>
        <s v="AGUA MINERAL / ENTEL CELULARES "/>
        <s v="GASTOS DE OFICINA 450-455-460 EGAÑA (DIVIDIDO ENTRE 3 HASTA MAYO"/>
        <s v="OFICINA 375 EGAÑA - ARRIENDO / GASTO COMUN / ENTEL "/>
        <s v="MERCADO PAGO"/>
        <s v="Consultorio 1307 LA FLORIDA - Arriendo / Gasto Comun / ENEL / VERISURE "/>
        <s v="FELIPE MAGNAN"/>
        <s v="FERNANDO STANGE"/>
        <s v="CRISTOBAL MONTERO / "/>
        <s v="CALL CENTER - ANA PARRA"/>
        <s v="ALEX GOMEZ"/>
        <s v="NATALIE ARENAS DENTISTA"/>
        <s v="JESSICA MOROCHO"/>
        <s v="SEBASTIAN URETA"/>
        <s v="SEGURO COMPLEMENTARIO CONSORCIO"/>
        <s v="IMPOSICIONES DE TRABAJADORES"/>
        <s v="Alojamientos"/>
        <s v="Pasajes"/>
        <s v="Gastos de viajes de rendiciones "/>
        <s v="TGR IMPUESTOS Invisalign "/>
        <s v="FLETE INTERNO Invisalign "/>
        <s v="UPS / ALMACENAJE Invisalign "/>
        <s v="TGR ARANCEL Y SEGURO Invisalign "/>
        <s v="Instituto Salud Publica (CDA) Invisalign "/>
        <s v="AGENCIA DE ADUANA Invisalign "/>
        <s v="AGENCIA DE ADUANA Itero "/>
        <s v="FLETE INTERNO - FEDEX OCASIONAL Itero"/>
        <s v="DESCONSOLIDADO (DHL, UPS) Itero"/>
        <s v="Almacenaje (Depocargo, Aerosan, FAST AIR, UPS) Itero "/>
        <s v="TGR ARANCEL Y SEGURO Itero "/>
        <s v="Instituto Salud Publica (CDA) Intero "/>
        <s v="Fastmark - USA EXPRESS CS / DSV"/>
        <s v="ALMACENAJE CS / FLETE INTERNO"/>
        <s v="AGENCIA DE ADUANA CS"/>
        <s v="TGR"/>
        <s v="IMPOSICIONES "/>
        <s v="GASTOS CS (BANCO SECURITY - INTERNACIONAL)"/>
        <s v="ENTEL CLAUDIA Y TERESA"/>
        <s v="VERISURE SRA. TERESA"/>
        <s v="SERFVIPAG"/>
        <s v="ABOGADOS CS"/>
        <s v="GASTOS TERRENOS NATALIO STEIN / LAS GOLONDRINAS / LOS SUEÑOS"/>
        <s v="Gastos extras de rendiciones "/>
        <s v="ENTEL PALMA"/>
        <s v="SUELDO REPRESENTANTE LEGAL"/>
        <s v="AGENCIA DE VIAJE CS"/>
        <s v="Edynar Aracelis Monsalbe Oviedo"/>
        <s v="Alexis Daniel Vogel "/>
        <s v="Deisy Mildred Sierra Calderon"/>
        <s v="Gabriel David Baltodano Saavedra"/>
        <s v="David Alfredo Herce Bolek "/>
        <s v="LARA SHROEDER"/>
        <s v="Adolfo Raul  Quintana Giannoni"/>
        <s v="ORCI LATAM HOLDING"/>
        <s v="GASTOS DE EXPORTACIONES ARGENTINA"/>
        <s v="GASTOS DE EXPORTACIONES O IMPORTACIONES PARA URUGUAY"/>
        <s v="GASTOS DE IMPORTACIONES PARA ARGENTINA"/>
        <s v="GASTOS DE IMPORTACIONES OTROS PAISES"/>
        <s v="GASTOS DE EXPORTACIONES OTROS PAISES"/>
        <s v="MARTHA SOCARRAS - ERNESTO SEPULVEDA"/>
        <s v="AGENCIA DE VIAJE OTROS PAISES HECA"/>
        <s v="UPS ENVIOS A OTROS PAISES HECA"/>
        <s v="VANTRUST - SECURITY (TRANSFERENCIAS OTROS PAISES)"/>
        <s v="EQUIFAX"/>
        <s v="Banco Security"/>
        <s v="MAPFRE SEGUROS GRALES-FRAUDE"/>
        <s v="VANTRUST"/>
        <s v="TRANSBANK"/>
        <s v="BCI"/>
        <s v="BANCO DE CHILE"/>
        <s v="SCOTIABANK COMISIONES"/>
        <s v="ITAU COMISIONES"/>
        <s v="BANCO INTERNACIONAL"/>
        <s v="Ivan Alexander Rojo Toro"/>
        <s v="Austerlitz Eduardo Capriles Rodriguez"/>
        <s v="Bastian Hernaldo Landeros Tobar"/>
        <s v="Alvaro Antonio Martinez Perez"/>
        <s v="Mariangel Aimara Veloz Bastardo"/>
        <s v="Cristian Andres Nuñez Herrera"/>
        <s v="Manuel Alejandro Guajardo Olivares"/>
        <s v="FINIQUITOS"/>
        <s v="Jessair Mariel Moret Morales"/>
        <s v="Raul Andres Diaz Hernandez"/>
        <s v="Marta Veronica Avaria Martinez"/>
        <s v="Patricia Cecilia Romero Echandia"/>
        <s v="Hyrlenne Yolizeth Carrizo Rodriguez"/>
        <s v="Luis  Alberto Hasbun Leon"/>
        <s v="Javiera Catalina  Garcia Diaz"/>
        <s v="Aleibys Veronica Rodriguez Lopez"/>
        <s v="Ruperto Francisco Rojo Valles"/>
        <s v="Constanza Bernardita Cuevas Yañez"/>
        <s v="Brian Andres Rojo Figueroa"/>
        <s v="Francisco Gonzalez"/>
        <s v="Ana Medina Duque"/>
        <s v="Ricardo Ibarra"/>
        <s v="Thomas Palmenio Reyes Bolelli "/>
        <s v="Jaqueline Alejandra Tobar Gutierrez"/>
        <s v="Davis Edwad Torres Linares"/>
        <s v="CRISTOBAL STANGE"/>
        <s v="Gasto Tax Ingenieria"/>
      </sharedItems>
    </cacheField>
    <cacheField name="january" numFmtId="165">
      <sharedItems containsString="0" containsBlank="1" containsNumber="1" minValue="0" maxValue="45650517"/>
    </cacheField>
    <cacheField name="february" numFmtId="165">
      <sharedItems containsString="0" containsBlank="1" containsNumber="1" minValue="0" maxValue="9462662"/>
    </cacheField>
    <cacheField name="march" numFmtId="165">
      <sharedItems containsString="0" containsBlank="1" containsNumber="1" minValue="0" maxValue="24051476"/>
    </cacheField>
    <cacheField name="cuarter 1" numFmtId="165">
      <sharedItems containsSemiMixedTypes="0" containsString="0" containsNumber="1" minValue="0" maxValue="79164655"/>
    </cacheField>
    <cacheField name="april" numFmtId="165">
      <sharedItems containsString="0" containsBlank="1" containsNumber="1" minValue="0" maxValue="18711566"/>
    </cacheField>
    <cacheField name="may" numFmtId="165">
      <sharedItems containsString="0" containsBlank="1" containsNumber="1" minValue="0" maxValue="31984947"/>
    </cacheField>
    <cacheField name="june" numFmtId="165">
      <sharedItems containsString="0" containsBlank="1" containsNumber="1" minValue="0" maxValue="17549488"/>
    </cacheField>
    <cacheField name="cuarter 2" numFmtId="165">
      <sharedItems containsSemiMixedTypes="0" containsString="0" containsNumber="1" minValue="0" maxValue="65701883"/>
    </cacheField>
    <cacheField name="july" numFmtId="165">
      <sharedItems containsString="0" containsBlank="1" containsNumber="1" minValue="0" maxValue="19918785"/>
    </cacheField>
    <cacheField name="august" numFmtId="165">
      <sharedItems containsString="0" containsBlank="1" containsNumber="1" minValue="0" maxValue="22923721"/>
    </cacheField>
    <cacheField name="september" numFmtId="165">
      <sharedItems containsString="0" containsBlank="1" containsNumber="1" minValue="0" maxValue="23283003"/>
    </cacheField>
    <cacheField name="cuarter 3" numFmtId="165">
      <sharedItems containsSemiMixedTypes="0" containsString="0" containsNumber="1" minValue="0" maxValue="42842506"/>
    </cacheField>
    <cacheField name="october" numFmtId="165">
      <sharedItems containsString="0" containsBlank="1" containsNumber="1" minValue="0" maxValue="47097153"/>
    </cacheField>
    <cacheField name="november" numFmtId="165">
      <sharedItems containsString="0" containsBlank="1" containsNumber="1" minValue="0" maxValue="23663316"/>
    </cacheField>
    <cacheField name="december" numFmtId="165">
      <sharedItems containsString="0" containsBlank="1" containsNumber="1" minValue="0" maxValue="37667600"/>
    </cacheField>
    <cacheField name="cuarter 4" numFmtId="165">
      <sharedItems containsSemiMixedTypes="0" containsString="0" containsNumber="1" minValue="0" maxValue="108428069"/>
    </cacheField>
    <cacheField name="Total " numFmtId="167">
      <sharedItems containsSemiMixedTypes="0" containsString="0" containsNumber="1" minValue="0" maxValue="2961371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tabilidad Hecaglobal" refreshedDate="46311.407391666668" createdVersion="8" refreshedVersion="8" minRefreshableVersion="3" recordCount="163" xr:uid="{2ED9C6D9-FBB7-43C9-B0E9-8769EED11022}">
  <cacheSource type="worksheet">
    <worksheetSource name="Tabla1"/>
  </cacheSource>
  <cacheFields count="19">
    <cacheField name="Cuenta" numFmtId="0">
      <sharedItems count="10">
        <s v="Gastos de Oficina "/>
        <s v="Gastos de Operaciones "/>
        <s v="Siga Sonriendo "/>
        <s v="Gastos de Viaje "/>
        <s v="Gastos de Importacion Invisalign "/>
        <s v="Gastos de Importacion Itero"/>
        <s v="Gastos Extras"/>
        <s v="Gastos Financieros "/>
        <s v="Gastos de Personal "/>
        <s v="Gasto Tax Ingenieria"/>
      </sharedItems>
    </cacheField>
    <cacheField name="Subcuenta" numFmtId="0">
      <sharedItems count="163">
        <s v="EMPRESA RECICLADORA PLANETA LIMPIO"/>
        <s v="Equipos de protección al Personal"/>
        <s v="Articulos de OFICINA (Dimerc, TodoToner)"/>
        <s v="AGUA MINERAL"/>
        <s v="Mantencion de Aires Acondicionados / Impresoras/ GEOVICTORIA"/>
        <s v="INTERNET CLARO /  ENTEL CELULARES"/>
        <s v="OFICINA 450-455-460 GASTOS ENTRE HECAGLOBAL / HGI"/>
        <s v="OFICINA 455 EGAÑA - ARRIENDO / VERISURE / ENTEL INTERNET"/>
        <s v="OFICINA 450-455-460 EGAÑA Gasto Comun  "/>
        <s v="OFICINA 450-455-460 EGAÑA - AGUAS ANDINAS "/>
        <s v="OFICINA 450-455-460 EGAÑA - ENEL "/>
        <s v="OFICINA 520-525-530 - ARRIENDO / VERISURE / ENTEL INTERNET / ENTEL TELEFONIA"/>
        <s v="OFICINA 520-525-530 EGAÑA Gasto Comun  "/>
        <s v="OFICINA 520-525-530 EGAÑA AGUAS ANDINAS "/>
        <s v="OFICINA 520-525-530 EGAÑA - ENEL "/>
        <s v="OFICINA 510 EGAÑA - ARRIENDO / GASTO COMUN / VERISURE"/>
        <s v="OFICINA 510 EGAÑA - AGUAS ANDINAS - ENEL "/>
        <s v="ESTACIONJAMIENTO STREET CENTER"/>
        <s v="MARKETING. Por Rendiciones"/>
        <s v="JORGE LOPEZ KINESIOLOGO / BRUXISMO Y DOLOR "/>
        <s v="POLIZA CONTRA INCENDIOS"/>
        <s v="GASTOS REMODELACION OFICINAS"/>
        <s v="Gastos de OFICINA de rendiciones "/>
        <s v="ASB Contadores / W &amp; A ASESORIAS / KRESTON AUDITORES"/>
        <s v="Autopista Central"/>
        <s v="Vespucio Norte "/>
        <s v="Vespusio Sur "/>
        <s v="Costanera Norte"/>
        <s v="Ruta del Maipo"/>
        <s v="RUTA PASS 78"/>
        <s v="VESPUCIO ORIENTE"/>
        <s v="GLOBALBVIA / AUTOPISTA DEL ACONCAGUA"/>
        <s v="RUTA 5 TALCA-CHILLAN"/>
        <s v="CHILEXPRESS"/>
        <s v="NOTARIA"/>
        <s v="GASTOS FURGON"/>
        <s v="CAMARA CHILENO NORTEAMERICANA DE COMERCIO / PATENTE MUNICIPAL"/>
        <s v="ASESORIAS LEGALES C"/>
        <s v="FLETES- AYUDANTES EXTERNOS- BONIFICACIONES- TAXI"/>
        <s v="JOSE TOMAS CASTRO"/>
        <s v="DESCUENTOS / BONIFICACIONES DOCTORES"/>
        <s v="BARONI CONSULTORES "/>
        <s v="POLIZAS DE SEGURO HDI VEHICULOS"/>
        <s v="Maletas Iteros "/>
        <s v="Gastos operacionales de Rendiciones"/>
        <s v="Gastos Clinica 1307"/>
        <s v="Consultorio 115 EGAÑA - Arriendo / Gasto Comun / GTD MANQUEHUE  "/>
        <s v="Consultorio 115 EGAÑA - AGUAS ANDINAS / ENEL / VERISURE "/>
        <s v="AGUA MINERAL / ENTEL CELULARES "/>
        <s v="OFICINA 375 - ARRIENDO / GASTO COMUN / ENTEL INTERNET"/>
        <s v="OFICINA 375 - AGUAS ANDINAS - ENEL"/>
        <s v="Consultorio 1307 LA FLORIDA - Arriendo / Gasto Comun / ENEL / ENTEL"/>
        <s v="MERCADO PAGO SS"/>
        <s v="JESSICA MOROCHO"/>
        <s v="SEBASTIAN URETA"/>
        <s v="Alojamientos"/>
        <s v="Pasajes"/>
        <s v="Gastos de viajes de rendiciones "/>
        <s v="TGR IMPUESTOS Invisalign "/>
        <s v="FLETE INTERNO Invisalign "/>
        <s v="UPS / ALMACENAJE Invisalign "/>
        <s v="TGR ARANCEL Y SEGURO Invisalign "/>
        <s v="Instituto Salud Publica (CDA) Invisalign "/>
        <s v="AGENCIA DE ADUANA Invisalign "/>
        <s v="AGENCIA DE ADUANA Itero "/>
        <s v="FLETE INTERNO - FEDEX OCASIONAL Itero"/>
        <s v="DESCONSOLIDADO (DHL, UPS) Itero"/>
        <s v="Almacenaje (Depocargo, Aerosan, FAST AIR, UPS) Itero "/>
        <s v="TGR ARANCEL Y SEGURO Itero "/>
        <s v="Instituto Salud Publica (CDA) Intero "/>
        <s v="Fastmark - USA EXPRESS CS / DSV"/>
        <s v="ALMACENAJE CS / FLETE INTERNO"/>
        <s v="AGENCIA DE ADUANA CS"/>
        <s v="TGR"/>
        <s v="SUELDO CLAUDIA BLANCO / IMPOSICIONES CS"/>
        <s v="GASTOS CS (BANCO SECURITY - INTERNACIONAL)"/>
        <s v="ENTEL CLAUDIA Y TERESA "/>
        <s v="VERISURE SRA. TERESA"/>
        <s v="SERVIPAG"/>
        <s v="ABOGADOS CS / NOTARIA"/>
        <s v="GASTOS TERRENOS NATALIO STEIN / LAS GOLONDRINAS / LOS SUEÑOS"/>
        <s v="Gastos extras de rendiciones "/>
        <s v="ENTEL PALMA"/>
        <s v="SUELDO REPRESENTANTE LEGAL"/>
        <s v="AGENCIA DE VIAJE CS"/>
        <s v="RIBBS AND BEER GASTRONOMIA"/>
        <s v="Alexis Daniel Vogel  OP"/>
        <s v="David Alfredo Herce Bolek OP"/>
        <s v="Deisy Mildred Sierra Calderon OP"/>
        <s v="Edynar Aracelis Monsalbe Oviedo OP"/>
        <s v="Gabriel David Baltodano Saavedra OP"/>
        <s v="Adolfo Raul  Quintana Giannoni OP"/>
        <s v="Lara Schroeder OP"/>
        <s v="Alfonso Camps Nielsen OP"/>
        <s v="Aleibys Veronica Rodriguez Lopez OP"/>
        <s v="Teresa Espinoza Cerón"/>
        <s v="Castaña Niñoles Díaz OP"/>
        <s v="Austerlitz Eduardo Capriles Rodriguez OP"/>
        <s v="ORCI LATAM HOLDING / BARONI CONSULTORES/ Adsformance"/>
        <s v="GASTOS DE EXPORTACIONES ARGENTINA"/>
        <s v="GASTOS DE EXPORTACIONES O IMPORTACIONES PARA URUGUAY"/>
        <s v="GASTOS DE IMPORTACIONES PARA ARGENTINA"/>
        <s v="GASTOS DE IMPORTACIONES OTROS PAISES"/>
        <s v="GASTOS DE EXPORTACIONES OTROS PAISES"/>
        <s v="ALIGNERCLICK ODONTOLOGA LIMITADA OTROS PAISES "/>
        <s v="MARTHA SOCARRAS - ERNESTO SEPULVEDA - ALG - FURQAN"/>
        <s v="AGENCIA DE VIAJE OTROS PAISES HECA"/>
        <s v="UPS ENVIOS A OTROS PAISES HECA"/>
        <s v="EXTRA MANUEL GUAJARDO "/>
        <s v="Otros gastos Extras"/>
        <s v=" Cu2 Cloud Tec Store / SAGE O.P"/>
        <s v="VANTRUST - SECURITY (TRANSFERENCIAS OTROS PAISES)"/>
        <s v="EQUIFAX"/>
        <s v="Banco Security"/>
        <s v="MAPFRE SEGUROS GRALES-FRAUDE"/>
        <s v="MERCADO PAGO"/>
        <s v="VANTRUST"/>
        <s v="TRANSBANK"/>
        <s v="BCI"/>
        <s v="BANCO DE CHILE"/>
        <s v="SCOTIABANK COMISIONES"/>
        <s v="ITAU COMISIONES"/>
        <s v="BANCO INTERNACIONAL"/>
        <s v="Ivan Alexander Rojo Toro"/>
        <s v="Austerlitz Eduardo Capriles Rodriguez"/>
        <s v="Bastian Hernaldo Landeros Tobar"/>
        <s v="Alexis Daniel Vogel "/>
        <s v="Manuel Alejandro Guajardo Olivares"/>
        <s v="David Alfredo Herce Bolek "/>
        <s v="Mariangel Aimara Veloz Bastardo"/>
        <s v="Deisy Mildred Sierra Calderon"/>
        <s v="Edynar Aracelis Monsalbe Oviedo"/>
        <s v="Aleibys Veronica Rodriguez Lopez"/>
        <s v="Gabriel David Baltodano Saavedra"/>
        <s v="Hyrlenne Yolizeth Carrizo Rodriguez"/>
        <s v="Patricia Cecilia Romero Echandia"/>
        <s v="Marta Veronica Avaria Martinez"/>
        <s v="Adolfo Raul  Quintana Giannoni"/>
        <s v="Javiera Catalina  Garcia Diaz"/>
        <s v="Alvaro Antonio Martinez Perez"/>
        <s v="Constanza Bernardita Cuevas Yañez"/>
        <s v="Ruperto Francisco Rojo Valles"/>
        <s v="Brian Andres Rojo Figueroa"/>
        <s v="Francisco Gonzalez"/>
        <s v="Ana Medina Duque"/>
        <s v="Luis  Alberto Hasbun Leon"/>
        <s v="Raul Andres Diaz Hernandez"/>
        <s v="Davis Edwad Torres Linares"/>
        <s v="Maria Jose Faundez Doren"/>
        <s v="Constanza Belen Guajardo Fernandez"/>
        <s v="Javier Salazar"/>
        <s v="Osvaldo Valenzuela Valenzuela"/>
        <s v="Alejandra Olivares Reyes"/>
        <s v="Alfonso Camps Nielsen "/>
        <s v="Camila Soto Salas"/>
        <s v="Gustavo Gutierrez Morales"/>
        <s v="Edgar Hernandez Zapata"/>
        <s v="Angela Jara Urrutia"/>
        <s v="Tabita Elena Araya Maldonado"/>
        <s v="CRISTOBAL STANGE"/>
        <s v="IMPOSICIONES DE TRABAJADORES"/>
        <s v="SEGURO COMPLEMENTARIO CONSORCIO"/>
        <s v="Gasto Tax Ingenieria"/>
      </sharedItems>
    </cacheField>
    <cacheField name="january" numFmtId="167">
      <sharedItems containsString="0" containsBlank="1" containsNumber="1" minValue="0" maxValue="58569881"/>
    </cacheField>
    <cacheField name="february" numFmtId="167">
      <sharedItems containsString="0" containsBlank="1" containsNumber="1" minValue="0" maxValue="67420824"/>
    </cacheField>
    <cacheField name="march" numFmtId="167">
      <sharedItems containsString="0" containsBlank="1" containsNumber="1" minValue="0" maxValue="34125775"/>
    </cacheField>
    <cacheField name="cuarter 1" numFmtId="167">
      <sharedItems containsString="0" containsBlank="1" containsNumber="1" minValue="0" maxValue="150333494"/>
    </cacheField>
    <cacheField name="april" numFmtId="167">
      <sharedItems containsString="0" containsBlank="1" containsNumber="1" minValue="0" maxValue="47353484"/>
    </cacheField>
    <cacheField name="may" numFmtId="167">
      <sharedItems containsString="0" containsBlank="1" containsNumber="1" minValue="0" maxValue="38946156"/>
    </cacheField>
    <cacheField name="june" numFmtId="167">
      <sharedItems containsString="0" containsBlank="1" containsNumber="1" minValue="0" maxValue="19303172"/>
    </cacheField>
    <cacheField name="cuarter 2" numFmtId="167">
      <sharedItems containsSemiMixedTypes="0" containsString="0" containsNumber="1" minValue="0" maxValue="98846497"/>
    </cacheField>
    <cacheField name="july" numFmtId="167">
      <sharedItems containsString="0" containsBlank="1" containsNumber="1" minValue="0" maxValue="37979581"/>
    </cacheField>
    <cacheField name="august" numFmtId="167">
      <sharedItems containsSemiMixedTypes="0" containsString="0" containsNumber="1" minValue="0" maxValue="22826698"/>
    </cacheField>
    <cacheField name="september" numFmtId="167">
      <sharedItems containsString="0" containsBlank="1" containsNumber="1" minValue="0" maxValue="27210785"/>
    </cacheField>
    <cacheField name="cuarter 3" numFmtId="167">
      <sharedItems containsSemiMixedTypes="0" containsString="0" containsNumber="1" minValue="0" maxValue="88017064"/>
    </cacheField>
    <cacheField name="october" numFmtId="167">
      <sharedItems containsString="0" containsBlank="1" containsNumber="1" minValue="0" maxValue="24848543"/>
    </cacheField>
    <cacheField name="november" numFmtId="167">
      <sharedItems containsSemiMixedTypes="0" containsString="0" containsNumber="1" minValue="0" maxValue="19501014"/>
    </cacheField>
    <cacheField name="december" numFmtId="167">
      <sharedItems containsSemiMixedTypes="0" containsString="0" containsNumber="1" minValue="0" maxValue="137958420"/>
    </cacheField>
    <cacheField name="cuarter 4" numFmtId="167">
      <sharedItems containsSemiMixedTypes="0" containsString="0" containsNumber="1" minValue="0" maxValue="177029990"/>
    </cacheField>
    <cacheField name="Total " numFmtId="167">
      <sharedItems containsSemiMixedTypes="0" containsString="0" containsNumber="1" minValue="0" maxValue="5142270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tabilidad Hecaglobal" refreshedDate="46311.407392013891" createdVersion="8" refreshedVersion="8" minRefreshableVersion="3" recordCount="118" xr:uid="{FE1DBB05-DCFD-443B-89F7-311BB9ECDBD6}">
  <cacheSource type="worksheet">
    <worksheetSource name="Tabla4"/>
  </cacheSource>
  <cacheFields count="4">
    <cacheField name="Año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Detalle" numFmtId="0">
      <sharedItems count="12">
        <s v="Gastos de Oficina "/>
        <s v="Gastos Operacionales "/>
        <s v="Gastos de Viaje "/>
        <s v="Siga Sonriendo "/>
        <s v="Gastos Financieros "/>
        <s v="Gastos de Personal "/>
        <s v="Gastos Extras"/>
        <s v="Gastos Tax Ingenieria "/>
        <s v="Gastos de Marketing y Publicidad "/>
        <s v="Gasto Tax Ingenieria" u="1"/>
        <s v="Gastos de Operaciones " u="1"/>
        <s v="Gastos Financieros" u="1"/>
      </sharedItems>
    </cacheField>
    <cacheField name="Monto" numFmtId="167">
      <sharedItems containsString="0" containsBlank="1" containsNumber="1" minValue="0" maxValue="344517893.45156664"/>
    </cacheField>
    <cacheField name="Cuarter" numFmtId="0">
      <sharedItems count="8">
        <s v="Cuarter 1"/>
        <s v="Cuarter 2"/>
        <s v="Cuarter 3"/>
        <s v="Cuarter 4"/>
        <s v="Cuarte 1" u="1"/>
        <s v="Cuarte 2" u="1"/>
        <s v="Cuarte 3" u="1"/>
        <s v="Cuarte 4" u="1"/>
      </sharedItems>
    </cacheField>
  </cacheFields>
  <extLst>
    <ext xmlns:x14="http://schemas.microsoft.com/office/spreadsheetml/2009/9/main" uri="{725AE2AE-9491-48be-B2B4-4EB974FC3084}">
      <x14:pivotCacheDefinition pivotCacheId="16133151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5">
  <r>
    <x v="0"/>
    <x v="0"/>
    <x v="0"/>
    <x v="0"/>
    <x v="0"/>
    <x v="0"/>
    <x v="0"/>
    <x v="0"/>
    <m/>
    <m/>
    <m/>
    <m/>
    <n v="0"/>
    <n v="0"/>
    <x v="0"/>
    <d v="2026-01-09T00:00:00"/>
    <n v="400000"/>
    <n v="-400000"/>
    <m/>
  </r>
  <r>
    <x v="1"/>
    <x v="0"/>
    <x v="1"/>
    <x v="1"/>
    <x v="0"/>
    <x v="1"/>
    <x v="0"/>
    <x v="0"/>
    <m/>
    <m/>
    <m/>
    <m/>
    <n v="0"/>
    <n v="0"/>
    <x v="0"/>
    <d v="2026-01-13T00:00:00"/>
    <n v="300000"/>
    <n v="-300000"/>
    <m/>
  </r>
  <r>
    <x v="2"/>
    <x v="1"/>
    <x v="2"/>
    <x v="0"/>
    <x v="0"/>
    <x v="2"/>
    <x v="1"/>
    <x v="1"/>
    <m/>
    <m/>
    <m/>
    <n v="35899"/>
    <n v="0"/>
    <n v="35899"/>
    <x v="1"/>
    <m/>
    <m/>
    <n v="35899"/>
    <m/>
  </r>
  <r>
    <x v="2"/>
    <x v="1"/>
    <x v="2"/>
    <x v="0"/>
    <x v="0"/>
    <x v="2"/>
    <x v="1"/>
    <x v="2"/>
    <m/>
    <m/>
    <m/>
    <n v="12620"/>
    <n v="0"/>
    <n v="12620"/>
    <x v="0"/>
    <d v="2026-01-09T00:00:00"/>
    <n v="48519"/>
    <n v="-35899"/>
    <m/>
  </r>
  <r>
    <x v="3"/>
    <x v="1"/>
    <x v="2"/>
    <x v="0"/>
    <x v="0"/>
    <x v="0"/>
    <x v="2"/>
    <x v="3"/>
    <m/>
    <s v="Factura"/>
    <n v="12580"/>
    <m/>
    <n v="2390.1999999999998"/>
    <n v="14970.2"/>
    <x v="1"/>
    <m/>
    <m/>
    <n v="14970.2"/>
    <m/>
  </r>
  <r>
    <x v="3"/>
    <x v="1"/>
    <x v="2"/>
    <x v="0"/>
    <x v="0"/>
    <x v="0"/>
    <x v="2"/>
    <x v="3"/>
    <m/>
    <s v="Factura"/>
    <n v="49588"/>
    <m/>
    <n v="9421.7199999999993"/>
    <n v="59009.72"/>
    <x v="1"/>
    <m/>
    <m/>
    <n v="59009.72"/>
    <m/>
  </r>
  <r>
    <x v="3"/>
    <x v="1"/>
    <x v="2"/>
    <x v="0"/>
    <x v="0"/>
    <x v="0"/>
    <x v="2"/>
    <x v="4"/>
    <m/>
    <m/>
    <m/>
    <n v="750"/>
    <n v="0"/>
    <n v="750"/>
    <x v="1"/>
    <m/>
    <m/>
    <n v="750"/>
    <m/>
  </r>
  <r>
    <x v="3"/>
    <x v="1"/>
    <x v="2"/>
    <x v="0"/>
    <x v="0"/>
    <x v="0"/>
    <x v="2"/>
    <x v="5"/>
    <m/>
    <m/>
    <m/>
    <n v="10000"/>
    <n v="0"/>
    <n v="10000"/>
    <x v="0"/>
    <d v="2026-01-09T00:00:00"/>
    <n v="84729.919999999998"/>
    <n v="-74729.919999999998"/>
    <m/>
  </r>
  <r>
    <x v="4"/>
    <x v="1"/>
    <x v="3"/>
    <x v="1"/>
    <x v="0"/>
    <x v="3"/>
    <x v="3"/>
    <x v="6"/>
    <m/>
    <s v="Factura"/>
    <n v="588227"/>
    <m/>
    <n v="111763.13"/>
    <n v="699990.13"/>
    <x v="0"/>
    <d v="2026-01-15T00:00:00"/>
    <n v="699990"/>
    <n v="0.13000000000465661"/>
    <m/>
  </r>
  <r>
    <x v="2"/>
    <x v="2"/>
    <x v="4"/>
    <x v="1"/>
    <x v="0"/>
    <x v="2"/>
    <x v="1"/>
    <x v="1"/>
    <m/>
    <m/>
    <m/>
    <n v="29121"/>
    <n v="0"/>
    <n v="29121"/>
    <x v="1"/>
    <m/>
    <m/>
    <n v="29121"/>
    <m/>
  </r>
  <r>
    <x v="2"/>
    <x v="2"/>
    <x v="4"/>
    <x v="1"/>
    <x v="0"/>
    <x v="2"/>
    <x v="1"/>
    <x v="7"/>
    <m/>
    <m/>
    <m/>
    <n v="20920"/>
    <n v="0"/>
    <n v="20920"/>
    <x v="0"/>
    <d v="2026-01-15T00:00:00"/>
    <n v="50041"/>
    <n v="-29121"/>
    <m/>
  </r>
  <r>
    <x v="3"/>
    <x v="2"/>
    <x v="4"/>
    <x v="1"/>
    <x v="0"/>
    <x v="0"/>
    <x v="2"/>
    <x v="8"/>
    <m/>
    <s v="Factura"/>
    <n v="32318"/>
    <n v="10237"/>
    <n v="6140.42"/>
    <n v="48695.42"/>
    <x v="1"/>
    <m/>
    <m/>
    <n v="48695.42"/>
    <m/>
  </r>
  <r>
    <x v="3"/>
    <x v="2"/>
    <x v="4"/>
    <x v="1"/>
    <x v="0"/>
    <x v="0"/>
    <x v="2"/>
    <x v="9"/>
    <m/>
    <s v="Factura"/>
    <n v="230728"/>
    <m/>
    <n v="43838.32"/>
    <n v="274566.32"/>
    <x v="1"/>
    <m/>
    <m/>
    <n v="274566.32"/>
    <m/>
  </r>
  <r>
    <x v="3"/>
    <x v="2"/>
    <x v="4"/>
    <x v="1"/>
    <x v="0"/>
    <x v="0"/>
    <x v="2"/>
    <x v="9"/>
    <m/>
    <s v="Factura"/>
    <n v="-95003.6"/>
    <m/>
    <n v="-18050.684000000001"/>
    <n v="-113054.28400000001"/>
    <x v="1"/>
    <m/>
    <m/>
    <n v="-113054.28400000001"/>
    <m/>
  </r>
  <r>
    <x v="3"/>
    <x v="2"/>
    <x v="4"/>
    <x v="1"/>
    <x v="0"/>
    <x v="0"/>
    <x v="2"/>
    <x v="4"/>
    <m/>
    <m/>
    <m/>
    <n v="2950"/>
    <n v="0"/>
    <n v="2950"/>
    <x v="1"/>
    <m/>
    <m/>
    <n v="2950"/>
    <m/>
  </r>
  <r>
    <x v="3"/>
    <x v="2"/>
    <x v="4"/>
    <x v="1"/>
    <x v="0"/>
    <x v="0"/>
    <x v="2"/>
    <x v="5"/>
    <m/>
    <m/>
    <m/>
    <n v="15950"/>
    <n v="0"/>
    <n v="15950"/>
    <x v="1"/>
    <m/>
    <m/>
    <n v="15950"/>
    <m/>
  </r>
  <r>
    <x v="3"/>
    <x v="2"/>
    <x v="4"/>
    <x v="1"/>
    <x v="0"/>
    <x v="0"/>
    <x v="2"/>
    <x v="10"/>
    <m/>
    <m/>
    <m/>
    <n v="1200"/>
    <n v="0"/>
    <n v="1200"/>
    <x v="0"/>
    <d v="2026-01-16T00:00:00"/>
    <n v="343361"/>
    <n v="-342161"/>
    <m/>
  </r>
  <r>
    <x v="4"/>
    <x v="2"/>
    <x v="5"/>
    <x v="1"/>
    <x v="0"/>
    <x v="3"/>
    <x v="3"/>
    <x v="6"/>
    <m/>
    <s v="Factura"/>
    <n v="129395"/>
    <m/>
    <n v="24585.05"/>
    <n v="153980.04999999999"/>
    <x v="1"/>
    <m/>
    <m/>
    <n v="153980.04999999999"/>
    <m/>
  </r>
  <r>
    <x v="4"/>
    <x v="3"/>
    <x v="5"/>
    <x v="1"/>
    <x v="0"/>
    <x v="2"/>
    <x v="2"/>
    <x v="8"/>
    <m/>
    <s v="Factura"/>
    <m/>
    <n v="20000"/>
    <n v="0"/>
    <n v="20000"/>
    <x v="1"/>
    <m/>
    <m/>
    <n v="20000"/>
    <m/>
  </r>
  <r>
    <x v="4"/>
    <x v="3"/>
    <x v="5"/>
    <x v="1"/>
    <x v="0"/>
    <x v="2"/>
    <x v="2"/>
    <x v="11"/>
    <m/>
    <m/>
    <m/>
    <n v="22722"/>
    <n v="0"/>
    <n v="22722"/>
    <x v="1"/>
    <m/>
    <m/>
    <n v="22722"/>
    <m/>
  </r>
  <r>
    <x v="4"/>
    <x v="4"/>
    <x v="5"/>
    <x v="1"/>
    <x v="0"/>
    <x v="3"/>
    <x v="3"/>
    <x v="6"/>
    <m/>
    <s v="Factura"/>
    <n v="1428555"/>
    <m/>
    <n v="271425.45"/>
    <n v="1699980.45"/>
    <x v="1"/>
    <m/>
    <m/>
    <n v="1699980.45"/>
    <m/>
  </r>
  <r>
    <x v="4"/>
    <x v="4"/>
    <x v="5"/>
    <x v="1"/>
    <x v="0"/>
    <x v="3"/>
    <x v="3"/>
    <x v="6"/>
    <m/>
    <s v="Factura"/>
    <n v="151243.5"/>
    <m/>
    <n v="28736.264999999999"/>
    <n v="179979.76500000001"/>
    <x v="0"/>
    <d v="2026-01-19T00:00:00"/>
    <n v="2076662.395"/>
    <n v="-1896682.63"/>
    <m/>
  </r>
  <r>
    <x v="1"/>
    <x v="1"/>
    <x v="5"/>
    <x v="1"/>
    <x v="0"/>
    <x v="2"/>
    <x v="2"/>
    <x v="8"/>
    <m/>
    <s v="Factura"/>
    <n v="33915"/>
    <n v="9648"/>
    <n v="6443.85"/>
    <n v="50006.85"/>
    <x v="1"/>
    <m/>
    <m/>
    <n v="50006.85"/>
    <m/>
  </r>
  <r>
    <x v="1"/>
    <x v="1"/>
    <x v="5"/>
    <x v="1"/>
    <x v="0"/>
    <x v="2"/>
    <x v="2"/>
    <x v="3"/>
    <m/>
    <s v="Factura"/>
    <n v="184831"/>
    <m/>
    <n v="35117.89"/>
    <n v="219948.89"/>
    <x v="1"/>
    <m/>
    <m/>
    <n v="219948.89"/>
    <m/>
  </r>
  <r>
    <x v="1"/>
    <x v="1"/>
    <x v="5"/>
    <x v="1"/>
    <x v="0"/>
    <x v="2"/>
    <x v="2"/>
    <x v="4"/>
    <m/>
    <m/>
    <m/>
    <n v="3820"/>
    <n v="0"/>
    <n v="3820"/>
    <x v="1"/>
    <m/>
    <m/>
    <n v="3820"/>
    <m/>
  </r>
  <r>
    <x v="1"/>
    <x v="1"/>
    <x v="5"/>
    <x v="1"/>
    <x v="0"/>
    <x v="2"/>
    <x v="2"/>
    <x v="10"/>
    <m/>
    <m/>
    <m/>
    <n v="5700"/>
    <n v="0"/>
    <n v="5700"/>
    <x v="2"/>
    <m/>
    <m/>
    <n v="5700"/>
    <m/>
  </r>
  <r>
    <x v="3"/>
    <x v="2"/>
    <x v="6"/>
    <x v="2"/>
    <x v="0"/>
    <x v="0"/>
    <x v="0"/>
    <x v="0"/>
    <m/>
    <m/>
    <m/>
    <m/>
    <n v="0"/>
    <n v="0"/>
    <x v="0"/>
    <d v="2026-01-23T00:00:00"/>
    <n v="-113053.54"/>
    <n v="113053.54"/>
    <m/>
  </r>
  <r>
    <x v="2"/>
    <x v="3"/>
    <x v="7"/>
    <x v="2"/>
    <x v="0"/>
    <x v="2"/>
    <x v="1"/>
    <x v="1"/>
    <m/>
    <m/>
    <m/>
    <n v="27009"/>
    <n v="0"/>
    <n v="27009"/>
    <x v="1"/>
    <m/>
    <m/>
    <n v="27009"/>
    <m/>
  </r>
  <r>
    <x v="2"/>
    <x v="3"/>
    <x v="7"/>
    <x v="2"/>
    <x v="0"/>
    <x v="2"/>
    <x v="1"/>
    <x v="12"/>
    <m/>
    <m/>
    <m/>
    <n v="11702"/>
    <n v="0"/>
    <n v="11702"/>
    <x v="3"/>
    <d v="2026-01-23T00:00:00"/>
    <n v="38711"/>
    <n v="-27009"/>
    <m/>
  </r>
  <r>
    <x v="5"/>
    <x v="1"/>
    <x v="8"/>
    <x v="2"/>
    <x v="0"/>
    <x v="2"/>
    <x v="2"/>
    <x v="13"/>
    <m/>
    <m/>
    <m/>
    <n v="1291352"/>
    <n v="0"/>
    <n v="1291352"/>
    <x v="0"/>
    <d v="2026-01-21T00:00:00"/>
    <n v="1291352"/>
    <n v="0"/>
    <m/>
  </r>
  <r>
    <x v="5"/>
    <x v="1"/>
    <x v="8"/>
    <x v="2"/>
    <x v="0"/>
    <x v="2"/>
    <x v="2"/>
    <x v="13"/>
    <m/>
    <m/>
    <m/>
    <n v="1243599"/>
    <n v="0"/>
    <n v="1243599"/>
    <x v="3"/>
    <d v="2026-01-23T00:00:00"/>
    <n v="500000"/>
    <n v="743599"/>
    <m/>
  </r>
  <r>
    <x v="6"/>
    <x v="1"/>
    <x v="9"/>
    <x v="2"/>
    <x v="0"/>
    <x v="2"/>
    <x v="4"/>
    <x v="8"/>
    <m/>
    <s v="Factura"/>
    <n v="13544"/>
    <n v="3883"/>
    <n v="2573.36"/>
    <n v="20000.36"/>
    <x v="1"/>
    <m/>
    <m/>
    <n v="20000.36"/>
    <m/>
  </r>
  <r>
    <x v="6"/>
    <x v="1"/>
    <x v="9"/>
    <x v="2"/>
    <x v="0"/>
    <x v="2"/>
    <x v="4"/>
    <x v="8"/>
    <m/>
    <s v="Factura"/>
    <n v="28029"/>
    <n v="7963"/>
    <n v="5325.51"/>
    <n v="41317.51"/>
    <x v="1"/>
    <m/>
    <m/>
    <n v="41317.51"/>
    <m/>
  </r>
  <r>
    <x v="6"/>
    <x v="1"/>
    <x v="9"/>
    <x v="2"/>
    <x v="0"/>
    <x v="2"/>
    <x v="4"/>
    <x v="8"/>
    <m/>
    <s v="Factura"/>
    <n v="24329"/>
    <n v="7548"/>
    <n v="4622.51"/>
    <n v="36499.51"/>
    <x v="1"/>
    <m/>
    <m/>
    <n v="36499.51"/>
    <m/>
  </r>
  <r>
    <x v="6"/>
    <x v="1"/>
    <x v="9"/>
    <x v="2"/>
    <x v="0"/>
    <x v="2"/>
    <x v="4"/>
    <x v="8"/>
    <m/>
    <s v="Factura"/>
    <n v="22588"/>
    <n v="7622"/>
    <n v="4291.72"/>
    <n v="34501.72"/>
    <x v="1"/>
    <m/>
    <m/>
    <n v="34501.72"/>
    <m/>
  </r>
  <r>
    <x v="6"/>
    <x v="1"/>
    <x v="9"/>
    <x v="2"/>
    <x v="0"/>
    <x v="2"/>
    <x v="4"/>
    <x v="8"/>
    <m/>
    <s v="Factura"/>
    <n v="23930"/>
    <n v="8044"/>
    <n v="4546.7"/>
    <n v="36520.699999999997"/>
    <x v="1"/>
    <m/>
    <m/>
    <n v="36520.699999999997"/>
    <m/>
  </r>
  <r>
    <x v="6"/>
    <x v="1"/>
    <x v="9"/>
    <x v="2"/>
    <x v="0"/>
    <x v="2"/>
    <x v="1"/>
    <x v="2"/>
    <m/>
    <m/>
    <m/>
    <n v="9819"/>
    <n v="0"/>
    <n v="9819"/>
    <x v="1"/>
    <m/>
    <m/>
    <n v="9819"/>
    <m/>
  </r>
  <r>
    <x v="6"/>
    <x v="1"/>
    <x v="9"/>
    <x v="2"/>
    <x v="0"/>
    <x v="2"/>
    <x v="4"/>
    <x v="5"/>
    <m/>
    <m/>
    <m/>
    <n v="28054.400000000001"/>
    <n v="0"/>
    <n v="28054.400000000001"/>
    <x v="1"/>
    <m/>
    <m/>
    <n v="28054.400000000001"/>
    <m/>
  </r>
  <r>
    <x v="6"/>
    <x v="1"/>
    <x v="9"/>
    <x v="2"/>
    <x v="0"/>
    <x v="2"/>
    <x v="4"/>
    <x v="4"/>
    <m/>
    <m/>
    <m/>
    <n v="3900.4"/>
    <n v="0"/>
    <n v="3900.4"/>
    <x v="3"/>
    <d v="2026-01-23T00:00:00"/>
    <n v="210613.6"/>
    <n v="-206713.2"/>
    <m/>
  </r>
  <r>
    <x v="6"/>
    <x v="2"/>
    <x v="10"/>
    <x v="3"/>
    <x v="0"/>
    <x v="2"/>
    <x v="4"/>
    <x v="8"/>
    <m/>
    <s v="Factura"/>
    <n v="19313"/>
    <n v="5529"/>
    <n v="3669.4700000000003"/>
    <n v="28511.47"/>
    <x v="1"/>
    <m/>
    <m/>
    <n v="28511.47"/>
    <m/>
  </r>
  <r>
    <x v="6"/>
    <x v="2"/>
    <x v="10"/>
    <x v="3"/>
    <x v="0"/>
    <x v="2"/>
    <x v="4"/>
    <x v="5"/>
    <m/>
    <m/>
    <m/>
    <n v="9600"/>
    <n v="0"/>
    <n v="9600"/>
    <x v="3"/>
    <d v="2026-01-30T00:00:00"/>
    <n v="38111.47"/>
    <n v="-28511.47"/>
    <m/>
  </r>
  <r>
    <x v="0"/>
    <x v="1"/>
    <x v="5"/>
    <x v="1"/>
    <x v="0"/>
    <x v="0"/>
    <x v="2"/>
    <x v="14"/>
    <m/>
    <s v="Factura"/>
    <m/>
    <n v="315000"/>
    <n v="0"/>
    <n v="315000"/>
    <x v="1"/>
    <m/>
    <m/>
    <n v="315000"/>
    <m/>
  </r>
  <r>
    <x v="0"/>
    <x v="1"/>
    <x v="5"/>
    <x v="1"/>
    <x v="0"/>
    <x v="0"/>
    <x v="2"/>
    <x v="15"/>
    <m/>
    <s v="Factura"/>
    <n v="49664"/>
    <n v="5910"/>
    <n v="9436.16"/>
    <n v="65010.16"/>
    <x v="1"/>
    <m/>
    <m/>
    <n v="65010.16"/>
    <m/>
  </r>
  <r>
    <x v="0"/>
    <x v="1"/>
    <x v="5"/>
    <x v="1"/>
    <x v="0"/>
    <x v="0"/>
    <x v="2"/>
    <x v="15"/>
    <m/>
    <s v="Factura"/>
    <n v="23487"/>
    <n v="2795"/>
    <n v="4462.53"/>
    <n v="30744.53"/>
    <x v="1"/>
    <m/>
    <m/>
    <n v="30744.53"/>
    <m/>
  </r>
  <r>
    <x v="0"/>
    <x v="1"/>
    <x v="5"/>
    <x v="1"/>
    <x v="0"/>
    <x v="0"/>
    <x v="2"/>
    <x v="11"/>
    <m/>
    <m/>
    <m/>
    <n v="132042"/>
    <n v="0"/>
    <n v="132042"/>
    <x v="1"/>
    <m/>
    <m/>
    <n v="132042"/>
    <m/>
  </r>
  <r>
    <x v="0"/>
    <x v="1"/>
    <x v="5"/>
    <x v="1"/>
    <x v="0"/>
    <x v="0"/>
    <x v="2"/>
    <x v="5"/>
    <m/>
    <m/>
    <m/>
    <n v="80600"/>
    <n v="0"/>
    <n v="80600"/>
    <x v="1"/>
    <m/>
    <m/>
    <n v="80600"/>
    <m/>
  </r>
  <r>
    <x v="0"/>
    <x v="2"/>
    <x v="5"/>
    <x v="1"/>
    <x v="0"/>
    <x v="0"/>
    <x v="2"/>
    <x v="5"/>
    <m/>
    <s v="Factura"/>
    <n v="48067"/>
    <m/>
    <n v="9132.73"/>
    <n v="57199.729999999996"/>
    <x v="1"/>
    <m/>
    <m/>
    <n v="57199.729999999996"/>
    <m/>
  </r>
  <r>
    <x v="0"/>
    <x v="2"/>
    <x v="5"/>
    <x v="1"/>
    <x v="0"/>
    <x v="0"/>
    <x v="2"/>
    <x v="8"/>
    <m/>
    <s v="Factura"/>
    <n v="12490"/>
    <n v="10137"/>
    <n v="2373.1"/>
    <n v="25000.1"/>
    <x v="1"/>
    <m/>
    <m/>
    <n v="25000.1"/>
    <m/>
  </r>
  <r>
    <x v="0"/>
    <x v="2"/>
    <x v="5"/>
    <x v="1"/>
    <x v="0"/>
    <x v="0"/>
    <x v="2"/>
    <x v="8"/>
    <m/>
    <s v="Factura"/>
    <n v="23750"/>
    <n v="21103"/>
    <n v="4512.5"/>
    <n v="49365.5"/>
    <x v="1"/>
    <m/>
    <m/>
    <n v="49365.5"/>
    <m/>
  </r>
  <r>
    <x v="0"/>
    <x v="2"/>
    <x v="5"/>
    <x v="1"/>
    <x v="0"/>
    <x v="0"/>
    <x v="2"/>
    <x v="16"/>
    <m/>
    <m/>
    <m/>
    <n v="14060"/>
    <n v="0"/>
    <n v="14060"/>
    <x v="3"/>
    <d v="2026-01-30T00:00:00"/>
    <n v="402023"/>
    <n v="-387963"/>
    <m/>
  </r>
  <r>
    <x v="2"/>
    <x v="4"/>
    <x v="11"/>
    <x v="4"/>
    <x v="1"/>
    <x v="2"/>
    <x v="1"/>
    <x v="1"/>
    <m/>
    <m/>
    <m/>
    <n v="54023"/>
    <n v="0"/>
    <n v="54023"/>
    <x v="0"/>
    <d v="2026-02-06T00:00:00"/>
    <n v="54023"/>
    <n v="0"/>
    <m/>
  </r>
  <r>
    <x v="7"/>
    <x v="1"/>
    <x v="12"/>
    <x v="4"/>
    <x v="1"/>
    <x v="0"/>
    <x v="1"/>
    <x v="17"/>
    <m/>
    <m/>
    <m/>
    <n v="30928"/>
    <n v="0"/>
    <n v="30928"/>
    <x v="0"/>
    <d v="2026-02-06T00:00:00"/>
    <n v="30928"/>
    <n v="0"/>
    <m/>
  </r>
  <r>
    <x v="6"/>
    <x v="3"/>
    <x v="13"/>
    <x v="3"/>
    <x v="0"/>
    <x v="2"/>
    <x v="2"/>
    <x v="18"/>
    <m/>
    <s v="Factura"/>
    <n v="17101"/>
    <m/>
    <n v="3249.19"/>
    <n v="20350.189999999999"/>
    <x v="1"/>
    <m/>
    <m/>
    <n v="20350.189999999999"/>
    <m/>
  </r>
  <r>
    <x v="6"/>
    <x v="3"/>
    <x v="13"/>
    <x v="3"/>
    <x v="0"/>
    <x v="2"/>
    <x v="2"/>
    <x v="18"/>
    <m/>
    <m/>
    <m/>
    <n v="18000"/>
    <n v="0"/>
    <n v="18000"/>
    <x v="0"/>
    <d v="2026-02-06T00:00:00"/>
    <n v="38350.19"/>
    <n v="-20350.190000000002"/>
    <m/>
  </r>
  <r>
    <x v="5"/>
    <x v="0"/>
    <x v="14"/>
    <x v="3"/>
    <x v="0"/>
    <x v="2"/>
    <x v="0"/>
    <x v="0"/>
    <m/>
    <m/>
    <m/>
    <m/>
    <n v="0"/>
    <n v="0"/>
    <x v="3"/>
    <d v="2026-01-26T00:00:00"/>
    <n v="743599"/>
    <n v="-743599"/>
    <m/>
  </r>
  <r>
    <x v="5"/>
    <x v="2"/>
    <x v="13"/>
    <x v="3"/>
    <x v="0"/>
    <x v="0"/>
    <x v="2"/>
    <x v="19"/>
    <m/>
    <s v="Boleta de honorarios"/>
    <m/>
    <n v="7000"/>
    <n v="0"/>
    <n v="7000"/>
    <x v="0"/>
    <d v="2026-02-06T00:00:00"/>
    <n v="7000"/>
    <n v="0"/>
    <m/>
  </r>
  <r>
    <x v="3"/>
    <x v="3"/>
    <x v="10"/>
    <x v="3"/>
    <x v="0"/>
    <x v="2"/>
    <x v="2"/>
    <x v="8"/>
    <m/>
    <s v="Factura"/>
    <n v="28488"/>
    <n v="7709"/>
    <n v="5412.72"/>
    <n v="41609.72"/>
    <x v="1"/>
    <m/>
    <m/>
    <n v="41609.72"/>
    <m/>
  </r>
  <r>
    <x v="3"/>
    <x v="3"/>
    <x v="10"/>
    <x v="3"/>
    <x v="0"/>
    <x v="2"/>
    <x v="2"/>
    <x v="9"/>
    <m/>
    <s v="Factura"/>
    <n v="10151"/>
    <m/>
    <n v="1928.69"/>
    <n v="12079.69"/>
    <x v="1"/>
    <m/>
    <m/>
    <n v="12079.69"/>
    <m/>
  </r>
  <r>
    <x v="3"/>
    <x v="3"/>
    <x v="10"/>
    <x v="3"/>
    <x v="0"/>
    <x v="2"/>
    <x v="2"/>
    <x v="20"/>
    <m/>
    <s v="Factura"/>
    <n v="15126"/>
    <m/>
    <n v="2873.94"/>
    <n v="17999.939999999999"/>
    <x v="1"/>
    <m/>
    <m/>
    <n v="17999.939999999999"/>
    <m/>
  </r>
  <r>
    <x v="3"/>
    <x v="3"/>
    <x v="10"/>
    <x v="3"/>
    <x v="0"/>
    <x v="2"/>
    <x v="2"/>
    <x v="8"/>
    <m/>
    <s v="Factura"/>
    <n v="28460"/>
    <n v="7902"/>
    <n v="5407.4"/>
    <n v="41769.4"/>
    <x v="1"/>
    <m/>
    <m/>
    <n v="41769.4"/>
    <m/>
  </r>
  <r>
    <x v="3"/>
    <x v="3"/>
    <x v="10"/>
    <x v="3"/>
    <x v="0"/>
    <x v="2"/>
    <x v="2"/>
    <x v="9"/>
    <m/>
    <s v="Factura"/>
    <n v="32200"/>
    <m/>
    <n v="6118"/>
    <n v="38318"/>
    <x v="1"/>
    <m/>
    <m/>
    <n v="38318"/>
    <m/>
  </r>
  <r>
    <x v="3"/>
    <x v="3"/>
    <x v="10"/>
    <x v="3"/>
    <x v="0"/>
    <x v="2"/>
    <x v="2"/>
    <x v="9"/>
    <m/>
    <s v="Factura"/>
    <n v="30869"/>
    <m/>
    <n v="5865.11"/>
    <n v="36734.11"/>
    <x v="1"/>
    <m/>
    <m/>
    <n v="36734.11"/>
    <m/>
  </r>
  <r>
    <x v="3"/>
    <x v="3"/>
    <x v="10"/>
    <x v="3"/>
    <x v="0"/>
    <x v="2"/>
    <x v="2"/>
    <x v="9"/>
    <m/>
    <s v="Factura"/>
    <n v="30252"/>
    <m/>
    <n v="5747.88"/>
    <n v="35999.879999999997"/>
    <x v="1"/>
    <m/>
    <m/>
    <n v="35999.879999999997"/>
    <m/>
  </r>
  <r>
    <x v="3"/>
    <x v="3"/>
    <x v="10"/>
    <x v="3"/>
    <x v="0"/>
    <x v="2"/>
    <x v="2"/>
    <x v="9"/>
    <m/>
    <s v="Factura"/>
    <n v="5874"/>
    <m/>
    <n v="1116.06"/>
    <n v="6990.0599999999995"/>
    <x v="1"/>
    <m/>
    <m/>
    <n v="6990.0599999999995"/>
    <m/>
  </r>
  <r>
    <x v="3"/>
    <x v="3"/>
    <x v="10"/>
    <x v="3"/>
    <x v="0"/>
    <x v="2"/>
    <x v="2"/>
    <x v="4"/>
    <m/>
    <m/>
    <m/>
    <n v="2600"/>
    <n v="0"/>
    <n v="2600"/>
    <x v="1"/>
    <m/>
    <m/>
    <n v="2600"/>
    <m/>
  </r>
  <r>
    <x v="3"/>
    <x v="3"/>
    <x v="10"/>
    <x v="3"/>
    <x v="0"/>
    <x v="2"/>
    <x v="2"/>
    <x v="11"/>
    <m/>
    <m/>
    <m/>
    <n v="2865"/>
    <n v="0"/>
    <n v="2865"/>
    <x v="1"/>
    <m/>
    <m/>
    <n v="2865"/>
    <m/>
  </r>
  <r>
    <x v="3"/>
    <x v="3"/>
    <x v="10"/>
    <x v="3"/>
    <x v="0"/>
    <x v="2"/>
    <x v="2"/>
    <x v="5"/>
    <m/>
    <m/>
    <m/>
    <n v="15390"/>
    <n v="0"/>
    <n v="15390"/>
    <x v="1"/>
    <m/>
    <m/>
    <n v="15390"/>
    <m/>
  </r>
  <r>
    <x v="3"/>
    <x v="3"/>
    <x v="10"/>
    <x v="3"/>
    <x v="0"/>
    <x v="2"/>
    <x v="2"/>
    <x v="9"/>
    <m/>
    <m/>
    <m/>
    <n v="35290"/>
    <n v="0"/>
    <n v="35290"/>
    <x v="0"/>
    <d v="2026-02-04T00:00:00"/>
    <n v="287645.8"/>
    <n v="-252355.8"/>
    <m/>
  </r>
  <r>
    <x v="3"/>
    <x v="4"/>
    <x v="15"/>
    <x v="5"/>
    <x v="1"/>
    <x v="2"/>
    <x v="2"/>
    <x v="8"/>
    <m/>
    <s v="Factura"/>
    <n v="30926"/>
    <n v="6824"/>
    <n v="5875.9400000000005"/>
    <n v="43625.94"/>
    <x v="1"/>
    <m/>
    <m/>
    <n v="43625.94"/>
    <m/>
  </r>
  <r>
    <x v="3"/>
    <x v="4"/>
    <x v="15"/>
    <x v="5"/>
    <x v="1"/>
    <x v="2"/>
    <x v="2"/>
    <x v="20"/>
    <m/>
    <s v="Factura"/>
    <n v="8403"/>
    <m/>
    <n v="1596.57"/>
    <n v="9999.57"/>
    <x v="1"/>
    <m/>
    <m/>
    <n v="9999.57"/>
    <m/>
  </r>
  <r>
    <x v="3"/>
    <x v="4"/>
    <x v="15"/>
    <x v="5"/>
    <x v="1"/>
    <x v="2"/>
    <x v="2"/>
    <x v="4"/>
    <m/>
    <m/>
    <m/>
    <n v="2091"/>
    <n v="0"/>
    <n v="2091"/>
    <x v="0"/>
    <d v="2026-02-13T00:00:00"/>
    <n v="55716.505999999987"/>
    <n v="-53625.505999999987"/>
    <m/>
  </r>
  <r>
    <x v="1"/>
    <x v="2"/>
    <x v="15"/>
    <x v="5"/>
    <x v="1"/>
    <x v="0"/>
    <x v="2"/>
    <x v="8"/>
    <m/>
    <s v="Factura"/>
    <n v="25365"/>
    <n v="4816"/>
    <n v="4819.3500000000004"/>
    <n v="35000.35"/>
    <x v="1"/>
    <m/>
    <m/>
    <n v="35000.35"/>
    <m/>
  </r>
  <r>
    <x v="1"/>
    <x v="2"/>
    <x v="15"/>
    <x v="5"/>
    <x v="1"/>
    <x v="0"/>
    <x v="2"/>
    <x v="16"/>
    <m/>
    <m/>
    <m/>
    <n v="760"/>
    <n v="0"/>
    <n v="760"/>
    <x v="1"/>
    <m/>
    <m/>
    <n v="760"/>
    <m/>
  </r>
  <r>
    <x v="1"/>
    <x v="2"/>
    <x v="15"/>
    <x v="5"/>
    <x v="1"/>
    <x v="0"/>
    <x v="2"/>
    <x v="5"/>
    <m/>
    <m/>
    <m/>
    <n v="4500"/>
    <n v="0"/>
    <n v="4500"/>
    <x v="1"/>
    <m/>
    <m/>
    <n v="4500"/>
    <m/>
  </r>
  <r>
    <x v="4"/>
    <x v="5"/>
    <x v="16"/>
    <x v="5"/>
    <x v="1"/>
    <x v="0"/>
    <x v="2"/>
    <x v="20"/>
    <m/>
    <s v="Factura"/>
    <n v="142017"/>
    <m/>
    <n v="26983.23"/>
    <n v="169000.23"/>
    <x v="0"/>
    <d v="2026-02-13T00:00:00"/>
    <n v="169000"/>
    <n v="0.23000000001047738"/>
    <m/>
  </r>
  <r>
    <x v="4"/>
    <x v="6"/>
    <x v="17"/>
    <x v="5"/>
    <x v="1"/>
    <x v="2"/>
    <x v="1"/>
    <x v="9"/>
    <m/>
    <s v="Factura"/>
    <n v="29948.9"/>
    <m/>
    <n v="5690.2910000000002"/>
    <n v="35639.190999999999"/>
    <x v="0"/>
    <d v="2026-02-20T00:00:00"/>
    <n v="35639.421000000009"/>
    <n v="-0.23000000001047738"/>
    <m/>
  </r>
  <r>
    <x v="1"/>
    <x v="3"/>
    <x v="18"/>
    <x v="6"/>
    <x v="1"/>
    <x v="0"/>
    <x v="2"/>
    <x v="8"/>
    <m/>
    <s v="Factura"/>
    <n v="36470"/>
    <n v="5365"/>
    <n v="6929.3"/>
    <n v="48764.3"/>
    <x v="1"/>
    <m/>
    <m/>
    <n v="48764.3"/>
    <m/>
  </r>
  <r>
    <x v="1"/>
    <x v="3"/>
    <x v="18"/>
    <x v="6"/>
    <x v="1"/>
    <x v="0"/>
    <x v="2"/>
    <x v="20"/>
    <m/>
    <s v="Factura"/>
    <n v="6008"/>
    <m/>
    <n v="1141.52"/>
    <n v="7149.52"/>
    <x v="1"/>
    <m/>
    <m/>
    <n v="7149.52"/>
    <m/>
  </r>
  <r>
    <x v="1"/>
    <x v="3"/>
    <x v="18"/>
    <x v="6"/>
    <x v="1"/>
    <x v="0"/>
    <x v="2"/>
    <x v="16"/>
    <m/>
    <m/>
    <m/>
    <n v="2030"/>
    <n v="0"/>
    <n v="2030"/>
    <x v="1"/>
    <m/>
    <m/>
    <n v="2030"/>
    <m/>
  </r>
  <r>
    <x v="1"/>
    <x v="3"/>
    <x v="18"/>
    <x v="6"/>
    <x v="1"/>
    <x v="0"/>
    <x v="2"/>
    <x v="5"/>
    <m/>
    <m/>
    <m/>
    <n v="12850"/>
    <n v="0"/>
    <n v="12850"/>
    <x v="0"/>
    <d v="2026-02-13T00:00:00"/>
    <n v="119736"/>
    <n v="-106886"/>
    <m/>
  </r>
  <r>
    <x v="8"/>
    <x v="7"/>
    <x v="19"/>
    <x v="7"/>
    <x v="0"/>
    <x v="0"/>
    <x v="0"/>
    <x v="0"/>
    <m/>
    <m/>
    <m/>
    <m/>
    <n v="0"/>
    <n v="0"/>
    <x v="0"/>
    <d v="2025-12-31T00:00:00"/>
    <n v="85348"/>
    <n v="-85348"/>
    <m/>
  </r>
  <r>
    <x v="8"/>
    <x v="1"/>
    <x v="17"/>
    <x v="1"/>
    <x v="1"/>
    <x v="0"/>
    <x v="5"/>
    <x v="21"/>
    <m/>
    <s v="Factura"/>
    <m/>
    <n v="121386"/>
    <n v="0"/>
    <n v="121386"/>
    <x v="1"/>
    <m/>
    <m/>
    <n v="121386"/>
    <m/>
  </r>
  <r>
    <x v="8"/>
    <x v="1"/>
    <x v="17"/>
    <x v="1"/>
    <x v="1"/>
    <x v="0"/>
    <x v="5"/>
    <x v="21"/>
    <m/>
    <m/>
    <m/>
    <n v="347736"/>
    <n v="0"/>
    <n v="347736"/>
    <x v="1"/>
    <m/>
    <m/>
    <n v="347736"/>
    <m/>
  </r>
  <r>
    <x v="8"/>
    <x v="1"/>
    <x v="17"/>
    <x v="1"/>
    <x v="1"/>
    <x v="0"/>
    <x v="5"/>
    <x v="11"/>
    <m/>
    <m/>
    <m/>
    <n v="142032"/>
    <n v="0"/>
    <n v="142032"/>
    <x v="1"/>
    <m/>
    <m/>
    <n v="142032"/>
    <m/>
  </r>
  <r>
    <x v="8"/>
    <x v="1"/>
    <x v="17"/>
    <x v="1"/>
    <x v="1"/>
    <x v="0"/>
    <x v="5"/>
    <x v="5"/>
    <m/>
    <m/>
    <m/>
    <n v="159190"/>
    <n v="0"/>
    <n v="159190"/>
    <x v="1"/>
    <m/>
    <m/>
    <n v="159190"/>
    <m/>
  </r>
  <r>
    <x v="8"/>
    <x v="1"/>
    <x v="17"/>
    <x v="1"/>
    <x v="1"/>
    <x v="0"/>
    <x v="5"/>
    <x v="14"/>
    <m/>
    <m/>
    <m/>
    <n v="53500"/>
    <n v="0"/>
    <n v="53500"/>
    <x v="1"/>
    <m/>
    <m/>
    <n v="53500"/>
    <m/>
  </r>
  <r>
    <x v="8"/>
    <x v="1"/>
    <x v="17"/>
    <x v="1"/>
    <x v="1"/>
    <x v="0"/>
    <x v="5"/>
    <x v="21"/>
    <m/>
    <m/>
    <m/>
    <n v="29000"/>
    <n v="0"/>
    <n v="29000"/>
    <x v="1"/>
    <m/>
    <m/>
    <n v="29000"/>
    <m/>
  </r>
  <r>
    <x v="8"/>
    <x v="1"/>
    <x v="17"/>
    <x v="1"/>
    <x v="1"/>
    <x v="0"/>
    <x v="5"/>
    <x v="15"/>
    <m/>
    <m/>
    <m/>
    <n v="8162"/>
    <n v="0"/>
    <n v="8162"/>
    <x v="0"/>
    <d v="2026-02-20T00:00:00"/>
    <n v="775658"/>
    <n v="-767496"/>
    <m/>
  </r>
  <r>
    <x v="1"/>
    <x v="0"/>
    <x v="20"/>
    <x v="6"/>
    <x v="1"/>
    <x v="1"/>
    <x v="0"/>
    <x v="0"/>
    <m/>
    <m/>
    <m/>
    <m/>
    <n v="0"/>
    <n v="0"/>
    <x v="0"/>
    <d v="2025-02-20T00:00:00"/>
    <n v="70794"/>
    <n v="-70794"/>
    <m/>
  </r>
  <r>
    <x v="1"/>
    <x v="4"/>
    <x v="21"/>
    <x v="8"/>
    <x v="1"/>
    <x v="0"/>
    <x v="2"/>
    <x v="2"/>
    <m/>
    <s v="Factura"/>
    <n v="73916"/>
    <m/>
    <n v="14044.04"/>
    <n v="87960.040000000008"/>
    <x v="1"/>
    <m/>
    <m/>
    <n v="87960.040000000008"/>
    <m/>
  </r>
  <r>
    <x v="1"/>
    <x v="4"/>
    <x v="21"/>
    <x v="8"/>
    <x v="1"/>
    <x v="0"/>
    <x v="2"/>
    <x v="4"/>
    <m/>
    <m/>
    <m/>
    <n v="1780"/>
    <n v="0"/>
    <n v="1780"/>
    <x v="0"/>
    <d v="2026-02-25T00:00:00"/>
    <n v="89740"/>
    <n v="-87960"/>
    <m/>
  </r>
  <r>
    <x v="8"/>
    <x v="2"/>
    <x v="22"/>
    <x v="6"/>
    <x v="1"/>
    <x v="0"/>
    <x v="2"/>
    <x v="11"/>
    <m/>
    <m/>
    <m/>
    <n v="21208"/>
    <n v="0"/>
    <n v="21208"/>
    <x v="1"/>
    <m/>
    <m/>
    <n v="21208"/>
    <m/>
  </r>
  <r>
    <x v="8"/>
    <x v="2"/>
    <x v="22"/>
    <x v="6"/>
    <x v="1"/>
    <x v="0"/>
    <x v="4"/>
    <x v="19"/>
    <m/>
    <m/>
    <m/>
    <n v="200000"/>
    <n v="0"/>
    <n v="200000"/>
    <x v="0"/>
    <d v="2026-03-11T00:00:00"/>
    <n v="221208"/>
    <n v="-21208"/>
    <m/>
  </r>
  <r>
    <x v="1"/>
    <x v="5"/>
    <x v="23"/>
    <x v="8"/>
    <x v="1"/>
    <x v="0"/>
    <x v="2"/>
    <x v="8"/>
    <m/>
    <s v="Factura"/>
    <n v="17103"/>
    <n v="2647.5"/>
    <n v="3249.57"/>
    <n v="23000.07"/>
    <x v="1"/>
    <m/>
    <m/>
    <n v="23000.07"/>
    <m/>
  </r>
  <r>
    <x v="1"/>
    <x v="5"/>
    <x v="23"/>
    <x v="8"/>
    <x v="1"/>
    <x v="0"/>
    <x v="2"/>
    <x v="2"/>
    <m/>
    <s v="Factura"/>
    <n v="60546"/>
    <m/>
    <n v="11503.74"/>
    <n v="72049.740000000005"/>
    <x v="0"/>
    <d v="2026-03-02T00:00:00"/>
    <n v="95050"/>
    <n v="-23000.259999999995"/>
    <m/>
  </r>
  <r>
    <x v="3"/>
    <x v="5"/>
    <x v="21"/>
    <x v="8"/>
    <x v="1"/>
    <x v="0"/>
    <x v="2"/>
    <x v="8"/>
    <m/>
    <s v="Factura"/>
    <n v="18225"/>
    <n v="4043.02"/>
    <n v="3462.75"/>
    <n v="25730.77"/>
    <x v="1"/>
    <m/>
    <m/>
    <n v="25730.77"/>
    <m/>
  </r>
  <r>
    <x v="3"/>
    <x v="5"/>
    <x v="21"/>
    <x v="8"/>
    <x v="1"/>
    <x v="0"/>
    <x v="1"/>
    <x v="2"/>
    <m/>
    <s v="Factura"/>
    <n v="6688"/>
    <m/>
    <n v="1270.72"/>
    <n v="7958.72"/>
    <x v="1"/>
    <m/>
    <m/>
    <n v="7958.72"/>
    <m/>
  </r>
  <r>
    <x v="3"/>
    <x v="5"/>
    <x v="21"/>
    <x v="8"/>
    <x v="1"/>
    <x v="0"/>
    <x v="2"/>
    <x v="8"/>
    <m/>
    <s v="Factura"/>
    <n v="24687"/>
    <n v="4193"/>
    <n v="4690.53"/>
    <n v="33570.53"/>
    <x v="1"/>
    <m/>
    <m/>
    <n v="33570.53"/>
    <m/>
  </r>
  <r>
    <x v="3"/>
    <x v="5"/>
    <x v="21"/>
    <x v="8"/>
    <x v="1"/>
    <x v="0"/>
    <x v="2"/>
    <x v="8"/>
    <m/>
    <s v="Factura"/>
    <n v="37355"/>
    <n v="7006"/>
    <n v="7097.45"/>
    <n v="51458.45"/>
    <x v="1"/>
    <m/>
    <m/>
    <n v="51458.45"/>
    <m/>
  </r>
  <r>
    <x v="3"/>
    <x v="5"/>
    <x v="21"/>
    <x v="8"/>
    <x v="1"/>
    <x v="0"/>
    <x v="2"/>
    <x v="8"/>
    <m/>
    <s v="Factura"/>
    <n v="24837"/>
    <n v="4446"/>
    <n v="4719.03"/>
    <n v="34002.03"/>
    <x v="1"/>
    <m/>
    <m/>
    <n v="34002.03"/>
    <m/>
  </r>
  <r>
    <x v="3"/>
    <x v="5"/>
    <x v="21"/>
    <x v="8"/>
    <x v="1"/>
    <x v="0"/>
    <x v="2"/>
    <x v="5"/>
    <m/>
    <m/>
    <m/>
    <n v="15300"/>
    <n v="0"/>
    <n v="15300"/>
    <x v="1"/>
    <m/>
    <m/>
    <n v="15300"/>
    <m/>
  </r>
  <r>
    <x v="3"/>
    <x v="5"/>
    <x v="21"/>
    <x v="8"/>
    <x v="1"/>
    <x v="0"/>
    <x v="2"/>
    <x v="4"/>
    <m/>
    <m/>
    <m/>
    <n v="5000"/>
    <n v="0"/>
    <n v="5000"/>
    <x v="1"/>
    <m/>
    <m/>
    <n v="5000"/>
    <m/>
  </r>
  <r>
    <x v="3"/>
    <x v="6"/>
    <x v="23"/>
    <x v="8"/>
    <x v="1"/>
    <x v="2"/>
    <x v="1"/>
    <x v="5"/>
    <m/>
    <m/>
    <m/>
    <n v="58980"/>
    <n v="0"/>
    <n v="58980"/>
    <x v="0"/>
    <d v="2026-03-02T00:00:00"/>
    <n v="232000.5"/>
    <n v="-173020.5"/>
    <m/>
  </r>
  <r>
    <x v="9"/>
    <x v="1"/>
    <x v="22"/>
    <x v="6"/>
    <x v="1"/>
    <x v="0"/>
    <x v="4"/>
    <x v="22"/>
    <m/>
    <s v="Factura"/>
    <m/>
    <n v="169414"/>
    <n v="0"/>
    <n v="169414"/>
    <x v="0"/>
    <d v="2026-02-20T00:00:00"/>
    <n v="169414"/>
    <n v="0"/>
    <m/>
  </r>
  <r>
    <x v="10"/>
    <x v="1"/>
    <x v="17"/>
    <x v="5"/>
    <x v="1"/>
    <x v="0"/>
    <x v="2"/>
    <x v="8"/>
    <m/>
    <s v="Factura"/>
    <n v="41543"/>
    <n v="7907"/>
    <n v="7893.17"/>
    <n v="57343.17"/>
    <x v="0"/>
    <d v="2026-02-13T00:00:00"/>
    <n v="57343.17"/>
    <n v="0"/>
    <m/>
  </r>
  <r>
    <x v="2"/>
    <x v="5"/>
    <x v="17"/>
    <x v="5"/>
    <x v="1"/>
    <x v="2"/>
    <x v="1"/>
    <x v="1"/>
    <m/>
    <m/>
    <m/>
    <n v="19441"/>
    <n v="0"/>
    <n v="19441"/>
    <x v="0"/>
    <d v="2026-02-13T00:00:00"/>
    <n v="19441"/>
    <n v="0"/>
    <m/>
  </r>
  <r>
    <x v="5"/>
    <x v="3"/>
    <x v="23"/>
    <x v="8"/>
    <x v="1"/>
    <x v="0"/>
    <x v="1"/>
    <x v="17"/>
    <m/>
    <m/>
    <m/>
    <n v="26168"/>
    <n v="0"/>
    <n v="26168"/>
    <x v="0"/>
    <d v="2026-03-11T00:00:00"/>
    <n v="26168"/>
    <n v="0"/>
    <m/>
  </r>
  <r>
    <x v="4"/>
    <x v="8"/>
    <x v="24"/>
    <x v="4"/>
    <x v="2"/>
    <x v="2"/>
    <x v="4"/>
    <x v="6"/>
    <m/>
    <s v="Factura"/>
    <n v="142849"/>
    <m/>
    <n v="27141.31"/>
    <n v="169990.31"/>
    <x v="0"/>
    <d v="2026-03-10T00:00:00"/>
    <n v="169990"/>
    <n v="0.30999999999767169"/>
    <m/>
  </r>
  <r>
    <x v="4"/>
    <x v="9"/>
    <x v="25"/>
    <x v="4"/>
    <x v="2"/>
    <x v="2"/>
    <x v="4"/>
    <x v="23"/>
    <m/>
    <s v="Boleta"/>
    <m/>
    <n v="159990"/>
    <n v="0"/>
    <n v="159990"/>
    <x v="0"/>
    <d v="2026-03-11T00:00:00"/>
    <n v="159990"/>
    <n v="0"/>
    <m/>
  </r>
  <r>
    <x v="4"/>
    <x v="10"/>
    <x v="24"/>
    <x v="4"/>
    <x v="2"/>
    <x v="2"/>
    <x v="6"/>
    <x v="24"/>
    <m/>
    <s v="Factura"/>
    <m/>
    <n v="272036"/>
    <n v="0"/>
    <n v="272036"/>
    <x v="0"/>
    <d v="2026-03-11T00:00:00"/>
    <n v="272036"/>
    <n v="0"/>
    <m/>
  </r>
  <r>
    <x v="7"/>
    <x v="2"/>
    <x v="21"/>
    <x v="8"/>
    <x v="1"/>
    <x v="2"/>
    <x v="1"/>
    <x v="17"/>
    <m/>
    <m/>
    <m/>
    <n v="21358"/>
    <n v="0"/>
    <n v="21358"/>
    <x v="0"/>
    <d v="2026-03-02T00:00:00"/>
    <n v="21358"/>
    <n v="0"/>
    <m/>
  </r>
  <r>
    <x v="7"/>
    <x v="3"/>
    <x v="26"/>
    <x v="4"/>
    <x v="2"/>
    <x v="2"/>
    <x v="1"/>
    <x v="17"/>
    <m/>
    <m/>
    <m/>
    <n v="34639"/>
    <n v="0"/>
    <n v="34639"/>
    <x v="0"/>
    <d v="2026-03-11T00:00:00"/>
    <n v="34639.1"/>
    <n v="-9.9999999998544808E-2"/>
    <m/>
  </r>
  <r>
    <x v="5"/>
    <x v="4"/>
    <x v="27"/>
    <x v="5"/>
    <x v="2"/>
    <x v="0"/>
    <x v="4"/>
    <x v="25"/>
    <m/>
    <s v="Boleta de honorarios"/>
    <m/>
    <n v="50000"/>
    <n v="0"/>
    <n v="50000"/>
    <x v="0"/>
    <d v="2026-03-16T00:00:00"/>
    <n v="50000"/>
    <n v="0"/>
    <m/>
  </r>
  <r>
    <x v="1"/>
    <x v="6"/>
    <x v="27"/>
    <x v="5"/>
    <x v="2"/>
    <x v="0"/>
    <x v="2"/>
    <x v="8"/>
    <m/>
    <s v="Factura"/>
    <n v="33798"/>
    <n v="5074"/>
    <n v="6421.62"/>
    <n v="45293.62"/>
    <x v="1"/>
    <m/>
    <m/>
    <n v="45293.62"/>
    <m/>
  </r>
  <r>
    <x v="1"/>
    <x v="6"/>
    <x v="27"/>
    <x v="5"/>
    <x v="2"/>
    <x v="0"/>
    <x v="2"/>
    <x v="8"/>
    <m/>
    <s v="Factura"/>
    <n v="38268"/>
    <n v="-5539"/>
    <n v="7270.92"/>
    <n v="39999.919999999998"/>
    <x v="1"/>
    <m/>
    <m/>
    <n v="39999.919999999998"/>
    <m/>
  </r>
  <r>
    <x v="1"/>
    <x v="6"/>
    <x v="27"/>
    <x v="5"/>
    <x v="2"/>
    <x v="0"/>
    <x v="2"/>
    <x v="4"/>
    <m/>
    <m/>
    <m/>
    <n v="1440"/>
    <n v="0"/>
    <n v="1440"/>
    <x v="0"/>
    <d v="2026-03-16T00:00:00"/>
    <n v="86734"/>
    <n v="-85294"/>
    <m/>
  </r>
  <r>
    <x v="4"/>
    <x v="11"/>
    <x v="28"/>
    <x v="6"/>
    <x v="2"/>
    <x v="2"/>
    <x v="6"/>
    <x v="24"/>
    <m/>
    <s v="Factura"/>
    <m/>
    <n v="70389"/>
    <n v="0"/>
    <n v="70389"/>
    <x v="1"/>
    <m/>
    <m/>
    <n v="70389"/>
    <m/>
  </r>
  <r>
    <x v="4"/>
    <x v="11"/>
    <x v="28"/>
    <x v="6"/>
    <x v="2"/>
    <x v="2"/>
    <x v="6"/>
    <x v="24"/>
    <m/>
    <s v="Factura"/>
    <m/>
    <n v="4764"/>
    <n v="0"/>
    <n v="4764"/>
    <x v="0"/>
    <d v="2026-03-19T00:00:00"/>
    <n v="75153"/>
    <n v="-70389"/>
    <m/>
  </r>
  <r>
    <x v="11"/>
    <x v="1"/>
    <x v="21"/>
    <x v="8"/>
    <x v="1"/>
    <x v="0"/>
    <x v="2"/>
    <x v="11"/>
    <m/>
    <m/>
    <m/>
    <n v="46245"/>
    <n v="0"/>
    <n v="46245"/>
    <x v="1"/>
    <m/>
    <m/>
    <n v="46245"/>
    <m/>
  </r>
  <r>
    <x v="11"/>
    <x v="1"/>
    <x v="21"/>
    <x v="8"/>
    <x v="1"/>
    <x v="0"/>
    <x v="2"/>
    <x v="8"/>
    <m/>
    <s v="Factura"/>
    <n v="13742"/>
    <n v="2387"/>
    <n v="2610.98"/>
    <n v="18739.98"/>
    <x v="1"/>
    <m/>
    <m/>
    <n v="18739.98"/>
    <m/>
  </r>
  <r>
    <x v="11"/>
    <x v="1"/>
    <x v="21"/>
    <x v="8"/>
    <x v="1"/>
    <x v="0"/>
    <x v="2"/>
    <x v="5"/>
    <m/>
    <m/>
    <m/>
    <n v="13490"/>
    <n v="0"/>
    <n v="13490"/>
    <x v="1"/>
    <m/>
    <m/>
    <n v="13490"/>
    <m/>
  </r>
  <r>
    <x v="11"/>
    <x v="1"/>
    <x v="29"/>
    <x v="4"/>
    <x v="2"/>
    <x v="0"/>
    <x v="2"/>
    <x v="5"/>
    <m/>
    <m/>
    <m/>
    <n v="9570"/>
    <n v="0"/>
    <n v="9570"/>
    <x v="1"/>
    <m/>
    <m/>
    <n v="9570"/>
    <m/>
  </r>
  <r>
    <x v="11"/>
    <x v="1"/>
    <x v="21"/>
    <x v="8"/>
    <x v="1"/>
    <x v="0"/>
    <x v="2"/>
    <x v="4"/>
    <m/>
    <m/>
    <m/>
    <n v="14400"/>
    <n v="0"/>
    <n v="14400"/>
    <x v="1"/>
    <m/>
    <m/>
    <n v="14400"/>
    <m/>
  </r>
  <r>
    <x v="11"/>
    <x v="1"/>
    <x v="30"/>
    <x v="5"/>
    <x v="2"/>
    <x v="0"/>
    <x v="2"/>
    <x v="4"/>
    <m/>
    <m/>
    <m/>
    <n v="9282"/>
    <n v="0"/>
    <n v="9282"/>
    <x v="1"/>
    <m/>
    <m/>
    <n v="9282"/>
    <m/>
  </r>
  <r>
    <x v="11"/>
    <x v="1"/>
    <x v="21"/>
    <x v="8"/>
    <x v="1"/>
    <x v="0"/>
    <x v="2"/>
    <x v="8"/>
    <m/>
    <s v="Factura"/>
    <n v="28143"/>
    <n v="4390"/>
    <n v="5347.17"/>
    <n v="37880.17"/>
    <x v="1"/>
    <m/>
    <m/>
    <n v="37880.17"/>
    <m/>
  </r>
  <r>
    <x v="11"/>
    <x v="1"/>
    <x v="25"/>
    <x v="4"/>
    <x v="2"/>
    <x v="0"/>
    <x v="2"/>
    <x v="8"/>
    <m/>
    <s v="Factura"/>
    <n v="32759"/>
    <n v="4403"/>
    <n v="6224.21"/>
    <n v="43386.21"/>
    <x v="1"/>
    <m/>
    <m/>
    <n v="43386.21"/>
    <m/>
  </r>
  <r>
    <x v="11"/>
    <x v="1"/>
    <x v="31"/>
    <x v="8"/>
    <x v="2"/>
    <x v="0"/>
    <x v="2"/>
    <x v="8"/>
    <m/>
    <s v="Factura"/>
    <n v="38717"/>
    <n v="-5730.4"/>
    <n v="7356.2300000000005"/>
    <n v="40342.83"/>
    <x v="0"/>
    <d v="2026-03-23T00:00:00"/>
    <n v="235336.19"/>
    <n v="-194993.36"/>
    <m/>
  </r>
  <r>
    <x v="4"/>
    <x v="12"/>
    <x v="32"/>
    <x v="8"/>
    <x v="2"/>
    <x v="0"/>
    <x v="6"/>
    <x v="24"/>
    <m/>
    <s v="Factura"/>
    <m/>
    <n v="70389"/>
    <n v="0"/>
    <n v="70389"/>
    <x v="1"/>
    <m/>
    <m/>
    <n v="70389"/>
    <m/>
  </r>
  <r>
    <x v="4"/>
    <x v="13"/>
    <x v="33"/>
    <x v="8"/>
    <x v="2"/>
    <x v="0"/>
    <x v="6"/>
    <x v="24"/>
    <m/>
    <s v="Factura"/>
    <m/>
    <n v="70389"/>
    <n v="0"/>
    <n v="70389"/>
    <x v="0"/>
    <d v="2026-03-27T00:00:00"/>
    <n v="140778.31"/>
    <n v="-70389.31"/>
    <m/>
  </r>
  <r>
    <x v="12"/>
    <x v="1"/>
    <x v="32"/>
    <x v="8"/>
    <x v="2"/>
    <x v="2"/>
    <x v="2"/>
    <x v="12"/>
    <m/>
    <m/>
    <m/>
    <n v="9157"/>
    <n v="0"/>
    <n v="9157"/>
    <x v="0"/>
    <d v="2026-03-27T00:00:00"/>
    <n v="9157"/>
    <n v="0"/>
    <m/>
  </r>
  <r>
    <x v="9"/>
    <x v="1"/>
    <x v="30"/>
    <x v="5"/>
    <x v="2"/>
    <x v="0"/>
    <x v="6"/>
    <x v="26"/>
    <m/>
    <m/>
    <m/>
    <n v="30393"/>
    <n v="0"/>
    <n v="30393"/>
    <x v="0"/>
    <d v="2026-03-27T00:00:00"/>
    <n v="30393"/>
    <n v="0"/>
    <m/>
  </r>
  <r>
    <x v="11"/>
    <x v="2"/>
    <x v="33"/>
    <x v="8"/>
    <x v="2"/>
    <x v="0"/>
    <x v="2"/>
    <x v="4"/>
    <m/>
    <m/>
    <m/>
    <n v="36150"/>
    <n v="0"/>
    <n v="36150"/>
    <x v="1"/>
    <m/>
    <m/>
    <n v="36150"/>
    <m/>
  </r>
  <r>
    <x v="11"/>
    <x v="2"/>
    <x v="33"/>
    <x v="8"/>
    <x v="2"/>
    <x v="0"/>
    <x v="2"/>
    <x v="8"/>
    <m/>
    <s v="Factura"/>
    <n v="44898"/>
    <n v="6575"/>
    <n v="8530.6200000000008"/>
    <n v="60003.62"/>
    <x v="1"/>
    <m/>
    <m/>
    <n v="60003.62"/>
    <m/>
  </r>
  <r>
    <x v="11"/>
    <x v="2"/>
    <x v="33"/>
    <x v="8"/>
    <x v="2"/>
    <x v="0"/>
    <x v="2"/>
    <x v="27"/>
    <m/>
    <s v="Factura"/>
    <n v="129328"/>
    <m/>
    <n v="24572.32"/>
    <n v="153900.32"/>
    <x v="0"/>
    <d v="2026-03-23T00:00:00"/>
    <n v="153900"/>
    <n v="0.32000000000698492"/>
    <m/>
  </r>
  <r>
    <x v="11"/>
    <x v="2"/>
    <x v="33"/>
    <x v="8"/>
    <x v="2"/>
    <x v="0"/>
    <x v="2"/>
    <x v="5"/>
    <m/>
    <m/>
    <m/>
    <n v="8600"/>
    <n v="0"/>
    <n v="8600"/>
    <x v="1"/>
    <m/>
    <m/>
    <n v="8600"/>
    <m/>
  </r>
  <r>
    <x v="11"/>
    <x v="2"/>
    <x v="33"/>
    <x v="8"/>
    <x v="2"/>
    <x v="0"/>
    <x v="2"/>
    <x v="8"/>
    <m/>
    <s v="Factura"/>
    <n v="45343"/>
    <n v="7058"/>
    <n v="8615.17"/>
    <n v="61016.17"/>
    <x v="0"/>
    <d v="2026-03-27T00:00:00"/>
    <n v="165770.10999999999"/>
    <n v="-104753.93999999999"/>
    <m/>
  </r>
  <r>
    <x v="1"/>
    <x v="8"/>
    <x v="33"/>
    <x v="8"/>
    <x v="2"/>
    <x v="0"/>
    <x v="2"/>
    <x v="8"/>
    <m/>
    <s v="Factura"/>
    <n v="52013"/>
    <n v="-16895"/>
    <n v="9882.4699999999993"/>
    <n v="45000.47"/>
    <x v="1"/>
    <m/>
    <m/>
    <n v="45000.47"/>
    <m/>
  </r>
  <r>
    <x v="1"/>
    <x v="8"/>
    <x v="33"/>
    <x v="8"/>
    <x v="2"/>
    <x v="0"/>
    <x v="2"/>
    <x v="8"/>
    <m/>
    <s v="Factura"/>
    <n v="43205"/>
    <n v="3715"/>
    <n v="8208.9500000000007"/>
    <n v="55128.95"/>
    <x v="1"/>
    <m/>
    <m/>
    <n v="55128.95"/>
    <m/>
  </r>
  <r>
    <x v="1"/>
    <x v="8"/>
    <x v="33"/>
    <x v="8"/>
    <x v="2"/>
    <x v="0"/>
    <x v="2"/>
    <x v="4"/>
    <m/>
    <m/>
    <m/>
    <n v="5590"/>
    <n v="0"/>
    <n v="5590"/>
    <x v="1"/>
    <m/>
    <m/>
    <n v="5590"/>
    <m/>
  </r>
  <r>
    <x v="1"/>
    <x v="8"/>
    <x v="33"/>
    <x v="8"/>
    <x v="2"/>
    <x v="0"/>
    <x v="2"/>
    <x v="5"/>
    <m/>
    <m/>
    <m/>
    <n v="26830"/>
    <n v="0"/>
    <n v="26830"/>
    <x v="1"/>
    <m/>
    <m/>
    <n v="26830"/>
    <m/>
  </r>
  <r>
    <x v="1"/>
    <x v="8"/>
    <x v="33"/>
    <x v="8"/>
    <x v="2"/>
    <x v="0"/>
    <x v="1"/>
    <x v="17"/>
    <m/>
    <m/>
    <m/>
    <n v="42450"/>
    <n v="0"/>
    <n v="42450"/>
    <x v="0"/>
    <d v="2026-03-30T00:00:00"/>
    <n v="74998.720000000001"/>
    <n v="-32548.720000000001"/>
    <m/>
  </r>
  <r>
    <x v="7"/>
    <x v="4"/>
    <x v="34"/>
    <x v="8"/>
    <x v="2"/>
    <x v="0"/>
    <x v="2"/>
    <x v="10"/>
    <m/>
    <s v="Factura"/>
    <n v="74790"/>
    <m/>
    <n v="14210.1"/>
    <n v="89000.1"/>
    <x v="0"/>
    <d v="2026-03-30T00:00:00"/>
    <n v="89000"/>
    <n v="0.10000000000582077"/>
    <m/>
  </r>
  <r>
    <x v="4"/>
    <x v="14"/>
    <x v="34"/>
    <x v="8"/>
    <x v="2"/>
    <x v="0"/>
    <x v="2"/>
    <x v="20"/>
    <s v="RBYY84 Permiso Circulacion "/>
    <m/>
    <m/>
    <n v="177098"/>
    <n v="0"/>
    <n v="177098"/>
    <x v="1"/>
    <m/>
    <m/>
    <n v="177098"/>
    <m/>
  </r>
  <r>
    <x v="4"/>
    <x v="14"/>
    <x v="34"/>
    <x v="8"/>
    <x v="2"/>
    <x v="0"/>
    <x v="2"/>
    <x v="20"/>
    <s v="PHZB79 y TFDP47 Permiso Circulacion "/>
    <m/>
    <m/>
    <n v="412247"/>
    <n v="0"/>
    <n v="412247"/>
    <x v="1"/>
    <m/>
    <m/>
    <n v="412247"/>
    <m/>
  </r>
  <r>
    <x v="4"/>
    <x v="14"/>
    <x v="34"/>
    <x v="8"/>
    <x v="2"/>
    <x v="0"/>
    <x v="2"/>
    <x v="20"/>
    <s v="RBYY84 SOAP"/>
    <m/>
    <m/>
    <n v="10590"/>
    <n v="0"/>
    <n v="10590"/>
    <x v="1"/>
    <m/>
    <m/>
    <n v="10590"/>
    <m/>
  </r>
  <r>
    <x v="4"/>
    <x v="14"/>
    <x v="34"/>
    <x v="8"/>
    <x v="2"/>
    <x v="0"/>
    <x v="2"/>
    <x v="20"/>
    <s v="PHZB79 SOAP"/>
    <m/>
    <m/>
    <n v="10590"/>
    <n v="0"/>
    <n v="10590"/>
    <x v="1"/>
    <m/>
    <m/>
    <n v="10590"/>
    <m/>
  </r>
  <r>
    <x v="4"/>
    <x v="14"/>
    <x v="34"/>
    <x v="8"/>
    <x v="2"/>
    <x v="0"/>
    <x v="2"/>
    <x v="20"/>
    <s v="TFDP47 SOAP"/>
    <m/>
    <m/>
    <n v="10590"/>
    <n v="0"/>
    <n v="10590"/>
    <x v="0"/>
    <d v="2026-04-02T00:00:00"/>
    <n v="621115"/>
    <n v="-610525"/>
    <m/>
  </r>
  <r>
    <x v="4"/>
    <x v="15"/>
    <x v="35"/>
    <x v="9"/>
    <x v="2"/>
    <x v="0"/>
    <x v="6"/>
    <x v="24"/>
    <s v="Adeor Envio desde panama"/>
    <s v="Factura"/>
    <m/>
    <n v="70389"/>
    <n v="0"/>
    <n v="70389"/>
    <x v="0"/>
    <d v="2026-04-02T00:00:00"/>
    <n v="70389"/>
    <n v="0"/>
    <m/>
  </r>
  <r>
    <x v="5"/>
    <x v="5"/>
    <x v="36"/>
    <x v="10"/>
    <x v="3"/>
    <x v="4"/>
    <x v="4"/>
    <x v="25"/>
    <m/>
    <m/>
    <m/>
    <n v="8200"/>
    <n v="0"/>
    <n v="8200"/>
    <x v="0"/>
    <d v="2026-04-24T00:00:00"/>
    <n v="8200"/>
    <n v="0"/>
    <m/>
  </r>
  <r>
    <x v="8"/>
    <x v="3"/>
    <x v="37"/>
    <x v="8"/>
    <x v="1"/>
    <x v="0"/>
    <x v="2"/>
    <x v="21"/>
    <m/>
    <m/>
    <m/>
    <n v="6000"/>
    <n v="0"/>
    <n v="6000"/>
    <x v="0"/>
    <d v="2026-03-24T00:00:00"/>
    <n v="250000"/>
    <n v="-244000"/>
    <m/>
  </r>
  <r>
    <x v="8"/>
    <x v="3"/>
    <x v="37"/>
    <x v="8"/>
    <x v="1"/>
    <x v="0"/>
    <x v="2"/>
    <x v="5"/>
    <m/>
    <m/>
    <m/>
    <n v="6700"/>
    <n v="0"/>
    <n v="6700"/>
    <x v="1"/>
    <m/>
    <m/>
    <n v="6700"/>
    <m/>
  </r>
  <r>
    <x v="8"/>
    <x v="3"/>
    <x v="37"/>
    <x v="8"/>
    <x v="1"/>
    <x v="0"/>
    <x v="2"/>
    <x v="15"/>
    <m/>
    <m/>
    <m/>
    <n v="8970"/>
    <n v="0"/>
    <n v="8970"/>
    <x v="1"/>
    <m/>
    <m/>
    <n v="8970"/>
    <m/>
  </r>
  <r>
    <x v="8"/>
    <x v="3"/>
    <x v="37"/>
    <x v="8"/>
    <x v="1"/>
    <x v="0"/>
    <x v="2"/>
    <x v="11"/>
    <m/>
    <m/>
    <m/>
    <n v="14419"/>
    <n v="0"/>
    <n v="14419"/>
    <x v="1"/>
    <m/>
    <m/>
    <n v="14419"/>
    <m/>
  </r>
  <r>
    <x v="8"/>
    <x v="3"/>
    <x v="38"/>
    <x v="5"/>
    <x v="2"/>
    <x v="0"/>
    <x v="2"/>
    <x v="11"/>
    <m/>
    <m/>
    <m/>
    <n v="34690"/>
    <n v="0"/>
    <n v="34690"/>
    <x v="1"/>
    <m/>
    <m/>
    <n v="34690"/>
    <m/>
  </r>
  <r>
    <x v="8"/>
    <x v="3"/>
    <x v="39"/>
    <x v="6"/>
    <x v="2"/>
    <x v="0"/>
    <x v="2"/>
    <x v="11"/>
    <m/>
    <m/>
    <m/>
    <n v="54661"/>
    <n v="0"/>
    <n v="54661"/>
    <x v="1"/>
    <m/>
    <m/>
    <n v="54661"/>
    <m/>
  </r>
  <r>
    <x v="8"/>
    <x v="3"/>
    <x v="40"/>
    <x v="8"/>
    <x v="2"/>
    <x v="0"/>
    <x v="2"/>
    <x v="11"/>
    <m/>
    <m/>
    <m/>
    <n v="50688"/>
    <n v="0"/>
    <n v="50688"/>
    <x v="1"/>
    <m/>
    <m/>
    <n v="50688"/>
    <m/>
  </r>
  <r>
    <x v="8"/>
    <x v="3"/>
    <x v="38"/>
    <x v="5"/>
    <x v="2"/>
    <x v="0"/>
    <x v="2"/>
    <x v="5"/>
    <m/>
    <m/>
    <m/>
    <n v="9900"/>
    <n v="0"/>
    <n v="9900"/>
    <x v="1"/>
    <m/>
    <m/>
    <n v="9900"/>
    <m/>
  </r>
  <r>
    <x v="8"/>
    <x v="3"/>
    <x v="39"/>
    <x v="6"/>
    <x v="2"/>
    <x v="0"/>
    <x v="2"/>
    <x v="21"/>
    <m/>
    <m/>
    <m/>
    <n v="261730"/>
    <n v="0"/>
    <n v="261730"/>
    <x v="1"/>
    <m/>
    <m/>
    <n v="261730"/>
    <m/>
  </r>
  <r>
    <x v="8"/>
    <x v="3"/>
    <x v="39"/>
    <x v="6"/>
    <x v="2"/>
    <x v="0"/>
    <x v="2"/>
    <x v="28"/>
    <s v="Maleta Extra"/>
    <m/>
    <m/>
    <n v="40000"/>
    <n v="0"/>
    <n v="40000"/>
    <x v="1"/>
    <m/>
    <m/>
    <n v="40000"/>
    <m/>
  </r>
  <r>
    <x v="8"/>
    <x v="3"/>
    <x v="39"/>
    <x v="6"/>
    <x v="2"/>
    <x v="0"/>
    <x v="2"/>
    <x v="5"/>
    <m/>
    <m/>
    <m/>
    <n v="20489"/>
    <n v="0"/>
    <n v="20489"/>
    <x v="1"/>
    <m/>
    <m/>
    <n v="20489"/>
    <m/>
  </r>
  <r>
    <x v="8"/>
    <x v="3"/>
    <x v="32"/>
    <x v="8"/>
    <x v="2"/>
    <x v="0"/>
    <x v="2"/>
    <x v="5"/>
    <m/>
    <m/>
    <m/>
    <n v="35840"/>
    <n v="0"/>
    <n v="35840"/>
    <x v="1"/>
    <m/>
    <m/>
    <n v="35840"/>
    <m/>
  </r>
  <r>
    <x v="8"/>
    <x v="3"/>
    <x v="40"/>
    <x v="8"/>
    <x v="2"/>
    <x v="0"/>
    <x v="2"/>
    <x v="29"/>
    <m/>
    <m/>
    <m/>
    <n v="13000"/>
    <n v="0"/>
    <n v="13000"/>
    <x v="1"/>
    <m/>
    <m/>
    <n v="13000"/>
    <m/>
  </r>
  <r>
    <x v="8"/>
    <x v="3"/>
    <x v="40"/>
    <x v="8"/>
    <x v="2"/>
    <x v="0"/>
    <x v="2"/>
    <x v="5"/>
    <m/>
    <m/>
    <m/>
    <n v="70070"/>
    <n v="0"/>
    <n v="70070"/>
    <x v="1"/>
    <m/>
    <m/>
    <n v="70070"/>
    <m/>
  </r>
  <r>
    <x v="8"/>
    <x v="3"/>
    <x v="40"/>
    <x v="8"/>
    <x v="2"/>
    <x v="0"/>
    <x v="2"/>
    <x v="15"/>
    <m/>
    <m/>
    <m/>
    <n v="74370"/>
    <n v="0"/>
    <n v="74370"/>
    <x v="1"/>
    <m/>
    <m/>
    <n v="74370"/>
    <m/>
  </r>
  <r>
    <x v="8"/>
    <x v="3"/>
    <x v="40"/>
    <x v="8"/>
    <x v="2"/>
    <x v="0"/>
    <x v="2"/>
    <x v="14"/>
    <m/>
    <m/>
    <m/>
    <n v="75000"/>
    <n v="0"/>
    <n v="75000"/>
    <x v="1"/>
    <m/>
    <m/>
    <n v="75000"/>
    <m/>
  </r>
  <r>
    <x v="8"/>
    <x v="3"/>
    <x v="40"/>
    <x v="8"/>
    <x v="2"/>
    <x v="0"/>
    <x v="2"/>
    <x v="21"/>
    <m/>
    <m/>
    <m/>
    <n v="208804"/>
    <n v="0"/>
    <n v="208804"/>
    <x v="1"/>
    <m/>
    <m/>
    <n v="208804"/>
    <m/>
  </r>
  <r>
    <x v="8"/>
    <x v="3"/>
    <x v="40"/>
    <x v="8"/>
    <x v="2"/>
    <x v="0"/>
    <x v="2"/>
    <x v="21"/>
    <m/>
    <m/>
    <m/>
    <n v="54946"/>
    <n v="0"/>
    <n v="54946"/>
    <x v="3"/>
    <d v="2026-04-07T00:00:00"/>
    <n v="790277"/>
    <n v="-735331"/>
    <m/>
  </r>
  <r>
    <x v="11"/>
    <x v="3"/>
    <x v="33"/>
    <x v="8"/>
    <x v="2"/>
    <x v="0"/>
    <x v="2"/>
    <x v="4"/>
    <m/>
    <m/>
    <m/>
    <n v="19000"/>
    <n v="0"/>
    <n v="19000"/>
    <x v="1"/>
    <m/>
    <m/>
    <n v="19000"/>
    <m/>
  </r>
  <r>
    <x v="11"/>
    <x v="3"/>
    <x v="36"/>
    <x v="8"/>
    <x v="3"/>
    <x v="0"/>
    <x v="2"/>
    <x v="4"/>
    <m/>
    <m/>
    <m/>
    <n v="12240"/>
    <n v="0"/>
    <n v="12240"/>
    <x v="1"/>
    <m/>
    <m/>
    <n v="12240"/>
    <m/>
  </r>
  <r>
    <x v="11"/>
    <x v="3"/>
    <x v="36"/>
    <x v="8"/>
    <x v="3"/>
    <x v="0"/>
    <x v="2"/>
    <x v="5"/>
    <m/>
    <m/>
    <m/>
    <n v="5200"/>
    <n v="0"/>
    <n v="5200"/>
    <x v="1"/>
    <m/>
    <m/>
    <n v="5200"/>
    <m/>
  </r>
  <r>
    <x v="11"/>
    <x v="3"/>
    <x v="36"/>
    <x v="8"/>
    <x v="3"/>
    <x v="0"/>
    <x v="2"/>
    <x v="8"/>
    <m/>
    <s v="Factura"/>
    <n v="52850"/>
    <n v="16369.5"/>
    <n v="10041.5"/>
    <n v="79261"/>
    <x v="1"/>
    <m/>
    <m/>
    <n v="79261"/>
    <m/>
  </r>
  <r>
    <x v="11"/>
    <x v="4"/>
    <x v="41"/>
    <x v="11"/>
    <x v="3"/>
    <x v="0"/>
    <x v="2"/>
    <x v="8"/>
    <m/>
    <s v="Factura"/>
    <n v="19993"/>
    <n v="6208"/>
    <n v="3798.67"/>
    <n v="29999.67"/>
    <x v="1"/>
    <m/>
    <m/>
    <n v="29999.67"/>
    <m/>
  </r>
  <r>
    <x v="11"/>
    <x v="4"/>
    <x v="41"/>
    <x v="11"/>
    <x v="3"/>
    <x v="0"/>
    <x v="2"/>
    <x v="8"/>
    <m/>
    <s v="Factura"/>
    <n v="17122"/>
    <n v="-375"/>
    <n v="3253.18"/>
    <n v="20000.18"/>
    <x v="1"/>
    <m/>
    <m/>
    <n v="20000.18"/>
    <m/>
  </r>
  <r>
    <x v="11"/>
    <x v="4"/>
    <x v="41"/>
    <x v="11"/>
    <x v="3"/>
    <x v="0"/>
    <x v="2"/>
    <x v="4"/>
    <m/>
    <m/>
    <m/>
    <n v="18650"/>
    <n v="0"/>
    <n v="18650"/>
    <x v="1"/>
    <m/>
    <m/>
    <n v="18650"/>
    <m/>
  </r>
  <r>
    <x v="11"/>
    <x v="4"/>
    <x v="41"/>
    <x v="11"/>
    <x v="3"/>
    <x v="0"/>
    <x v="2"/>
    <x v="5"/>
    <m/>
    <m/>
    <m/>
    <n v="37400"/>
    <n v="0"/>
    <n v="37400"/>
    <x v="0"/>
    <d v="2026-04-17T00:00:00"/>
    <n v="219322"/>
    <n v="-181922"/>
    <m/>
  </r>
  <r>
    <x v="5"/>
    <x v="6"/>
    <x v="42"/>
    <x v="12"/>
    <x v="3"/>
    <x v="0"/>
    <x v="4"/>
    <x v="25"/>
    <m/>
    <s v="Boleta de honorarios"/>
    <m/>
    <n v="10000"/>
    <n v="0"/>
    <n v="10000"/>
    <x v="0"/>
    <d v="2026-04-17T00:00:00"/>
    <n v="10000"/>
    <n v="0"/>
    <m/>
  </r>
  <r>
    <x v="9"/>
    <x v="2"/>
    <x v="41"/>
    <x v="12"/>
    <x v="3"/>
    <x v="0"/>
    <x v="1"/>
    <x v="30"/>
    <m/>
    <s v="Factura"/>
    <n v="132689"/>
    <m/>
    <n v="25210.91"/>
    <n v="157899.91"/>
    <x v="0"/>
    <d v="2026-04-17T00:00:00"/>
    <n v="157899.91"/>
    <n v="0"/>
    <m/>
  </r>
  <r>
    <x v="8"/>
    <x v="4"/>
    <x v="41"/>
    <x v="12"/>
    <x v="3"/>
    <x v="0"/>
    <x v="2"/>
    <x v="21"/>
    <m/>
    <m/>
    <m/>
    <n v="14500"/>
    <n v="0"/>
    <n v="14500"/>
    <x v="1"/>
    <m/>
    <m/>
    <n v="14500"/>
    <m/>
  </r>
  <r>
    <x v="8"/>
    <x v="4"/>
    <x v="41"/>
    <x v="12"/>
    <x v="3"/>
    <x v="0"/>
    <x v="2"/>
    <x v="11"/>
    <m/>
    <m/>
    <m/>
    <n v="21232"/>
    <n v="0"/>
    <n v="21232"/>
    <x v="1"/>
    <m/>
    <m/>
    <n v="21232"/>
    <m/>
  </r>
  <r>
    <x v="8"/>
    <x v="4"/>
    <x v="41"/>
    <x v="12"/>
    <x v="3"/>
    <x v="0"/>
    <x v="2"/>
    <x v="5"/>
    <m/>
    <m/>
    <m/>
    <n v="13750"/>
    <n v="0"/>
    <n v="13750"/>
    <x v="1"/>
    <m/>
    <m/>
    <n v="13750"/>
    <m/>
  </r>
  <r>
    <x v="8"/>
    <x v="4"/>
    <x v="41"/>
    <x v="12"/>
    <x v="3"/>
    <x v="0"/>
    <x v="2"/>
    <x v="5"/>
    <m/>
    <m/>
    <m/>
    <n v="3100"/>
    <n v="0"/>
    <n v="3100"/>
    <x v="0"/>
    <d v="2026-04-17T00:00:00"/>
    <n v="52582"/>
    <n v="-49482"/>
    <m/>
  </r>
  <r>
    <x v="13"/>
    <x v="1"/>
    <x v="43"/>
    <x v="12"/>
    <x v="3"/>
    <x v="0"/>
    <x v="1"/>
    <x v="17"/>
    <s v="Nubox Contable "/>
    <s v="Factura"/>
    <n v="86855"/>
    <m/>
    <n v="16502.45"/>
    <n v="103357.45"/>
    <x v="0"/>
    <d v="2026-04-16T00:00:00"/>
    <n v="103357.45"/>
    <n v="0"/>
    <m/>
  </r>
  <r>
    <x v="7"/>
    <x v="5"/>
    <x v="34"/>
    <x v="8"/>
    <x v="2"/>
    <x v="0"/>
    <x v="1"/>
    <x v="17"/>
    <m/>
    <m/>
    <m/>
    <n v="9990"/>
    <n v="0"/>
    <n v="9990"/>
    <x v="0"/>
    <d v="2026-04-17T00:00:00"/>
    <n v="9990"/>
    <n v="0"/>
    <m/>
  </r>
  <r>
    <x v="4"/>
    <x v="16"/>
    <x v="44"/>
    <x v="10"/>
    <x v="3"/>
    <x v="0"/>
    <x v="1"/>
    <x v="17"/>
    <s v="Cerradura Oficina"/>
    <s v="Factura"/>
    <n v="130244"/>
    <m/>
    <n v="24746.36"/>
    <n v="154990.35999999999"/>
    <x v="0"/>
    <d v="2026-04-08T00:00:00"/>
    <n v="154990"/>
    <n v="0.35999999998603016"/>
    <m/>
  </r>
  <r>
    <x v="4"/>
    <x v="17"/>
    <x v="41"/>
    <x v="12"/>
    <x v="3"/>
    <x v="0"/>
    <x v="1"/>
    <x v="17"/>
    <s v="Camara Oficina"/>
    <m/>
    <m/>
    <n v="78246"/>
    <n v="0"/>
    <n v="78246"/>
    <x v="1"/>
    <m/>
    <m/>
    <n v="78246"/>
    <m/>
  </r>
  <r>
    <x v="4"/>
    <x v="17"/>
    <x v="41"/>
    <x v="12"/>
    <x v="3"/>
    <x v="0"/>
    <x v="6"/>
    <x v="24"/>
    <m/>
    <m/>
    <m/>
    <n v="70389"/>
    <n v="0"/>
    <n v="70389"/>
    <x v="0"/>
    <d v="2026-04-14T00:00:00"/>
    <n v="148635.35999999999"/>
    <n v="-78246.359999999986"/>
    <m/>
  </r>
  <r>
    <x v="7"/>
    <x v="6"/>
    <x v="45"/>
    <x v="13"/>
    <x v="4"/>
    <x v="0"/>
    <x v="1"/>
    <x v="17"/>
    <m/>
    <s v="Factura"/>
    <n v="18479"/>
    <m/>
    <n v="3511.01"/>
    <n v="21990.010000000002"/>
    <x v="1"/>
    <m/>
    <m/>
    <n v="21990.010000000002"/>
    <m/>
  </r>
  <r>
    <x v="11"/>
    <x v="5"/>
    <x v="46"/>
    <x v="14"/>
    <x v="3"/>
    <x v="0"/>
    <x v="2"/>
    <x v="4"/>
    <m/>
    <m/>
    <m/>
    <n v="16600"/>
    <n v="0"/>
    <n v="16600"/>
    <x v="1"/>
    <m/>
    <m/>
    <n v="16600"/>
    <m/>
  </r>
  <r>
    <x v="11"/>
    <x v="5"/>
    <x v="46"/>
    <x v="14"/>
    <x v="3"/>
    <x v="0"/>
    <x v="2"/>
    <x v="8"/>
    <m/>
    <s v="Factura"/>
    <n v="25329"/>
    <n v="9858"/>
    <n v="4812.51"/>
    <n v="39999.51"/>
    <x v="1"/>
    <m/>
    <m/>
    <n v="39999.51"/>
    <m/>
  </r>
  <r>
    <x v="11"/>
    <x v="5"/>
    <x v="46"/>
    <x v="14"/>
    <x v="3"/>
    <x v="0"/>
    <x v="2"/>
    <x v="8"/>
    <m/>
    <s v="Factura"/>
    <n v="38242"/>
    <n v="14492"/>
    <n v="7265.9800000000005"/>
    <n v="59999.98"/>
    <x v="0"/>
    <d v="2026-04-24T00:00:00"/>
    <n v="116600"/>
    <n v="-56600.02"/>
    <m/>
  </r>
  <r>
    <x v="11"/>
    <x v="0"/>
    <x v="47"/>
    <x v="14"/>
    <x v="3"/>
    <x v="1"/>
    <x v="0"/>
    <x v="0"/>
    <m/>
    <m/>
    <m/>
    <m/>
    <n v="0"/>
    <n v="0"/>
    <x v="0"/>
    <d v="2026-04-24T00:00:00"/>
    <n v="100000"/>
    <n v="-100000"/>
    <m/>
  </r>
  <r>
    <x v="11"/>
    <x v="6"/>
    <x v="48"/>
    <x v="15"/>
    <x v="3"/>
    <x v="0"/>
    <x v="2"/>
    <x v="4"/>
    <m/>
    <m/>
    <m/>
    <n v="22250"/>
    <n v="0"/>
    <n v="22250"/>
    <x v="1"/>
    <m/>
    <m/>
    <n v="22250"/>
    <m/>
  </r>
  <r>
    <x v="11"/>
    <x v="6"/>
    <x v="48"/>
    <x v="15"/>
    <x v="3"/>
    <x v="0"/>
    <x v="2"/>
    <x v="8"/>
    <m/>
    <s v="Factura"/>
    <n v="15112"/>
    <n v="7017"/>
    <n v="2871.28"/>
    <n v="25000.28"/>
    <x v="1"/>
    <m/>
    <m/>
    <n v="25000.28"/>
    <m/>
  </r>
  <r>
    <x v="11"/>
    <x v="6"/>
    <x v="48"/>
    <x v="15"/>
    <x v="3"/>
    <x v="0"/>
    <x v="2"/>
    <x v="8"/>
    <m/>
    <s v="Factura"/>
    <n v="36600"/>
    <n v="16446"/>
    <n v="6954"/>
    <n v="60000"/>
    <x v="1"/>
    <m/>
    <m/>
    <n v="60000"/>
    <m/>
  </r>
  <r>
    <x v="11"/>
    <x v="6"/>
    <x v="48"/>
    <x v="15"/>
    <x v="3"/>
    <x v="0"/>
    <x v="2"/>
    <x v="15"/>
    <m/>
    <m/>
    <m/>
    <n v="35400"/>
    <n v="0"/>
    <n v="35400"/>
    <x v="1"/>
    <m/>
    <m/>
    <n v="35400"/>
    <m/>
  </r>
  <r>
    <x v="11"/>
    <x v="6"/>
    <x v="48"/>
    <x v="15"/>
    <x v="3"/>
    <x v="0"/>
    <x v="2"/>
    <x v="5"/>
    <m/>
    <m/>
    <m/>
    <n v="8590"/>
    <n v="0"/>
    <n v="8590"/>
    <x v="1"/>
    <m/>
    <m/>
    <n v="8590"/>
    <m/>
  </r>
  <r>
    <x v="11"/>
    <x v="0"/>
    <x v="49"/>
    <x v="16"/>
    <x v="5"/>
    <x v="1"/>
    <x v="0"/>
    <x v="0"/>
    <m/>
    <m/>
    <m/>
    <m/>
    <n v="0"/>
    <n v="0"/>
    <x v="0"/>
    <d v="2026-05-05T00:00:00"/>
    <n v="510000"/>
    <n v="-510000"/>
    <m/>
  </r>
  <r>
    <x v="11"/>
    <x v="8"/>
    <x v="50"/>
    <x v="17"/>
    <x v="4"/>
    <x v="0"/>
    <x v="5"/>
    <x v="14"/>
    <m/>
    <m/>
    <m/>
    <n v="134000"/>
    <n v="0"/>
    <n v="134000"/>
    <x v="1"/>
    <m/>
    <m/>
    <n v="134000"/>
    <m/>
  </r>
  <r>
    <x v="1"/>
    <x v="9"/>
    <x v="51"/>
    <x v="10"/>
    <x v="3"/>
    <x v="0"/>
    <x v="4"/>
    <x v="8"/>
    <s v="manuel"/>
    <s v="Factura"/>
    <n v="19744"/>
    <n v="3006"/>
    <n v="3751.36"/>
    <n v="26501.360000000001"/>
    <x v="1"/>
    <m/>
    <m/>
    <n v="26501.360000000001"/>
    <m/>
  </r>
  <r>
    <x v="1"/>
    <x v="9"/>
    <x v="51"/>
    <x v="10"/>
    <x v="3"/>
    <x v="0"/>
    <x v="4"/>
    <x v="8"/>
    <s v="manuel"/>
    <s v="Factura"/>
    <n v="35492"/>
    <n v="-4727"/>
    <n v="6743.4800000000005"/>
    <n v="37508.480000000003"/>
    <x v="1"/>
    <m/>
    <m/>
    <n v="37508.480000000003"/>
    <m/>
  </r>
  <r>
    <x v="1"/>
    <x v="9"/>
    <x v="51"/>
    <x v="10"/>
    <x v="3"/>
    <x v="0"/>
    <x v="4"/>
    <x v="8"/>
    <s v="manuel"/>
    <s v="Factura"/>
    <n v="81264"/>
    <n v="-26717"/>
    <n v="15440.16"/>
    <n v="69987.16"/>
    <x v="1"/>
    <m/>
    <m/>
    <n v="69987.16"/>
    <m/>
  </r>
  <r>
    <x v="1"/>
    <x v="9"/>
    <x v="51"/>
    <x v="10"/>
    <x v="3"/>
    <x v="0"/>
    <x v="4"/>
    <x v="8"/>
    <s v="manuel"/>
    <s v="Factura"/>
    <m/>
    <n v="31740"/>
    <n v="0"/>
    <n v="31740"/>
    <x v="0"/>
    <d v="2026-04-17T00:00:00"/>
    <n v="165736"/>
    <n v="-133996"/>
    <m/>
  </r>
  <r>
    <x v="1"/>
    <x v="10"/>
    <x v="44"/>
    <x v="10"/>
    <x v="3"/>
    <x v="0"/>
    <x v="2"/>
    <x v="20"/>
    <m/>
    <s v="Factura"/>
    <n v="15126"/>
    <m/>
    <n v="2873.94"/>
    <n v="17999.939999999999"/>
    <x v="1"/>
    <m/>
    <m/>
    <n v="17999.939999999999"/>
    <m/>
  </r>
  <r>
    <x v="1"/>
    <x v="10"/>
    <x v="44"/>
    <x v="10"/>
    <x v="3"/>
    <x v="0"/>
    <x v="2"/>
    <x v="20"/>
    <m/>
    <s v="Factura"/>
    <n v="15126"/>
    <m/>
    <n v="2873.94"/>
    <n v="17999.939999999999"/>
    <x v="1"/>
    <m/>
    <m/>
    <n v="17999.939999999999"/>
    <m/>
  </r>
  <r>
    <x v="1"/>
    <x v="10"/>
    <x v="44"/>
    <x v="10"/>
    <x v="3"/>
    <x v="0"/>
    <x v="2"/>
    <x v="8"/>
    <m/>
    <s v="Factura"/>
    <n v="12389"/>
    <n v="257"/>
    <n v="2353.91"/>
    <n v="14999.91"/>
    <x v="1"/>
    <m/>
    <m/>
    <n v="14999.91"/>
    <m/>
  </r>
  <r>
    <x v="1"/>
    <x v="10"/>
    <x v="44"/>
    <x v="10"/>
    <x v="3"/>
    <x v="0"/>
    <x v="2"/>
    <x v="8"/>
    <m/>
    <s v="Factura"/>
    <n v="16522"/>
    <n v="339"/>
    <n v="3139.18"/>
    <n v="20000.18"/>
    <x v="1"/>
    <m/>
    <m/>
    <n v="20000.18"/>
    <m/>
  </r>
  <r>
    <x v="1"/>
    <x v="10"/>
    <x v="44"/>
    <x v="10"/>
    <x v="3"/>
    <x v="0"/>
    <x v="2"/>
    <x v="4"/>
    <m/>
    <m/>
    <m/>
    <n v="5159"/>
    <n v="0"/>
    <n v="5159"/>
    <x v="1"/>
    <m/>
    <m/>
    <n v="5159"/>
    <m/>
  </r>
  <r>
    <x v="1"/>
    <x v="10"/>
    <x v="44"/>
    <x v="10"/>
    <x v="3"/>
    <x v="0"/>
    <x v="2"/>
    <x v="5"/>
    <m/>
    <m/>
    <m/>
    <n v="11800"/>
    <n v="0"/>
    <n v="11800"/>
    <x v="1"/>
    <m/>
    <m/>
    <n v="11800"/>
    <m/>
  </r>
  <r>
    <x v="1"/>
    <x v="10"/>
    <x v="44"/>
    <x v="10"/>
    <x v="3"/>
    <x v="0"/>
    <x v="1"/>
    <x v="29"/>
    <m/>
    <m/>
    <m/>
    <n v="28742"/>
    <n v="0"/>
    <n v="28742"/>
    <x v="0"/>
    <d v="2026-04-08T00:00:00"/>
    <n v="116701.97"/>
    <n v="-87959.97"/>
    <m/>
  </r>
  <r>
    <x v="1"/>
    <x v="11"/>
    <x v="41"/>
    <x v="12"/>
    <x v="3"/>
    <x v="0"/>
    <x v="2"/>
    <x v="8"/>
    <m/>
    <s v="Factura"/>
    <n v="25682"/>
    <n v="-562"/>
    <n v="4879.58"/>
    <n v="29999.58"/>
    <x v="1"/>
    <m/>
    <m/>
    <n v="29999.58"/>
    <m/>
  </r>
  <r>
    <x v="1"/>
    <x v="11"/>
    <x v="41"/>
    <x v="12"/>
    <x v="3"/>
    <x v="0"/>
    <x v="2"/>
    <x v="8"/>
    <m/>
    <s v="Factura"/>
    <n v="42797"/>
    <n v="-928"/>
    <n v="8131.43"/>
    <n v="50000.43"/>
    <x v="1"/>
    <m/>
    <m/>
    <n v="50000.43"/>
    <m/>
  </r>
  <r>
    <x v="1"/>
    <x v="11"/>
    <x v="41"/>
    <x v="12"/>
    <x v="3"/>
    <x v="0"/>
    <x v="2"/>
    <x v="5"/>
    <m/>
    <m/>
    <m/>
    <n v="20400"/>
    <n v="0"/>
    <n v="20400"/>
    <x v="1"/>
    <m/>
    <m/>
    <n v="20400"/>
    <m/>
  </r>
  <r>
    <x v="1"/>
    <x v="11"/>
    <x v="41"/>
    <x v="12"/>
    <x v="3"/>
    <x v="0"/>
    <x v="2"/>
    <x v="4"/>
    <m/>
    <m/>
    <m/>
    <n v="6450"/>
    <n v="0"/>
    <n v="6450"/>
    <x v="1"/>
    <m/>
    <m/>
    <n v="6450"/>
    <m/>
  </r>
  <r>
    <x v="1"/>
    <x v="11"/>
    <x v="41"/>
    <x v="12"/>
    <x v="3"/>
    <x v="0"/>
    <x v="1"/>
    <x v="29"/>
    <m/>
    <m/>
    <m/>
    <n v="12171"/>
    <n v="0"/>
    <n v="12171"/>
    <x v="0"/>
    <d v="2026-04-17T00:00:00"/>
    <n v="119021.01"/>
    <n v="-106850.01"/>
    <m/>
  </r>
  <r>
    <x v="1"/>
    <x v="12"/>
    <x v="46"/>
    <x v="14"/>
    <x v="3"/>
    <x v="0"/>
    <x v="2"/>
    <x v="8"/>
    <m/>
    <s v="Factura"/>
    <n v="24420"/>
    <n v="940"/>
    <n v="4639.8"/>
    <n v="29999.8"/>
    <x v="1"/>
    <m/>
    <m/>
    <n v="29999.8"/>
    <m/>
  </r>
  <r>
    <x v="1"/>
    <x v="12"/>
    <x v="46"/>
    <x v="14"/>
    <x v="3"/>
    <x v="0"/>
    <x v="2"/>
    <x v="8"/>
    <m/>
    <s v="Factura"/>
    <n v="8135"/>
    <n v="319"/>
    <n v="1545.65"/>
    <n v="9999.65"/>
    <x v="1"/>
    <m/>
    <m/>
    <n v="9999.65"/>
    <m/>
  </r>
  <r>
    <x v="1"/>
    <x v="12"/>
    <x v="46"/>
    <x v="14"/>
    <x v="3"/>
    <x v="0"/>
    <x v="2"/>
    <x v="8"/>
    <m/>
    <s v="Factura"/>
    <n v="22686"/>
    <n v="3004.2"/>
    <n v="4310.34"/>
    <n v="30000.54"/>
    <x v="1"/>
    <m/>
    <m/>
    <n v="30000.54"/>
    <m/>
  </r>
  <r>
    <x v="1"/>
    <x v="12"/>
    <x v="46"/>
    <x v="14"/>
    <x v="3"/>
    <x v="0"/>
    <x v="1"/>
    <x v="29"/>
    <m/>
    <s v="Factura"/>
    <n v="5277"/>
    <m/>
    <n v="1002.63"/>
    <n v="6279.63"/>
    <x v="1"/>
    <m/>
    <m/>
    <n v="6279.63"/>
    <m/>
  </r>
  <r>
    <x v="1"/>
    <x v="12"/>
    <x v="46"/>
    <x v="14"/>
    <x v="3"/>
    <x v="0"/>
    <x v="2"/>
    <x v="4"/>
    <m/>
    <m/>
    <m/>
    <n v="14793"/>
    <n v="0"/>
    <n v="14793"/>
    <x v="1"/>
    <m/>
    <m/>
    <n v="14793"/>
    <m/>
  </r>
  <r>
    <x v="1"/>
    <x v="12"/>
    <x v="46"/>
    <x v="14"/>
    <x v="3"/>
    <x v="0"/>
    <x v="1"/>
    <x v="29"/>
    <m/>
    <m/>
    <m/>
    <n v="13235"/>
    <n v="0"/>
    <n v="13235"/>
    <x v="1"/>
    <m/>
    <m/>
    <n v="13235"/>
    <m/>
  </r>
  <r>
    <x v="1"/>
    <x v="12"/>
    <x v="46"/>
    <x v="14"/>
    <x v="3"/>
    <x v="0"/>
    <x v="1"/>
    <x v="5"/>
    <m/>
    <m/>
    <m/>
    <n v="7400"/>
    <n v="0"/>
    <n v="7400"/>
    <x v="0"/>
    <d v="2026-04-24T00:00:00"/>
    <n v="111707.62"/>
    <n v="-104307.62"/>
    <m/>
  </r>
  <r>
    <x v="1"/>
    <x v="13"/>
    <x v="48"/>
    <x v="15"/>
    <x v="3"/>
    <x v="0"/>
    <x v="1"/>
    <x v="29"/>
    <m/>
    <m/>
    <m/>
    <n v="20085"/>
    <n v="0"/>
    <n v="20085"/>
    <x v="1"/>
    <m/>
    <m/>
    <n v="20085"/>
    <m/>
  </r>
  <r>
    <x v="1"/>
    <x v="13"/>
    <x v="48"/>
    <x v="15"/>
    <x v="3"/>
    <x v="0"/>
    <x v="2"/>
    <x v="4"/>
    <m/>
    <m/>
    <m/>
    <n v="2150"/>
    <n v="0"/>
    <n v="2150"/>
    <x v="1"/>
    <m/>
    <m/>
    <n v="2150"/>
    <m/>
  </r>
  <r>
    <x v="1"/>
    <x v="13"/>
    <x v="48"/>
    <x v="15"/>
    <x v="3"/>
    <x v="0"/>
    <x v="2"/>
    <x v="5"/>
    <m/>
    <m/>
    <m/>
    <n v="7400"/>
    <n v="0"/>
    <n v="7400"/>
    <x v="1"/>
    <m/>
    <m/>
    <n v="7400"/>
    <m/>
  </r>
  <r>
    <x v="1"/>
    <x v="13"/>
    <x v="48"/>
    <x v="15"/>
    <x v="3"/>
    <x v="0"/>
    <x v="2"/>
    <x v="8"/>
    <m/>
    <s v="Factura"/>
    <n v="30271.200000000001"/>
    <n v="3977"/>
    <n v="5751.5280000000002"/>
    <n v="39999.727999999996"/>
    <x v="1"/>
    <m/>
    <m/>
    <n v="39999.727999999996"/>
    <m/>
  </r>
  <r>
    <x v="1"/>
    <x v="13"/>
    <x v="48"/>
    <x v="15"/>
    <x v="3"/>
    <x v="0"/>
    <x v="2"/>
    <x v="8"/>
    <m/>
    <s v="Factura"/>
    <n v="13437"/>
    <m/>
    <n v="2553.0300000000002"/>
    <n v="15990.03"/>
    <x v="0"/>
    <d v="2026-05-04T00:00:00"/>
    <n v="85624.76"/>
    <n v="-69634.73"/>
    <m/>
  </r>
  <r>
    <x v="5"/>
    <x v="8"/>
    <x v="48"/>
    <x v="15"/>
    <x v="3"/>
    <x v="0"/>
    <x v="4"/>
    <x v="12"/>
    <m/>
    <m/>
    <m/>
    <n v="8271"/>
    <n v="0"/>
    <n v="8271"/>
    <x v="0"/>
    <d v="2026-05-04T00:00:00"/>
    <n v="8271"/>
    <n v="0"/>
    <m/>
  </r>
  <r>
    <x v="9"/>
    <x v="3"/>
    <x v="46"/>
    <x v="14"/>
    <x v="3"/>
    <x v="0"/>
    <x v="4"/>
    <x v="22"/>
    <m/>
    <s v="Factura"/>
    <m/>
    <n v="491661"/>
    <n v="0"/>
    <n v="491661"/>
    <x v="0"/>
    <d v="2026-04-24T00:00:00"/>
    <n v="494661"/>
    <n v="-3000"/>
    <m/>
  </r>
  <r>
    <x v="9"/>
    <x v="4"/>
    <x v="47"/>
    <x v="14"/>
    <x v="3"/>
    <x v="0"/>
    <x v="4"/>
    <x v="22"/>
    <m/>
    <s v="Factura"/>
    <m/>
    <n v="21130"/>
    <n v="0"/>
    <n v="21130"/>
    <x v="0"/>
    <d v="2026-05-04T00:00:00"/>
    <n v="21130"/>
    <n v="0"/>
    <m/>
  </r>
  <r>
    <x v="4"/>
    <x v="18"/>
    <x v="52"/>
    <x v="14"/>
    <x v="3"/>
    <x v="0"/>
    <x v="2"/>
    <x v="20"/>
    <m/>
    <s v="Factura"/>
    <n v="87944"/>
    <m/>
    <n v="16709.36"/>
    <n v="104653.36"/>
    <x v="0"/>
    <d v="2026-04-24T00:00:00"/>
    <n v="104653.36"/>
    <n v="0"/>
    <m/>
  </r>
  <r>
    <x v="4"/>
    <x v="19"/>
    <x v="47"/>
    <x v="14"/>
    <x v="3"/>
    <x v="0"/>
    <x v="2"/>
    <x v="12"/>
    <m/>
    <m/>
    <m/>
    <n v="12406"/>
    <n v="0"/>
    <n v="12406"/>
    <x v="0"/>
    <d v="2026-05-04T00:00:00"/>
    <n v="12406"/>
    <n v="0"/>
    <m/>
  </r>
  <r>
    <x v="8"/>
    <x v="5"/>
    <x v="53"/>
    <x v="14"/>
    <x v="3"/>
    <x v="0"/>
    <x v="5"/>
    <x v="14"/>
    <m/>
    <s v="Factura"/>
    <n v="78854"/>
    <m/>
    <n v="14982.26"/>
    <n v="93836.26"/>
    <x v="1"/>
    <m/>
    <m/>
    <n v="93836.26"/>
    <m/>
  </r>
  <r>
    <x v="8"/>
    <x v="5"/>
    <x v="53"/>
    <x v="14"/>
    <x v="3"/>
    <x v="0"/>
    <x v="1"/>
    <x v="29"/>
    <m/>
    <m/>
    <m/>
    <n v="28500"/>
    <n v="0"/>
    <n v="28500"/>
    <x v="1"/>
    <m/>
    <m/>
    <n v="28500"/>
    <m/>
  </r>
  <r>
    <x v="8"/>
    <x v="5"/>
    <x v="53"/>
    <x v="14"/>
    <x v="3"/>
    <x v="0"/>
    <x v="5"/>
    <x v="21"/>
    <m/>
    <m/>
    <m/>
    <n v="235516"/>
    <n v="0"/>
    <n v="235516"/>
    <x v="1"/>
    <m/>
    <m/>
    <n v="235516"/>
    <m/>
  </r>
  <r>
    <x v="8"/>
    <x v="5"/>
    <x v="53"/>
    <x v="14"/>
    <x v="3"/>
    <x v="0"/>
    <x v="5"/>
    <x v="11"/>
    <m/>
    <m/>
    <m/>
    <n v="72452"/>
    <n v="0"/>
    <n v="72452"/>
    <x v="1"/>
    <m/>
    <m/>
    <n v="72452"/>
    <m/>
  </r>
  <r>
    <x v="8"/>
    <x v="5"/>
    <x v="53"/>
    <x v="14"/>
    <x v="3"/>
    <x v="0"/>
    <x v="5"/>
    <x v="5"/>
    <m/>
    <m/>
    <m/>
    <n v="52970"/>
    <n v="0"/>
    <n v="52970"/>
    <x v="0"/>
    <d v="2026-04-30T00:00:00"/>
    <n v="483274.26"/>
    <n v="-430304.26"/>
    <m/>
  </r>
  <r>
    <x v="11"/>
    <x v="8"/>
    <x v="50"/>
    <x v="17"/>
    <x v="4"/>
    <x v="0"/>
    <x v="5"/>
    <x v="8"/>
    <m/>
    <s v="Factura"/>
    <n v="50834.5"/>
    <n v="22467"/>
    <n v="9658.5550000000003"/>
    <n v="82960.054999999993"/>
    <x v="1"/>
    <m/>
    <m/>
    <n v="82960.054999999993"/>
    <m/>
  </r>
  <r>
    <x v="11"/>
    <x v="8"/>
    <x v="50"/>
    <x v="17"/>
    <x v="4"/>
    <x v="0"/>
    <x v="5"/>
    <x v="4"/>
    <m/>
    <m/>
    <m/>
    <n v="35450"/>
    <m/>
    <n v="35450"/>
    <x v="1"/>
    <m/>
    <m/>
    <n v="35450"/>
    <m/>
  </r>
  <r>
    <x v="11"/>
    <x v="8"/>
    <x v="50"/>
    <x v="17"/>
    <x v="4"/>
    <x v="0"/>
    <x v="5"/>
    <x v="8"/>
    <m/>
    <s v="Factura"/>
    <n v="50572"/>
    <n v="21376"/>
    <n v="9608.68"/>
    <n v="81556.679999999993"/>
    <x v="1"/>
    <m/>
    <m/>
    <n v="81556.679999999993"/>
    <m/>
  </r>
  <r>
    <x v="11"/>
    <x v="8"/>
    <x v="50"/>
    <x v="17"/>
    <x v="4"/>
    <x v="0"/>
    <x v="5"/>
    <x v="5"/>
    <m/>
    <s v="Factura"/>
    <n v="8459"/>
    <m/>
    <n v="1607.21"/>
    <n v="10066.209999999999"/>
    <x v="1"/>
    <m/>
    <m/>
    <n v="10066.209999999999"/>
    <m/>
  </r>
  <r>
    <x v="11"/>
    <x v="8"/>
    <x v="50"/>
    <x v="17"/>
    <x v="4"/>
    <x v="0"/>
    <x v="5"/>
    <x v="8"/>
    <m/>
    <s v="Factura"/>
    <n v="36979"/>
    <n v="16015"/>
    <n v="7026.01"/>
    <n v="60020.01"/>
    <x v="1"/>
    <m/>
    <m/>
    <n v="60020.01"/>
    <m/>
  </r>
  <r>
    <x v="11"/>
    <x v="8"/>
    <x v="50"/>
    <x v="17"/>
    <x v="4"/>
    <x v="0"/>
    <x v="5"/>
    <x v="5"/>
    <m/>
    <s v="Factura"/>
    <n v="34333"/>
    <n v="554"/>
    <n v="6523.27"/>
    <n v="41410.270000000004"/>
    <x v="1"/>
    <m/>
    <m/>
    <n v="41410.270000000004"/>
    <m/>
  </r>
  <r>
    <x v="11"/>
    <x v="8"/>
    <x v="50"/>
    <x v="17"/>
    <x v="4"/>
    <x v="0"/>
    <x v="5"/>
    <x v="5"/>
    <m/>
    <s v="Factura"/>
    <n v="23008"/>
    <m/>
    <n v="4371.5200000000004"/>
    <n v="27379.52"/>
    <x v="1"/>
    <m/>
    <m/>
    <n v="27379.52"/>
    <m/>
  </r>
  <r>
    <x v="11"/>
    <x v="8"/>
    <x v="50"/>
    <x v="17"/>
    <x v="4"/>
    <x v="0"/>
    <x v="5"/>
    <x v="5"/>
    <m/>
    <m/>
    <m/>
    <n v="42380"/>
    <n v="0"/>
    <n v="42380"/>
    <x v="0"/>
    <d v="2026-05-11T00:00:00"/>
    <n v="57053"/>
    <n v="-14673"/>
    <m/>
  </r>
  <r>
    <x v="11"/>
    <x v="0"/>
    <x v="54"/>
    <x v="16"/>
    <x v="4"/>
    <x v="1"/>
    <x v="0"/>
    <x v="0"/>
    <m/>
    <m/>
    <m/>
    <m/>
    <n v="0"/>
    <n v="0"/>
    <x v="0"/>
    <d v="2026-05-11T00:00:00"/>
    <n v="360000"/>
    <n v="-360000"/>
    <m/>
  </r>
  <r>
    <x v="11"/>
    <x v="9"/>
    <x v="55"/>
    <x v="18"/>
    <x v="4"/>
    <x v="0"/>
    <x v="5"/>
    <x v="14"/>
    <m/>
    <m/>
    <m/>
    <n v="58012"/>
    <n v="0"/>
    <n v="58012"/>
    <x v="1"/>
    <m/>
    <m/>
    <n v="58012"/>
    <m/>
  </r>
  <r>
    <x v="11"/>
    <x v="9"/>
    <x v="55"/>
    <x v="18"/>
    <x v="4"/>
    <x v="0"/>
    <x v="5"/>
    <x v="4"/>
    <m/>
    <m/>
    <m/>
    <n v="27580"/>
    <n v="0"/>
    <n v="27580"/>
    <x v="1"/>
    <m/>
    <m/>
    <n v="27580"/>
    <m/>
  </r>
  <r>
    <x v="11"/>
    <x v="9"/>
    <x v="55"/>
    <x v="18"/>
    <x v="4"/>
    <x v="0"/>
    <x v="5"/>
    <x v="8"/>
    <m/>
    <s v="Factura"/>
    <n v="13167"/>
    <n v="4331"/>
    <n v="2501.73"/>
    <n v="19999.73"/>
    <x v="1"/>
    <m/>
    <m/>
    <n v="19999.73"/>
    <m/>
  </r>
  <r>
    <x v="11"/>
    <x v="9"/>
    <x v="55"/>
    <x v="18"/>
    <x v="4"/>
    <x v="0"/>
    <x v="5"/>
    <x v="8"/>
    <m/>
    <s v="Factura"/>
    <n v="50745"/>
    <n v="15621.8"/>
    <n v="9641.5499999999993"/>
    <n v="76008.350000000006"/>
    <x v="1"/>
    <m/>
    <m/>
    <n v="76008.350000000006"/>
    <m/>
  </r>
  <r>
    <x v="11"/>
    <x v="9"/>
    <x v="55"/>
    <x v="18"/>
    <x v="4"/>
    <x v="0"/>
    <x v="5"/>
    <x v="8"/>
    <m/>
    <s v="Factura"/>
    <n v="33629"/>
    <n v="1"/>
    <n v="6389.51"/>
    <n v="40019.51"/>
    <x v="1"/>
    <m/>
    <m/>
    <n v="40019.51"/>
    <m/>
  </r>
  <r>
    <x v="11"/>
    <x v="9"/>
    <x v="55"/>
    <x v="18"/>
    <x v="4"/>
    <x v="0"/>
    <x v="5"/>
    <x v="5"/>
    <m/>
    <s v="Factura"/>
    <m/>
    <m/>
    <n v="96690"/>
    <n v="96690"/>
    <x v="1"/>
    <m/>
    <m/>
    <n v="96690"/>
    <m/>
  </r>
  <r>
    <x v="11"/>
    <x v="9"/>
    <x v="55"/>
    <x v="18"/>
    <x v="4"/>
    <x v="0"/>
    <x v="5"/>
    <x v="5"/>
    <m/>
    <m/>
    <m/>
    <n v="44880"/>
    <n v="0"/>
    <n v="44880"/>
    <x v="1"/>
    <m/>
    <m/>
    <n v="44880"/>
    <m/>
  </r>
  <r>
    <x v="11"/>
    <x v="9"/>
    <x v="55"/>
    <x v="18"/>
    <x v="4"/>
    <x v="0"/>
    <x v="5"/>
    <x v="8"/>
    <m/>
    <s v="Factura"/>
    <n v="49351"/>
    <n v="16311.9"/>
    <n v="9376.69"/>
    <n v="75039.59"/>
    <x v="1"/>
    <m/>
    <m/>
    <n v="75039.59"/>
    <m/>
  </r>
  <r>
    <x v="11"/>
    <x v="9"/>
    <x v="55"/>
    <x v="18"/>
    <x v="4"/>
    <x v="0"/>
    <x v="5"/>
    <x v="29"/>
    <s v="Extensor de fresa"/>
    <s v="Factura"/>
    <n v="25917"/>
    <m/>
    <n v="4924.2300000000005"/>
    <n v="30841.23"/>
    <x v="0"/>
    <d v="2026-05-19T00:00:00"/>
    <n v="109071"/>
    <n v="-78229.77"/>
    <m/>
  </r>
  <r>
    <x v="11"/>
    <x v="0"/>
    <x v="49"/>
    <x v="16"/>
    <x v="5"/>
    <x v="1"/>
    <x v="0"/>
    <x v="0"/>
    <m/>
    <m/>
    <m/>
    <m/>
    <n v="0"/>
    <n v="0"/>
    <x v="0"/>
    <d v="2026-05-25T00:00:00"/>
    <n v="300000"/>
    <n v="-300000"/>
    <m/>
  </r>
  <r>
    <x v="8"/>
    <x v="6"/>
    <x v="54"/>
    <x v="13"/>
    <x v="4"/>
    <x v="0"/>
    <x v="5"/>
    <x v="14"/>
    <m/>
    <s v="Factura"/>
    <n v="87502"/>
    <m/>
    <n v="16625.38"/>
    <n v="104127.38"/>
    <x v="1"/>
    <m/>
    <m/>
    <n v="104127.38"/>
    <m/>
  </r>
  <r>
    <x v="8"/>
    <x v="6"/>
    <x v="54"/>
    <x v="13"/>
    <x v="4"/>
    <x v="0"/>
    <x v="5"/>
    <x v="21"/>
    <m/>
    <m/>
    <m/>
    <n v="135029"/>
    <n v="0"/>
    <n v="135029"/>
    <x v="1"/>
    <m/>
    <m/>
    <n v="135029"/>
    <m/>
  </r>
  <r>
    <x v="8"/>
    <x v="6"/>
    <x v="54"/>
    <x v="13"/>
    <x v="4"/>
    <x v="0"/>
    <x v="5"/>
    <x v="11"/>
    <m/>
    <m/>
    <m/>
    <n v="25270"/>
    <n v="0"/>
    <n v="25270"/>
    <x v="1"/>
    <m/>
    <m/>
    <n v="25270"/>
    <m/>
  </r>
  <r>
    <x v="8"/>
    <x v="6"/>
    <x v="54"/>
    <x v="13"/>
    <x v="4"/>
    <x v="0"/>
    <x v="5"/>
    <x v="21"/>
    <m/>
    <m/>
    <m/>
    <n v="50840"/>
    <n v="0"/>
    <n v="50840"/>
    <x v="1"/>
    <m/>
    <m/>
    <n v="50840"/>
    <m/>
  </r>
  <r>
    <x v="8"/>
    <x v="6"/>
    <x v="54"/>
    <x v="13"/>
    <x v="4"/>
    <x v="0"/>
    <x v="5"/>
    <x v="5"/>
    <m/>
    <m/>
    <m/>
    <n v="33150"/>
    <n v="0"/>
    <n v="33150"/>
    <x v="0"/>
    <d v="2026-05-18T00:00:00"/>
    <n v="348416.38"/>
    <n v="-315266.38"/>
    <m/>
  </r>
  <r>
    <x v="11"/>
    <x v="10"/>
    <x v="56"/>
    <x v="18"/>
    <x v="4"/>
    <x v="0"/>
    <x v="2"/>
    <x v="4"/>
    <m/>
    <m/>
    <m/>
    <n v="10900"/>
    <n v="0"/>
    <n v="10900"/>
    <x v="1"/>
    <m/>
    <m/>
    <n v="10900"/>
    <m/>
  </r>
  <r>
    <x v="11"/>
    <x v="10"/>
    <x v="56"/>
    <x v="18"/>
    <x v="4"/>
    <x v="0"/>
    <x v="2"/>
    <x v="5"/>
    <m/>
    <m/>
    <m/>
    <n v="46060"/>
    <n v="0"/>
    <n v="46060"/>
    <x v="1"/>
    <m/>
    <m/>
    <n v="46060"/>
    <m/>
  </r>
  <r>
    <x v="11"/>
    <x v="10"/>
    <x v="56"/>
    <x v="18"/>
    <x v="4"/>
    <x v="0"/>
    <x v="2"/>
    <x v="8"/>
    <m/>
    <s v="Factura"/>
    <n v="26887"/>
    <n v="8004"/>
    <n v="5108.53"/>
    <n v="39999.53"/>
    <x v="1"/>
    <m/>
    <m/>
    <n v="39999.53"/>
    <m/>
  </r>
  <r>
    <x v="11"/>
    <x v="10"/>
    <x v="56"/>
    <x v="18"/>
    <x v="4"/>
    <x v="0"/>
    <x v="2"/>
    <x v="8"/>
    <m/>
    <s v="Factura"/>
    <n v="40477"/>
    <n v="11832"/>
    <n v="7690.63"/>
    <n v="59999.63"/>
    <x v="0"/>
    <d v="2026-06-05T00:00:00"/>
    <n v="156960"/>
    <n v="-96960.37"/>
    <m/>
  </r>
  <r>
    <x v="11"/>
    <x v="11"/>
    <x v="57"/>
    <x v="19"/>
    <x v="4"/>
    <x v="0"/>
    <x v="5"/>
    <x v="21"/>
    <m/>
    <s v="Factura"/>
    <m/>
    <n v="108913"/>
    <n v="0"/>
    <n v="108913"/>
    <x v="0"/>
    <d v="2026-05-19T00:00:00"/>
    <n v="550000"/>
    <n v="-441087"/>
    <m/>
  </r>
  <r>
    <x v="11"/>
    <x v="11"/>
    <x v="57"/>
    <x v="19"/>
    <x v="4"/>
    <x v="0"/>
    <x v="5"/>
    <x v="21"/>
    <m/>
    <s v="Factura"/>
    <m/>
    <n v="106913"/>
    <n v="0"/>
    <n v="106913"/>
    <x v="1"/>
    <m/>
    <m/>
    <n v="106913"/>
    <m/>
  </r>
  <r>
    <x v="11"/>
    <x v="11"/>
    <x v="57"/>
    <x v="19"/>
    <x v="4"/>
    <x v="0"/>
    <x v="5"/>
    <x v="14"/>
    <m/>
    <s v="Factura"/>
    <m/>
    <n v="85566"/>
    <n v="0"/>
    <n v="85566"/>
    <x v="1"/>
    <m/>
    <m/>
    <n v="85566"/>
    <m/>
  </r>
  <r>
    <x v="11"/>
    <x v="11"/>
    <x v="57"/>
    <x v="19"/>
    <x v="4"/>
    <x v="0"/>
    <x v="5"/>
    <x v="5"/>
    <m/>
    <s v="Factura"/>
    <m/>
    <n v="31600"/>
    <n v="3160"/>
    <n v="34760"/>
    <x v="1"/>
    <m/>
    <m/>
    <n v="34760"/>
    <m/>
  </r>
  <r>
    <x v="11"/>
    <x v="11"/>
    <x v="57"/>
    <x v="19"/>
    <x v="4"/>
    <x v="0"/>
    <x v="5"/>
    <x v="5"/>
    <m/>
    <s v="Factura"/>
    <n v="15949"/>
    <m/>
    <n v="3030.31"/>
    <n v="18979.310000000001"/>
    <x v="1"/>
    <m/>
    <m/>
    <n v="18979.310000000001"/>
    <m/>
  </r>
  <r>
    <x v="11"/>
    <x v="11"/>
    <x v="57"/>
    <x v="19"/>
    <x v="4"/>
    <x v="0"/>
    <x v="5"/>
    <x v="5"/>
    <m/>
    <m/>
    <m/>
    <m/>
    <n v="0"/>
    <n v="0"/>
    <x v="1"/>
    <m/>
    <m/>
    <n v="0"/>
    <m/>
  </r>
  <r>
    <x v="11"/>
    <x v="11"/>
    <x v="58"/>
    <x v="20"/>
    <x v="6"/>
    <x v="0"/>
    <x v="5"/>
    <x v="8"/>
    <m/>
    <s v="Factura"/>
    <n v="49086"/>
    <n v="18691"/>
    <n v="9326.34"/>
    <n v="77103.34"/>
    <x v="1"/>
    <m/>
    <m/>
    <n v="77103.34"/>
    <m/>
  </r>
  <r>
    <x v="11"/>
    <x v="11"/>
    <x v="57"/>
    <x v="20"/>
    <x v="4"/>
    <x v="0"/>
    <x v="5"/>
    <x v="5"/>
    <m/>
    <m/>
    <m/>
    <n v="73747"/>
    <n v="0"/>
    <n v="73747"/>
    <x v="1"/>
    <m/>
    <m/>
    <n v="73747"/>
    <m/>
  </r>
  <r>
    <x v="11"/>
    <x v="11"/>
    <x v="57"/>
    <x v="20"/>
    <x v="4"/>
    <x v="0"/>
    <x v="5"/>
    <x v="11"/>
    <m/>
    <m/>
    <m/>
    <n v="128805"/>
    <n v="0"/>
    <n v="128805"/>
    <x v="1"/>
    <m/>
    <m/>
    <n v="128805"/>
    <m/>
  </r>
  <r>
    <x v="11"/>
    <x v="11"/>
    <x v="57"/>
    <x v="20"/>
    <x v="4"/>
    <x v="0"/>
    <x v="5"/>
    <x v="21"/>
    <m/>
    <m/>
    <m/>
    <n v="12000"/>
    <n v="0"/>
    <n v="12000"/>
    <x v="1"/>
    <m/>
    <m/>
    <n v="12000"/>
    <m/>
  </r>
  <r>
    <x v="11"/>
    <x v="11"/>
    <x v="57"/>
    <x v="20"/>
    <x v="4"/>
    <x v="0"/>
    <x v="5"/>
    <x v="14"/>
    <m/>
    <m/>
    <m/>
    <n v="138184"/>
    <n v="0"/>
    <n v="138184"/>
    <x v="1"/>
    <m/>
    <m/>
    <n v="138184"/>
    <m/>
  </r>
  <r>
    <x v="11"/>
    <x v="11"/>
    <x v="57"/>
    <x v="20"/>
    <x v="4"/>
    <x v="0"/>
    <x v="5"/>
    <x v="4"/>
    <m/>
    <m/>
    <m/>
    <n v="3200"/>
    <n v="0"/>
    <n v="3200"/>
    <x v="0"/>
    <d v="2026-06-05T00:00:00"/>
    <n v="557821"/>
    <n v="-554621"/>
    <m/>
  </r>
  <r>
    <x v="11"/>
    <x v="12"/>
    <x v="59"/>
    <x v="20"/>
    <x v="6"/>
    <x v="2"/>
    <x v="2"/>
    <x v="4"/>
    <m/>
    <m/>
    <m/>
    <n v="3650"/>
    <n v="0"/>
    <n v="3650"/>
    <x v="1"/>
    <m/>
    <m/>
    <n v="3650"/>
    <m/>
  </r>
  <r>
    <x v="11"/>
    <x v="12"/>
    <x v="59"/>
    <x v="20"/>
    <x v="6"/>
    <x v="2"/>
    <x v="2"/>
    <x v="5"/>
    <m/>
    <s v="Factura"/>
    <n v="43580"/>
    <m/>
    <n v="8280.2000000000007"/>
    <n v="51860.2"/>
    <x v="1"/>
    <m/>
    <m/>
    <n v="51860.2"/>
    <m/>
  </r>
  <r>
    <x v="11"/>
    <x v="12"/>
    <x v="59"/>
    <x v="20"/>
    <x v="6"/>
    <x v="2"/>
    <x v="2"/>
    <x v="8"/>
    <m/>
    <s v="Factura"/>
    <n v="11842"/>
    <n v="5908"/>
    <n v="2249.98"/>
    <n v="19999.98"/>
    <x v="0"/>
    <d v="2026-06-05T00:00:00"/>
    <n v="18149"/>
    <n v="1850.9799999999996"/>
    <m/>
  </r>
  <r>
    <x v="11"/>
    <x v="12"/>
    <x v="59"/>
    <x v="20"/>
    <x v="6"/>
    <x v="2"/>
    <x v="2"/>
    <x v="27"/>
    <m/>
    <s v="Factura"/>
    <n v="3697"/>
    <m/>
    <n v="702.43000000000006"/>
    <n v="4399.43"/>
    <x v="1"/>
    <m/>
    <m/>
    <n v="4399.43"/>
    <m/>
  </r>
  <r>
    <x v="8"/>
    <x v="8"/>
    <x v="60"/>
    <x v="18"/>
    <x v="4"/>
    <x v="0"/>
    <x v="2"/>
    <x v="21"/>
    <m/>
    <m/>
    <m/>
    <n v="16000"/>
    <n v="0"/>
    <n v="16000"/>
    <x v="1"/>
    <m/>
    <m/>
    <n v="16000"/>
    <m/>
  </r>
  <r>
    <x v="8"/>
    <x v="8"/>
    <x v="60"/>
    <x v="18"/>
    <x v="4"/>
    <x v="0"/>
    <x v="2"/>
    <x v="5"/>
    <m/>
    <m/>
    <m/>
    <n v="32610"/>
    <n v="0"/>
    <n v="32610"/>
    <x v="1"/>
    <m/>
    <m/>
    <n v="32610"/>
    <m/>
  </r>
  <r>
    <x v="8"/>
    <x v="8"/>
    <x v="60"/>
    <x v="18"/>
    <x v="4"/>
    <x v="0"/>
    <x v="2"/>
    <x v="11"/>
    <m/>
    <m/>
    <m/>
    <n v="18778"/>
    <n v="0"/>
    <n v="18778"/>
    <x v="0"/>
    <d v="2026-05-29T00:00:00"/>
    <n v="67388"/>
    <n v="-48610"/>
    <m/>
  </r>
  <r>
    <x v="8"/>
    <x v="9"/>
    <x v="61"/>
    <x v="19"/>
    <x v="4"/>
    <x v="0"/>
    <x v="5"/>
    <x v="14"/>
    <m/>
    <s v="Factura"/>
    <n v="90000"/>
    <m/>
    <n v="17100"/>
    <n v="107100"/>
    <x v="1"/>
    <m/>
    <m/>
    <n v="107100"/>
    <m/>
  </r>
  <r>
    <x v="8"/>
    <x v="9"/>
    <x v="61"/>
    <x v="19"/>
    <x v="4"/>
    <x v="0"/>
    <x v="5"/>
    <x v="11"/>
    <m/>
    <m/>
    <m/>
    <n v="34358"/>
    <n v="0"/>
    <n v="34358"/>
    <x v="1"/>
    <m/>
    <m/>
    <n v="34358"/>
    <m/>
  </r>
  <r>
    <x v="8"/>
    <x v="9"/>
    <x v="61"/>
    <x v="19"/>
    <x v="4"/>
    <x v="0"/>
    <x v="5"/>
    <x v="5"/>
    <m/>
    <m/>
    <m/>
    <n v="59150"/>
    <n v="0"/>
    <n v="59150"/>
    <x v="1"/>
    <m/>
    <m/>
    <n v="59150"/>
    <m/>
  </r>
  <r>
    <x v="8"/>
    <x v="9"/>
    <x v="61"/>
    <x v="19"/>
    <x v="4"/>
    <x v="0"/>
    <x v="5"/>
    <x v="21"/>
    <m/>
    <m/>
    <m/>
    <n v="182729"/>
    <n v="0"/>
    <n v="182729"/>
    <x v="0"/>
    <d v="2026-05-29T00:00:00"/>
    <n v="383337"/>
    <n v="-200608"/>
    <m/>
  </r>
  <r>
    <x v="0"/>
    <x v="3"/>
    <x v="62"/>
    <x v="19"/>
    <x v="4"/>
    <x v="0"/>
    <x v="2"/>
    <x v="15"/>
    <m/>
    <s v="Factura"/>
    <n v="27185"/>
    <m/>
    <n v="5165.1499999999996"/>
    <n v="32350.15"/>
    <x v="1"/>
    <m/>
    <m/>
    <n v="32350.15"/>
    <m/>
  </r>
  <r>
    <x v="0"/>
    <x v="3"/>
    <x v="62"/>
    <x v="19"/>
    <x v="4"/>
    <x v="0"/>
    <x v="2"/>
    <x v="8"/>
    <m/>
    <s v="Factura"/>
    <n v="36246"/>
    <n v="6542"/>
    <n v="6886.74"/>
    <n v="49674.74"/>
    <x v="1"/>
    <m/>
    <m/>
    <n v="49674.74"/>
    <m/>
  </r>
  <r>
    <x v="0"/>
    <x v="3"/>
    <x v="62"/>
    <x v="19"/>
    <x v="4"/>
    <x v="0"/>
    <x v="2"/>
    <x v="8"/>
    <m/>
    <s v="Factura"/>
    <n v="34833"/>
    <n v="6274"/>
    <n v="6618.27"/>
    <n v="47725.270000000004"/>
    <x v="1"/>
    <m/>
    <m/>
    <n v="47725.270000000004"/>
    <m/>
  </r>
  <r>
    <x v="0"/>
    <x v="3"/>
    <x v="62"/>
    <x v="19"/>
    <x v="4"/>
    <x v="0"/>
    <x v="2"/>
    <x v="4"/>
    <m/>
    <m/>
    <m/>
    <n v="32250"/>
    <n v="0"/>
    <n v="32250"/>
    <x v="1"/>
    <m/>
    <m/>
    <n v="32250"/>
    <m/>
  </r>
  <r>
    <x v="0"/>
    <x v="3"/>
    <x v="62"/>
    <x v="19"/>
    <x v="4"/>
    <x v="0"/>
    <x v="2"/>
    <x v="5"/>
    <m/>
    <m/>
    <m/>
    <n v="32690"/>
    <n v="0"/>
    <n v="32690"/>
    <x v="1"/>
    <m/>
    <m/>
    <n v="32690"/>
    <m/>
  </r>
  <r>
    <x v="0"/>
    <x v="4"/>
    <x v="62"/>
    <x v="19"/>
    <x v="4"/>
    <x v="0"/>
    <x v="2"/>
    <x v="8"/>
    <m/>
    <s v="Factura"/>
    <n v="45108"/>
    <n v="15390"/>
    <n v="8570.52"/>
    <n v="69068.52"/>
    <x v="1"/>
    <m/>
    <m/>
    <n v="69068.52"/>
    <m/>
  </r>
  <r>
    <x v="0"/>
    <x v="4"/>
    <x v="62"/>
    <x v="19"/>
    <x v="4"/>
    <x v="0"/>
    <x v="2"/>
    <x v="4"/>
    <m/>
    <m/>
    <m/>
    <n v="37000"/>
    <n v="0"/>
    <n v="37000"/>
    <x v="1"/>
    <m/>
    <m/>
    <n v="37000"/>
    <m/>
  </r>
  <r>
    <x v="0"/>
    <x v="5"/>
    <x v="62"/>
    <x v="19"/>
    <x v="4"/>
    <x v="0"/>
    <x v="2"/>
    <x v="8"/>
    <m/>
    <s v="Factura"/>
    <n v="23898"/>
    <n v="11561"/>
    <n v="4540.62"/>
    <n v="39999.620000000003"/>
    <x v="1"/>
    <m/>
    <m/>
    <n v="39999.620000000003"/>
    <m/>
  </r>
  <r>
    <x v="0"/>
    <x v="5"/>
    <x v="62"/>
    <x v="19"/>
    <x v="4"/>
    <x v="0"/>
    <x v="2"/>
    <x v="8"/>
    <m/>
    <s v="Factura"/>
    <n v="38229"/>
    <n v="14204"/>
    <n v="7263.51"/>
    <n v="59696.51"/>
    <x v="1"/>
    <m/>
    <m/>
    <n v="59696.51"/>
    <m/>
  </r>
  <r>
    <x v="0"/>
    <x v="5"/>
    <x v="62"/>
    <x v="19"/>
    <x v="4"/>
    <x v="0"/>
    <x v="2"/>
    <x v="4"/>
    <m/>
    <m/>
    <m/>
    <n v="45460"/>
    <n v="0"/>
    <n v="45460"/>
    <x v="1"/>
    <m/>
    <m/>
    <n v="45460"/>
    <m/>
  </r>
  <r>
    <x v="0"/>
    <x v="5"/>
    <x v="62"/>
    <x v="19"/>
    <x v="4"/>
    <x v="0"/>
    <x v="2"/>
    <x v="5"/>
    <m/>
    <m/>
    <m/>
    <n v="30290"/>
    <n v="0"/>
    <n v="30290"/>
    <x v="0"/>
    <d v="2026-06-08T00:00:00"/>
    <n v="443203.83"/>
    <n v="-412913.83"/>
    <m/>
  </r>
  <r>
    <x v="7"/>
    <x v="8"/>
    <x v="45"/>
    <x v="13"/>
    <x v="4"/>
    <x v="0"/>
    <x v="1"/>
    <x v="17"/>
    <m/>
    <s v="Factura"/>
    <n v="6126"/>
    <m/>
    <n v="1163.94"/>
    <n v="7289.9400000000005"/>
    <x v="1"/>
    <m/>
    <m/>
    <n v="7289.9400000000005"/>
    <m/>
  </r>
  <r>
    <x v="7"/>
    <x v="9"/>
    <x v="63"/>
    <x v="13"/>
    <x v="4"/>
    <x v="0"/>
    <x v="1"/>
    <x v="17"/>
    <m/>
    <m/>
    <m/>
    <n v="10740"/>
    <n v="0"/>
    <n v="10740"/>
    <x v="0"/>
    <d v="2026-05-18T00:00:00"/>
    <n v="40019.949999999997"/>
    <n v="-29279.949999999997"/>
    <m/>
  </r>
  <r>
    <x v="7"/>
    <x v="0"/>
    <x v="49"/>
    <x v="16"/>
    <x v="5"/>
    <x v="1"/>
    <x v="0"/>
    <x v="0"/>
    <m/>
    <m/>
    <m/>
    <m/>
    <n v="0"/>
    <n v="0"/>
    <x v="0"/>
    <d v="2026-05-18T00:00:00"/>
    <n v="400000"/>
    <n v="-400000"/>
    <m/>
  </r>
  <r>
    <x v="7"/>
    <x v="10"/>
    <x v="45"/>
    <x v="13"/>
    <x v="4"/>
    <x v="0"/>
    <x v="3"/>
    <x v="6"/>
    <m/>
    <s v="Factura"/>
    <n v="277556"/>
    <m/>
    <n v="52735.64"/>
    <n v="330291.64"/>
    <x v="2"/>
    <m/>
    <m/>
    <n v="330291.64"/>
    <m/>
  </r>
  <r>
    <x v="7"/>
    <x v="11"/>
    <x v="59"/>
    <x v="20"/>
    <x v="6"/>
    <x v="0"/>
    <x v="2"/>
    <x v="29"/>
    <m/>
    <s v="Factura"/>
    <n v="25990"/>
    <m/>
    <n v="4938.1000000000004"/>
    <n v="30928.1"/>
    <x v="2"/>
    <m/>
    <m/>
    <n v="30928.1"/>
    <m/>
  </r>
  <r>
    <x v="5"/>
    <x v="9"/>
    <x v="54"/>
    <x v="13"/>
    <x v="4"/>
    <x v="0"/>
    <x v="4"/>
    <x v="25"/>
    <m/>
    <s v="Boleta de honorarios"/>
    <m/>
    <n v="131000"/>
    <n v="0"/>
    <n v="131000"/>
    <x v="1"/>
    <m/>
    <m/>
    <n v="131000"/>
    <m/>
  </r>
  <r>
    <x v="5"/>
    <x v="10"/>
    <x v="45"/>
    <x v="13"/>
    <x v="4"/>
    <x v="0"/>
    <x v="2"/>
    <x v="21"/>
    <m/>
    <m/>
    <m/>
    <n v="32100"/>
    <n v="0"/>
    <n v="32100"/>
    <x v="0"/>
    <d v="2026-05-18T00:00:00"/>
    <n v="163100"/>
    <n v="-131000"/>
    <m/>
  </r>
  <r>
    <x v="5"/>
    <x v="11"/>
    <x v="45"/>
    <x v="13"/>
    <x v="4"/>
    <x v="0"/>
    <x v="2"/>
    <x v="21"/>
    <m/>
    <m/>
    <m/>
    <n v="45300"/>
    <n v="0"/>
    <n v="45300"/>
    <x v="0"/>
    <d v="2026-05-29T00:00:00"/>
    <n v="45300"/>
    <n v="0"/>
    <m/>
  </r>
  <r>
    <x v="5"/>
    <x v="12"/>
    <x v="57"/>
    <x v="19"/>
    <x v="4"/>
    <x v="0"/>
    <x v="4"/>
    <x v="25"/>
    <m/>
    <s v="Boleta de honorarios"/>
    <m/>
    <n v="395680"/>
    <n v="0"/>
    <n v="395680"/>
    <x v="0"/>
    <d v="2026-06-08T00:00:00"/>
    <n v="395680"/>
    <n v="0"/>
    <m/>
  </r>
  <r>
    <x v="8"/>
    <x v="10"/>
    <x v="57"/>
    <x v="19"/>
    <x v="4"/>
    <x v="0"/>
    <x v="5"/>
    <x v="14"/>
    <m/>
    <s v="Factura"/>
    <n v="89300"/>
    <m/>
    <n v="16967"/>
    <n v="106267"/>
    <x v="1"/>
    <m/>
    <m/>
    <n v="106267"/>
    <m/>
  </r>
  <r>
    <x v="8"/>
    <x v="10"/>
    <x v="57"/>
    <x v="19"/>
    <x v="4"/>
    <x v="0"/>
    <x v="5"/>
    <x v="21"/>
    <m/>
    <m/>
    <m/>
    <n v="125929"/>
    <n v="0"/>
    <n v="125929"/>
    <x v="1"/>
    <m/>
    <m/>
    <n v="125929"/>
    <m/>
  </r>
  <r>
    <x v="8"/>
    <x v="10"/>
    <x v="57"/>
    <x v="19"/>
    <x v="4"/>
    <x v="0"/>
    <x v="5"/>
    <x v="5"/>
    <m/>
    <m/>
    <m/>
    <n v="120268"/>
    <n v="0"/>
    <n v="120268"/>
    <x v="1"/>
    <m/>
    <m/>
    <n v="120268"/>
    <m/>
  </r>
  <r>
    <x v="8"/>
    <x v="10"/>
    <x v="57"/>
    <x v="19"/>
    <x v="4"/>
    <x v="0"/>
    <x v="5"/>
    <x v="11"/>
    <m/>
    <m/>
    <m/>
    <n v="22444"/>
    <n v="0"/>
    <n v="22444"/>
    <x v="0"/>
    <d v="2026-06-08T00:00:00"/>
    <n v="377748"/>
    <n v="-355304"/>
    <m/>
  </r>
  <r>
    <x v="9"/>
    <x v="5"/>
    <x v="50"/>
    <x v="17"/>
    <x v="4"/>
    <x v="0"/>
    <x v="1"/>
    <x v="29"/>
    <m/>
    <m/>
    <m/>
    <n v="25000"/>
    <n v="0"/>
    <n v="25000"/>
    <x v="0"/>
    <d v="2026-05-11T00:00:00"/>
    <n v="25000"/>
    <n v="0"/>
    <m/>
  </r>
  <r>
    <x v="9"/>
    <x v="6"/>
    <x v="63"/>
    <x v="17"/>
    <x v="4"/>
    <x v="0"/>
    <x v="1"/>
    <x v="29"/>
    <m/>
    <m/>
    <m/>
    <n v="13990"/>
    <n v="0"/>
    <n v="13990"/>
    <x v="0"/>
    <d v="2026-05-11T00:00:00"/>
    <n v="13990"/>
    <n v="0"/>
    <m/>
  </r>
  <r>
    <x v="4"/>
    <x v="20"/>
    <x v="50"/>
    <x v="17"/>
    <x v="4"/>
    <x v="0"/>
    <x v="2"/>
    <x v="29"/>
    <m/>
    <m/>
    <m/>
    <n v="49308"/>
    <n v="0"/>
    <n v="49308"/>
    <x v="0"/>
    <d v="2026-05-11T00:00:00"/>
    <n v="49308"/>
    <n v="0"/>
    <m/>
  </r>
  <r>
    <x v="1"/>
    <x v="14"/>
    <x v="50"/>
    <x v="17"/>
    <x v="4"/>
    <x v="0"/>
    <x v="2"/>
    <x v="8"/>
    <m/>
    <s v="Factura"/>
    <n v="55271"/>
    <n v="10590.4"/>
    <n v="10501.49"/>
    <n v="76362.89"/>
    <x v="1"/>
    <m/>
    <m/>
    <n v="76362.89"/>
    <m/>
  </r>
  <r>
    <x v="1"/>
    <x v="14"/>
    <x v="50"/>
    <x v="17"/>
    <x v="4"/>
    <x v="0"/>
    <x v="2"/>
    <x v="8"/>
    <m/>
    <s v="Factura"/>
    <n v="21714"/>
    <n v="4160"/>
    <n v="4125.66"/>
    <n v="29999.66"/>
    <x v="1"/>
    <m/>
    <m/>
    <n v="29999.66"/>
    <m/>
  </r>
  <r>
    <x v="1"/>
    <x v="14"/>
    <x v="50"/>
    <x v="17"/>
    <x v="4"/>
    <x v="0"/>
    <x v="2"/>
    <x v="5"/>
    <m/>
    <m/>
    <m/>
    <n v="5700"/>
    <n v="0"/>
    <n v="5700"/>
    <x v="0"/>
    <d v="2026-05-11T00:00:00"/>
    <n v="112062.55"/>
    <n v="-106362.55"/>
    <m/>
  </r>
  <r>
    <x v="1"/>
    <x v="15"/>
    <x v="64"/>
    <x v="13"/>
    <x v="4"/>
    <x v="0"/>
    <x v="2"/>
    <x v="8"/>
    <m/>
    <s v="Factura"/>
    <n v="23473"/>
    <n v="2067"/>
    <n v="4459.87"/>
    <n v="29999.87"/>
    <x v="1"/>
    <m/>
    <m/>
    <n v="29999.87"/>
    <m/>
  </r>
  <r>
    <x v="1"/>
    <x v="15"/>
    <x v="64"/>
    <x v="13"/>
    <x v="4"/>
    <x v="0"/>
    <x v="2"/>
    <x v="8"/>
    <m/>
    <s v="Factura"/>
    <n v="31227"/>
    <n v="2840"/>
    <n v="5933.13"/>
    <n v="40000.129999999997"/>
    <x v="1"/>
    <m/>
    <m/>
    <n v="40000.129999999997"/>
    <m/>
  </r>
  <r>
    <x v="1"/>
    <x v="15"/>
    <x v="64"/>
    <x v="13"/>
    <x v="4"/>
    <x v="0"/>
    <x v="2"/>
    <x v="4"/>
    <m/>
    <m/>
    <m/>
    <n v="2350"/>
    <n v="0"/>
    <n v="2350"/>
    <x v="1"/>
    <m/>
    <m/>
    <n v="2350"/>
    <m/>
  </r>
  <r>
    <x v="1"/>
    <x v="15"/>
    <x v="64"/>
    <x v="13"/>
    <x v="4"/>
    <x v="0"/>
    <x v="2"/>
    <x v="5"/>
    <m/>
    <m/>
    <m/>
    <n v="14400"/>
    <n v="0"/>
    <n v="14400"/>
    <x v="1"/>
    <m/>
    <m/>
    <n v="14400"/>
    <m/>
  </r>
  <r>
    <x v="1"/>
    <x v="15"/>
    <x v="64"/>
    <x v="13"/>
    <x v="4"/>
    <x v="0"/>
    <x v="1"/>
    <x v="29"/>
    <m/>
    <m/>
    <m/>
    <n v="17401"/>
    <n v="0"/>
    <n v="17401"/>
    <x v="0"/>
    <d v="2026-05-18T00:00:00"/>
    <n v="104151"/>
    <n v="-86750"/>
    <m/>
  </r>
  <r>
    <x v="1"/>
    <x v="16"/>
    <x v="65"/>
    <x v="18"/>
    <x v="4"/>
    <x v="0"/>
    <x v="2"/>
    <x v="0"/>
    <s v="Falta rendicion "/>
    <s v="Factura"/>
    <m/>
    <n v="92220"/>
    <n v="0"/>
    <n v="92220"/>
    <x v="0"/>
    <d v="2026-05-25T00:00:00"/>
    <n v="92220.38"/>
    <n v="-0.38000000000465661"/>
    <m/>
  </r>
  <r>
    <x v="1"/>
    <x v="17"/>
    <x v="66"/>
    <x v="19"/>
    <x v="4"/>
    <x v="0"/>
    <x v="2"/>
    <x v="8"/>
    <m/>
    <s v="Factura"/>
    <n v="22337"/>
    <n v="3419"/>
    <n v="4244.03"/>
    <n v="30000.03"/>
    <x v="1"/>
    <m/>
    <m/>
    <n v="30000.03"/>
    <m/>
  </r>
  <r>
    <x v="1"/>
    <x v="17"/>
    <x v="66"/>
    <x v="19"/>
    <x v="4"/>
    <x v="0"/>
    <x v="2"/>
    <x v="8"/>
    <m/>
    <s v="Factura"/>
    <n v="44565"/>
    <n v="6968"/>
    <n v="8467.35"/>
    <n v="60000.35"/>
    <x v="1"/>
    <m/>
    <m/>
    <n v="60000.35"/>
    <m/>
  </r>
  <r>
    <x v="1"/>
    <x v="17"/>
    <x v="66"/>
    <x v="19"/>
    <x v="4"/>
    <x v="0"/>
    <x v="2"/>
    <x v="20"/>
    <m/>
    <s v="Factura"/>
    <n v="15126.050420168069"/>
    <m/>
    <n v="2873.9495798319331"/>
    <n v="18000"/>
    <x v="1"/>
    <m/>
    <m/>
    <n v="18000"/>
    <m/>
  </r>
  <r>
    <x v="1"/>
    <x v="17"/>
    <x v="66"/>
    <x v="19"/>
    <x v="4"/>
    <x v="0"/>
    <x v="2"/>
    <x v="5"/>
    <m/>
    <m/>
    <m/>
    <n v="21380"/>
    <n v="0"/>
    <n v="21380"/>
    <x v="1"/>
    <m/>
    <m/>
    <n v="21380"/>
    <m/>
  </r>
  <r>
    <x v="1"/>
    <x v="17"/>
    <x v="66"/>
    <x v="19"/>
    <x v="4"/>
    <x v="0"/>
    <x v="2"/>
    <x v="4"/>
    <m/>
    <m/>
    <m/>
    <n v="12850"/>
    <n v="0"/>
    <n v="12850"/>
    <x v="1"/>
    <m/>
    <m/>
    <n v="12850"/>
    <m/>
  </r>
  <r>
    <x v="1"/>
    <x v="17"/>
    <x v="66"/>
    <x v="19"/>
    <x v="4"/>
    <x v="0"/>
    <x v="1"/>
    <x v="29"/>
    <m/>
    <m/>
    <m/>
    <n v="20611"/>
    <n v="0"/>
    <n v="20611"/>
    <x v="0"/>
    <d v="2026-05-29T00:00:00"/>
    <n v="162841"/>
    <n v="-142230"/>
    <m/>
  </r>
  <r>
    <x v="1"/>
    <x v="18"/>
    <x v="59"/>
    <x v="20"/>
    <x v="6"/>
    <x v="0"/>
    <x v="2"/>
    <x v="8"/>
    <m/>
    <s v="Factura"/>
    <n v="46068"/>
    <n v="5179"/>
    <n v="8752.92"/>
    <n v="59999.92"/>
    <x v="1"/>
    <m/>
    <m/>
    <n v="59999.92"/>
    <m/>
  </r>
  <r>
    <x v="1"/>
    <x v="18"/>
    <x v="59"/>
    <x v="20"/>
    <x v="6"/>
    <x v="0"/>
    <x v="2"/>
    <x v="8"/>
    <m/>
    <s v="Factura"/>
    <n v="14467"/>
    <n v="2784"/>
    <n v="2748.73"/>
    <n v="19999.73"/>
    <x v="1"/>
    <m/>
    <m/>
    <n v="19999.73"/>
    <m/>
  </r>
  <r>
    <x v="1"/>
    <x v="18"/>
    <x v="59"/>
    <x v="20"/>
    <x v="6"/>
    <x v="0"/>
    <x v="2"/>
    <x v="4"/>
    <m/>
    <m/>
    <m/>
    <n v="1940"/>
    <n v="0"/>
    <n v="1940"/>
    <x v="1"/>
    <m/>
    <m/>
    <n v="1940"/>
    <m/>
  </r>
  <r>
    <x v="1"/>
    <x v="18"/>
    <x v="59"/>
    <x v="20"/>
    <x v="6"/>
    <x v="0"/>
    <x v="1"/>
    <x v="29"/>
    <m/>
    <m/>
    <m/>
    <n v="13624"/>
    <n v="0"/>
    <n v="13624"/>
    <x v="0"/>
    <d v="2026-06-08T00:00:00"/>
    <n v="95563.65"/>
    <n v="-81939.649999999994"/>
    <m/>
  </r>
  <r>
    <x v="9"/>
    <x v="8"/>
    <x v="67"/>
    <x v="20"/>
    <x v="6"/>
    <x v="0"/>
    <x v="4"/>
    <x v="22"/>
    <m/>
    <s v="Factura"/>
    <m/>
    <n v="30925"/>
    <n v="0"/>
    <n v="30925"/>
    <x v="0"/>
    <d v="2026-06-08T00:00:00"/>
    <n v="30925"/>
    <n v="0"/>
    <m/>
  </r>
  <r>
    <x v="5"/>
    <x v="13"/>
    <x v="67"/>
    <x v="20"/>
    <x v="6"/>
    <x v="0"/>
    <x v="2"/>
    <x v="25"/>
    <m/>
    <s v="Boleta de honorarios"/>
    <m/>
    <n v="20000"/>
    <n v="0"/>
    <n v="20000"/>
    <x v="0"/>
    <d v="2026-06-08T00:00:00"/>
    <n v="20000"/>
    <n v="0"/>
    <m/>
  </r>
  <r>
    <x v="14"/>
    <x v="1"/>
    <x v="68"/>
    <x v="21"/>
    <x v="6"/>
    <x v="5"/>
    <x v="2"/>
    <x v="28"/>
    <s v="Arriendo vehiculo"/>
    <s v="Factura"/>
    <n v="120000"/>
    <m/>
    <n v="22800"/>
    <n v="142800"/>
    <x v="1"/>
    <m/>
    <m/>
    <n v="142800"/>
    <m/>
  </r>
  <r>
    <x v="14"/>
    <x v="1"/>
    <x v="68"/>
    <x v="21"/>
    <x v="6"/>
    <x v="5"/>
    <x v="2"/>
    <x v="28"/>
    <s v="Arriendo vehiculo"/>
    <s v="Factura"/>
    <n v="28491"/>
    <m/>
    <n v="5413.29"/>
    <n v="33904.29"/>
    <x v="1"/>
    <m/>
    <m/>
    <n v="33904.29"/>
    <m/>
  </r>
  <r>
    <x v="14"/>
    <x v="1"/>
    <x v="68"/>
    <x v="21"/>
    <x v="6"/>
    <x v="5"/>
    <x v="2"/>
    <x v="5"/>
    <m/>
    <s v="Factura"/>
    <n v="45714"/>
    <m/>
    <n v="8685.66"/>
    <n v="54399.66"/>
    <x v="1"/>
    <m/>
    <m/>
    <n v="54399.66"/>
    <m/>
  </r>
  <r>
    <x v="14"/>
    <x v="1"/>
    <x v="68"/>
    <x v="21"/>
    <x v="6"/>
    <x v="5"/>
    <x v="2"/>
    <x v="5"/>
    <m/>
    <s v="Factura"/>
    <n v="41262"/>
    <m/>
    <n v="7839.78"/>
    <n v="49101.78"/>
    <x v="1"/>
    <m/>
    <m/>
    <n v="49101.78"/>
    <m/>
  </r>
  <r>
    <x v="14"/>
    <x v="1"/>
    <x v="68"/>
    <x v="21"/>
    <x v="6"/>
    <x v="5"/>
    <x v="2"/>
    <x v="8"/>
    <m/>
    <s v="Factura"/>
    <n v="15457"/>
    <n v="7368"/>
    <n v="2936.83"/>
    <n v="25761.83"/>
    <x v="1"/>
    <m/>
    <m/>
    <n v="25761.83"/>
    <m/>
  </r>
  <r>
    <x v="14"/>
    <x v="1"/>
    <x v="68"/>
    <x v="21"/>
    <x v="6"/>
    <x v="5"/>
    <x v="2"/>
    <x v="11"/>
    <m/>
    <m/>
    <m/>
    <n v="24812"/>
    <n v="0"/>
    <n v="24812"/>
    <x v="1"/>
    <m/>
    <m/>
    <n v="24812"/>
    <m/>
  </r>
  <r>
    <x v="14"/>
    <x v="1"/>
    <x v="68"/>
    <x v="21"/>
    <x v="6"/>
    <x v="5"/>
    <x v="2"/>
    <x v="8"/>
    <m/>
    <m/>
    <m/>
    <n v="5000"/>
    <n v="0"/>
    <n v="5000"/>
    <x v="1"/>
    <m/>
    <m/>
    <n v="5000"/>
    <m/>
  </r>
  <r>
    <x v="14"/>
    <x v="1"/>
    <x v="68"/>
    <x v="21"/>
    <x v="6"/>
    <x v="5"/>
    <x v="2"/>
    <x v="21"/>
    <m/>
    <m/>
    <m/>
    <n v="18500"/>
    <n v="0"/>
    <n v="18500"/>
    <x v="3"/>
    <d v="2026-06-18T00:00:00"/>
    <n v="354279.56"/>
    <n v="-335779.56"/>
    <m/>
  </r>
  <r>
    <x v="5"/>
    <x v="14"/>
    <x v="69"/>
    <x v="22"/>
    <x v="6"/>
    <x v="0"/>
    <x v="2"/>
    <x v="25"/>
    <m/>
    <s v="Boleta de honorarios"/>
    <m/>
    <n v="10000"/>
    <n v="0"/>
    <n v="10000"/>
    <x v="3"/>
    <d v="2026-06-18T00:00:00"/>
    <n v="10000"/>
    <n v="0"/>
    <m/>
  </r>
  <r>
    <x v="9"/>
    <x v="9"/>
    <x v="70"/>
    <x v="23"/>
    <x v="6"/>
    <x v="0"/>
    <x v="4"/>
    <x v="22"/>
    <m/>
    <s v="Factura"/>
    <n v="28168"/>
    <m/>
    <n v="5351.92"/>
    <n v="33519.919999999998"/>
    <x v="0"/>
    <d v="2026-06-12T00:00:00"/>
    <n v="30519.919999999998"/>
    <n v="3000"/>
    <m/>
  </r>
  <r>
    <x v="9"/>
    <x v="10"/>
    <x v="71"/>
    <x v="22"/>
    <x v="6"/>
    <x v="0"/>
    <x v="4"/>
    <x v="22"/>
    <m/>
    <m/>
    <m/>
    <n v="375703"/>
    <n v="0"/>
    <n v="375703"/>
    <x v="0"/>
    <d v="2026-06-18T00:00:00"/>
    <n v="375703"/>
    <n v="0"/>
    <m/>
  </r>
  <r>
    <x v="1"/>
    <x v="19"/>
    <x v="72"/>
    <x v="23"/>
    <x v="6"/>
    <x v="0"/>
    <x v="2"/>
    <x v="8"/>
    <m/>
    <s v="Factura"/>
    <n v="36191"/>
    <n v="6933"/>
    <n v="6876.29"/>
    <n v="50000.29"/>
    <x v="1"/>
    <m/>
    <m/>
    <n v="50000.29"/>
    <m/>
  </r>
  <r>
    <x v="1"/>
    <x v="19"/>
    <x v="72"/>
    <x v="23"/>
    <x v="6"/>
    <x v="0"/>
    <x v="2"/>
    <x v="8"/>
    <m/>
    <s v="Factura"/>
    <n v="21083"/>
    <n v="4911"/>
    <n v="4005.77"/>
    <n v="29999.77"/>
    <x v="1"/>
    <m/>
    <m/>
    <n v="29999.77"/>
    <m/>
  </r>
  <r>
    <x v="1"/>
    <x v="19"/>
    <x v="72"/>
    <x v="23"/>
    <x v="6"/>
    <x v="0"/>
    <x v="2"/>
    <x v="5"/>
    <m/>
    <m/>
    <m/>
    <n v="11500"/>
    <n v="0"/>
    <n v="11500"/>
    <x v="1"/>
    <m/>
    <m/>
    <n v="11500"/>
    <m/>
  </r>
  <r>
    <x v="1"/>
    <x v="19"/>
    <x v="72"/>
    <x v="23"/>
    <x v="6"/>
    <x v="0"/>
    <x v="1"/>
    <x v="29"/>
    <m/>
    <m/>
    <m/>
    <n v="8207"/>
    <n v="0"/>
    <n v="8207"/>
    <x v="1"/>
    <m/>
    <m/>
    <n v="8207"/>
    <m/>
  </r>
  <r>
    <x v="1"/>
    <x v="19"/>
    <x v="72"/>
    <x v="23"/>
    <x v="6"/>
    <x v="0"/>
    <x v="1"/>
    <x v="4"/>
    <m/>
    <m/>
    <m/>
    <n v="700"/>
    <n v="0"/>
    <n v="700"/>
    <x v="0"/>
    <d v="2026-06-15T00:00:00"/>
    <n v="100407.06"/>
    <n v="-99707.06"/>
    <m/>
  </r>
  <r>
    <x v="1"/>
    <x v="20"/>
    <x v="73"/>
    <x v="22"/>
    <x v="6"/>
    <x v="0"/>
    <x v="2"/>
    <x v="8"/>
    <m/>
    <s v="Factura"/>
    <n v="46392"/>
    <n v="4794"/>
    <n v="8814.48"/>
    <n v="60000.479999999996"/>
    <x v="1"/>
    <m/>
    <m/>
    <n v="60000.479999999996"/>
    <m/>
  </r>
  <r>
    <x v="1"/>
    <x v="20"/>
    <x v="73"/>
    <x v="22"/>
    <x v="6"/>
    <x v="0"/>
    <x v="2"/>
    <x v="5"/>
    <m/>
    <m/>
    <m/>
    <n v="7200"/>
    <n v="0"/>
    <n v="7200"/>
    <x v="1"/>
    <m/>
    <m/>
    <n v="7200"/>
    <m/>
  </r>
  <r>
    <x v="1"/>
    <x v="20"/>
    <x v="73"/>
    <x v="22"/>
    <x v="6"/>
    <x v="0"/>
    <x v="2"/>
    <x v="20"/>
    <m/>
    <s v="Factura"/>
    <n v="15126"/>
    <m/>
    <n v="2873.94"/>
    <n v="17999.939999999999"/>
    <x v="1"/>
    <m/>
    <m/>
    <n v="17999.939999999999"/>
    <m/>
  </r>
  <r>
    <x v="1"/>
    <x v="20"/>
    <x v="73"/>
    <x v="22"/>
    <x v="6"/>
    <x v="0"/>
    <x v="2"/>
    <x v="4"/>
    <m/>
    <m/>
    <m/>
    <n v="5870"/>
    <n v="0"/>
    <n v="5870"/>
    <x v="3"/>
    <d v="2026-06-16T00:00:00"/>
    <n v="91070.42"/>
    <n v="-85200.42"/>
    <m/>
  </r>
  <r>
    <x v="0"/>
    <x v="0"/>
    <x v="73"/>
    <x v="16"/>
    <x v="6"/>
    <x v="0"/>
    <x v="0"/>
    <x v="0"/>
    <m/>
    <m/>
    <m/>
    <m/>
    <n v="0"/>
    <n v="0"/>
    <x v="3"/>
    <d v="2026-06-18T00:00:00"/>
    <n v="850000"/>
    <n v="-850000"/>
    <m/>
  </r>
  <r>
    <x v="11"/>
    <x v="13"/>
    <x v="68"/>
    <x v="22"/>
    <x v="6"/>
    <x v="0"/>
    <x v="2"/>
    <x v="5"/>
    <m/>
    <s v="Factura"/>
    <n v="13361"/>
    <m/>
    <n v="2538.59"/>
    <n v="15899.59"/>
    <x v="1"/>
    <m/>
    <m/>
    <n v="15899.59"/>
    <m/>
  </r>
  <r>
    <x v="11"/>
    <x v="13"/>
    <x v="68"/>
    <x v="22"/>
    <x v="6"/>
    <x v="0"/>
    <x v="2"/>
    <x v="8"/>
    <m/>
    <s v="Factura"/>
    <n v="23616"/>
    <n v="11897"/>
    <n v="4487.04"/>
    <n v="40000.04"/>
    <x v="1"/>
    <m/>
    <m/>
    <n v="40000.04"/>
    <m/>
  </r>
  <r>
    <x v="11"/>
    <x v="13"/>
    <x v="68"/>
    <x v="22"/>
    <x v="6"/>
    <x v="0"/>
    <x v="2"/>
    <x v="15"/>
    <m/>
    <s v="Factura"/>
    <n v="249158"/>
    <n v="29650"/>
    <n v="47340.020000000004"/>
    <n v="326148.02"/>
    <x v="1"/>
    <m/>
    <m/>
    <n v="326148.02"/>
    <m/>
  </r>
  <r>
    <x v="11"/>
    <x v="13"/>
    <x v="68"/>
    <x v="22"/>
    <x v="6"/>
    <x v="0"/>
    <x v="2"/>
    <x v="15"/>
    <m/>
    <s v="Factura"/>
    <n v="10840"/>
    <n v="1290"/>
    <n v="2059.6"/>
    <n v="14189.6"/>
    <x v="1"/>
    <m/>
    <m/>
    <n v="14189.6"/>
    <m/>
  </r>
  <r>
    <x v="11"/>
    <x v="13"/>
    <x v="68"/>
    <x v="22"/>
    <x v="6"/>
    <x v="0"/>
    <x v="2"/>
    <x v="5"/>
    <m/>
    <s v="Factura"/>
    <n v="38570"/>
    <n v="4590"/>
    <n v="7328.3"/>
    <n v="50488.3"/>
    <x v="1"/>
    <m/>
    <m/>
    <n v="50488.3"/>
    <m/>
  </r>
  <r>
    <x v="11"/>
    <x v="13"/>
    <x v="68"/>
    <x v="22"/>
    <x v="6"/>
    <x v="0"/>
    <x v="2"/>
    <x v="8"/>
    <m/>
    <s v="Factura"/>
    <n v="43218"/>
    <n v="26261"/>
    <n v="8211.42"/>
    <n v="77690.42"/>
    <x v="1"/>
    <m/>
    <m/>
    <n v="77690.42"/>
    <m/>
  </r>
  <r>
    <x v="11"/>
    <x v="13"/>
    <x v="68"/>
    <x v="22"/>
    <x v="6"/>
    <x v="0"/>
    <x v="2"/>
    <x v="21"/>
    <m/>
    <s v="Factura"/>
    <m/>
    <n v="44029"/>
    <n v="0"/>
    <n v="44029"/>
    <x v="1"/>
    <m/>
    <m/>
    <n v="44029"/>
    <m/>
  </r>
  <r>
    <x v="11"/>
    <x v="13"/>
    <x v="68"/>
    <x v="22"/>
    <x v="6"/>
    <x v="0"/>
    <x v="2"/>
    <x v="8"/>
    <m/>
    <s v="Factura"/>
    <n v="16819"/>
    <n v="9985"/>
    <n v="3195.61"/>
    <n v="29999.61"/>
    <x v="1"/>
    <m/>
    <m/>
    <n v="29999.61"/>
    <m/>
  </r>
  <r>
    <x v="11"/>
    <x v="13"/>
    <x v="68"/>
    <x v="22"/>
    <x v="6"/>
    <x v="0"/>
    <x v="2"/>
    <x v="27"/>
    <s v="Mantencion "/>
    <s v="Factura"/>
    <n v="242899"/>
    <m/>
    <n v="46150.81"/>
    <n v="289049.81"/>
    <x v="1"/>
    <m/>
    <m/>
    <n v="289049.81"/>
    <m/>
  </r>
  <r>
    <x v="11"/>
    <x v="13"/>
    <x v="68"/>
    <x v="22"/>
    <x v="6"/>
    <x v="0"/>
    <x v="2"/>
    <x v="31"/>
    <m/>
    <m/>
    <m/>
    <n v="5690"/>
    <n v="0"/>
    <n v="5690"/>
    <x v="1"/>
    <m/>
    <m/>
    <n v="5690"/>
    <m/>
  </r>
  <r>
    <x v="11"/>
    <x v="13"/>
    <x v="68"/>
    <x v="22"/>
    <x v="6"/>
    <x v="0"/>
    <x v="2"/>
    <x v="4"/>
    <m/>
    <m/>
    <m/>
    <n v="26460"/>
    <n v="0"/>
    <n v="26460"/>
    <x v="1"/>
    <m/>
    <m/>
    <n v="26460"/>
    <m/>
  </r>
  <r>
    <x v="11"/>
    <x v="13"/>
    <x v="68"/>
    <x v="22"/>
    <x v="6"/>
    <x v="0"/>
    <x v="2"/>
    <x v="5"/>
    <m/>
    <m/>
    <m/>
    <n v="13780"/>
    <n v="0"/>
    <n v="13780"/>
    <x v="1"/>
    <m/>
    <m/>
    <n v="13780"/>
    <m/>
  </r>
  <r>
    <x v="11"/>
    <x v="13"/>
    <x v="68"/>
    <x v="22"/>
    <x v="6"/>
    <x v="0"/>
    <x v="2"/>
    <x v="21"/>
    <m/>
    <m/>
    <m/>
    <n v="37100"/>
    <n v="0"/>
    <n v="37100"/>
    <x v="3"/>
    <d v="2026-06-18T00:00:00"/>
    <n v="558052"/>
    <n v="-520952"/>
    <m/>
  </r>
  <r>
    <x v="11"/>
    <x v="0"/>
    <x v="73"/>
    <x v="16"/>
    <x v="6"/>
    <x v="1"/>
    <x v="0"/>
    <x v="0"/>
    <m/>
    <m/>
    <m/>
    <m/>
    <n v="0"/>
    <n v="0"/>
    <x v="3"/>
    <d v="2026-06-18T00:00:00"/>
    <n v="926000"/>
    <n v="-926000"/>
    <m/>
  </r>
  <r>
    <x v="11"/>
    <x v="14"/>
    <x v="74"/>
    <x v="24"/>
    <x v="6"/>
    <x v="0"/>
    <x v="2"/>
    <x v="5"/>
    <m/>
    <s v="Factura"/>
    <n v="57689"/>
    <m/>
    <n v="10960.91"/>
    <n v="68649.91"/>
    <x v="1"/>
    <m/>
    <m/>
    <n v="68649.91"/>
    <m/>
  </r>
  <r>
    <x v="11"/>
    <x v="14"/>
    <x v="74"/>
    <x v="24"/>
    <x v="6"/>
    <x v="0"/>
    <x v="2"/>
    <x v="8"/>
    <m/>
    <s v="Factura"/>
    <n v="30162"/>
    <n v="14107"/>
    <n v="5730.78"/>
    <n v="49999.78"/>
    <x v="1"/>
    <m/>
    <m/>
    <n v="49999.78"/>
    <m/>
  </r>
  <r>
    <x v="11"/>
    <x v="14"/>
    <x v="74"/>
    <x v="24"/>
    <x v="6"/>
    <x v="0"/>
    <x v="2"/>
    <x v="21"/>
    <m/>
    <s v="Factura"/>
    <m/>
    <n v="163463"/>
    <n v="0"/>
    <n v="163463"/>
    <x v="1"/>
    <m/>
    <m/>
    <n v="163463"/>
    <m/>
  </r>
  <r>
    <x v="11"/>
    <x v="14"/>
    <x v="74"/>
    <x v="24"/>
    <x v="6"/>
    <x v="0"/>
    <x v="2"/>
    <x v="21"/>
    <m/>
    <s v="Factura"/>
    <m/>
    <n v="167484"/>
    <n v="0"/>
    <n v="167484"/>
    <x v="1"/>
    <m/>
    <m/>
    <n v="167484"/>
    <m/>
  </r>
  <r>
    <x v="11"/>
    <x v="14"/>
    <x v="74"/>
    <x v="24"/>
    <x v="6"/>
    <x v="0"/>
    <x v="7"/>
    <x v="32"/>
    <m/>
    <s v="Factura"/>
    <n v="25917"/>
    <m/>
    <n v="4924.2300000000005"/>
    <n v="30841.23"/>
    <x v="1"/>
    <m/>
    <m/>
    <n v="30841.23"/>
    <m/>
  </r>
  <r>
    <x v="11"/>
    <x v="14"/>
    <x v="75"/>
    <x v="24"/>
    <x v="7"/>
    <x v="0"/>
    <x v="2"/>
    <x v="8"/>
    <m/>
    <s v="Factura"/>
    <n v="22666"/>
    <n v="13027"/>
    <n v="4306.54"/>
    <n v="39999.54"/>
    <x v="1"/>
    <m/>
    <m/>
    <n v="39999.54"/>
    <m/>
  </r>
  <r>
    <x v="11"/>
    <x v="14"/>
    <x v="74"/>
    <x v="24"/>
    <x v="6"/>
    <x v="0"/>
    <x v="2"/>
    <x v="4"/>
    <m/>
    <m/>
    <m/>
    <n v="23150"/>
    <n v="0"/>
    <n v="23150"/>
    <x v="1"/>
    <m/>
    <m/>
    <n v="23150"/>
    <m/>
  </r>
  <r>
    <x v="11"/>
    <x v="14"/>
    <x v="74"/>
    <x v="24"/>
    <x v="6"/>
    <x v="0"/>
    <x v="2"/>
    <x v="5"/>
    <m/>
    <m/>
    <m/>
    <n v="153269"/>
    <n v="0"/>
    <n v="153269"/>
    <x v="1"/>
    <m/>
    <m/>
    <n v="153269"/>
    <m/>
  </r>
  <r>
    <x v="11"/>
    <x v="14"/>
    <x v="74"/>
    <x v="24"/>
    <x v="6"/>
    <x v="0"/>
    <x v="2"/>
    <x v="14"/>
    <m/>
    <m/>
    <m/>
    <n v="229253"/>
    <n v="0"/>
    <n v="229253"/>
    <x v="1"/>
    <m/>
    <m/>
    <n v="229253"/>
    <m/>
  </r>
  <r>
    <x v="11"/>
    <x v="14"/>
    <x v="74"/>
    <x v="24"/>
    <x v="6"/>
    <x v="0"/>
    <x v="2"/>
    <x v="11"/>
    <m/>
    <m/>
    <m/>
    <n v="10500"/>
    <n v="0"/>
    <n v="10500"/>
    <x v="1"/>
    <m/>
    <m/>
    <n v="10500"/>
    <m/>
  </r>
  <r>
    <x v="15"/>
    <x v="1"/>
    <x v="76"/>
    <x v="22"/>
    <x v="6"/>
    <x v="0"/>
    <x v="2"/>
    <x v="11"/>
    <m/>
    <m/>
    <m/>
    <n v="10806"/>
    <n v="0"/>
    <n v="10806"/>
    <x v="1"/>
    <m/>
    <m/>
    <n v="10806"/>
    <m/>
  </r>
  <r>
    <x v="15"/>
    <x v="2"/>
    <x v="77"/>
    <x v="25"/>
    <x v="6"/>
    <x v="0"/>
    <x v="2"/>
    <x v="8"/>
    <m/>
    <m/>
    <m/>
    <n v="40000"/>
    <n v="0"/>
    <n v="40000"/>
    <x v="1"/>
    <m/>
    <m/>
    <n v="40000"/>
    <m/>
  </r>
  <r>
    <x v="15"/>
    <x v="2"/>
    <x v="77"/>
    <x v="25"/>
    <x v="6"/>
    <x v="0"/>
    <x v="2"/>
    <x v="21"/>
    <m/>
    <m/>
    <m/>
    <n v="4500"/>
    <n v="0"/>
    <n v="4500"/>
    <x v="1"/>
    <m/>
    <m/>
    <n v="4500"/>
    <m/>
  </r>
  <r>
    <x v="15"/>
    <x v="3"/>
    <x v="74"/>
    <x v="24"/>
    <x v="6"/>
    <x v="0"/>
    <x v="2"/>
    <x v="11"/>
    <m/>
    <m/>
    <m/>
    <n v="21626"/>
    <n v="0"/>
    <n v="21626"/>
    <x v="1"/>
    <m/>
    <m/>
    <n v="21626"/>
    <m/>
  </r>
  <r>
    <x v="15"/>
    <x v="3"/>
    <x v="74"/>
    <x v="24"/>
    <x v="6"/>
    <x v="0"/>
    <x v="2"/>
    <x v="5"/>
    <m/>
    <m/>
    <m/>
    <n v="19100"/>
    <n v="0"/>
    <n v="19100"/>
    <x v="1"/>
    <m/>
    <m/>
    <n v="19100"/>
    <m/>
  </r>
  <r>
    <x v="5"/>
    <x v="15"/>
    <x v="78"/>
    <x v="25"/>
    <x v="6"/>
    <x v="0"/>
    <x v="2"/>
    <x v="12"/>
    <m/>
    <m/>
    <m/>
    <n v="8271"/>
    <n v="0"/>
    <n v="8271"/>
    <x v="1"/>
    <m/>
    <m/>
    <n v="8271"/>
    <m/>
  </r>
  <r>
    <x v="5"/>
    <x v="16"/>
    <x v="79"/>
    <x v="25"/>
    <x v="6"/>
    <x v="0"/>
    <x v="4"/>
    <x v="29"/>
    <m/>
    <s v="Boleta de honorarios"/>
    <m/>
    <n v="4600"/>
    <n v="0"/>
    <n v="4600"/>
    <x v="1"/>
    <m/>
    <m/>
    <n v="4600"/>
    <m/>
  </r>
  <r>
    <x v="5"/>
    <x v="16"/>
    <x v="79"/>
    <x v="25"/>
    <x v="6"/>
    <x v="0"/>
    <x v="4"/>
    <x v="29"/>
    <m/>
    <s v="Boleta de honorarios"/>
    <m/>
    <n v="4600"/>
    <n v="0"/>
    <n v="4600"/>
    <x v="1"/>
    <m/>
    <m/>
    <n v="4600"/>
    <m/>
  </r>
  <r>
    <x v="5"/>
    <x v="17"/>
    <x v="79"/>
    <x v="25"/>
    <x v="6"/>
    <x v="4"/>
    <x v="4"/>
    <x v="29"/>
    <m/>
    <m/>
    <m/>
    <n v="8000"/>
    <n v="0"/>
    <n v="8000"/>
    <x v="1"/>
    <m/>
    <m/>
    <n v="8000"/>
    <m/>
  </r>
  <r>
    <x v="5"/>
    <x v="18"/>
    <x v="79"/>
    <x v="25"/>
    <x v="6"/>
    <x v="4"/>
    <x v="4"/>
    <x v="29"/>
    <m/>
    <m/>
    <m/>
    <n v="22400"/>
    <n v="0"/>
    <n v="22400"/>
    <x v="3"/>
    <d v="2026-06-30T00:00:00"/>
    <n v="47871"/>
    <n v="-25471"/>
    <m/>
  </r>
  <r>
    <x v="9"/>
    <x v="11"/>
    <x v="77"/>
    <x v="25"/>
    <x v="6"/>
    <x v="0"/>
    <x v="1"/>
    <x v="29"/>
    <m/>
    <m/>
    <m/>
    <n v="25075"/>
    <n v="0"/>
    <n v="25075"/>
    <x v="1"/>
    <m/>
    <n v="25075"/>
    <n v="0"/>
    <m/>
  </r>
  <r>
    <x v="9"/>
    <x v="0"/>
    <x v="75"/>
    <x v="16"/>
    <x v="7"/>
    <x v="1"/>
    <x v="0"/>
    <x v="0"/>
    <m/>
    <m/>
    <m/>
    <m/>
    <n v="0"/>
    <n v="0"/>
    <x v="0"/>
    <d v="2026-07-01T00:00:00"/>
    <n v="70000"/>
    <n v="-70000"/>
    <m/>
  </r>
  <r>
    <x v="9"/>
    <x v="12"/>
    <x v="75"/>
    <x v="24"/>
    <x v="7"/>
    <x v="0"/>
    <x v="2"/>
    <x v="8"/>
    <m/>
    <s v="Factura"/>
    <n v="45606"/>
    <n v="10887"/>
    <n v="8665.14"/>
    <n v="65158.14"/>
    <x v="1"/>
    <m/>
    <m/>
    <n v="65158.14"/>
    <m/>
  </r>
  <r>
    <x v="9"/>
    <x v="12"/>
    <x v="75"/>
    <x v="24"/>
    <x v="7"/>
    <x v="0"/>
    <x v="2"/>
    <x v="12"/>
    <m/>
    <m/>
    <m/>
    <n v="12406"/>
    <n v="0"/>
    <n v="12406"/>
    <x v="0"/>
    <d v="2026-07-03T00:00:00"/>
    <n v="7564.14"/>
    <n v="4841.8599999999997"/>
    <m/>
  </r>
  <r>
    <x v="4"/>
    <x v="21"/>
    <x v="72"/>
    <x v="23"/>
    <x v="6"/>
    <x v="0"/>
    <x v="2"/>
    <x v="8"/>
    <m/>
    <s v="Factura"/>
    <n v="21726"/>
    <n v="4146"/>
    <n v="4127.9399999999996"/>
    <n v="29999.94"/>
    <x v="1"/>
    <m/>
    <m/>
    <n v="29999.94"/>
    <m/>
  </r>
  <r>
    <x v="4"/>
    <x v="21"/>
    <x v="72"/>
    <x v="23"/>
    <x v="6"/>
    <x v="0"/>
    <x v="2"/>
    <x v="20"/>
    <m/>
    <s v="Factura"/>
    <n v="109076"/>
    <m/>
    <n v="20724.439999999999"/>
    <n v="129800.44"/>
    <x v="1"/>
    <m/>
    <m/>
    <n v="129800.44"/>
    <m/>
  </r>
  <r>
    <x v="4"/>
    <x v="21"/>
    <x v="72"/>
    <x v="23"/>
    <x v="6"/>
    <x v="0"/>
    <x v="4"/>
    <x v="29"/>
    <s v="TV que va a Argentina"/>
    <m/>
    <m/>
    <n v="123690"/>
    <n v="0"/>
    <n v="123690"/>
    <x v="1"/>
    <m/>
    <m/>
    <n v="123690"/>
    <m/>
  </r>
  <r>
    <x v="4"/>
    <x v="21"/>
    <x v="72"/>
    <x v="23"/>
    <x v="6"/>
    <x v="0"/>
    <x v="2"/>
    <x v="4"/>
    <m/>
    <m/>
    <m/>
    <n v="650"/>
    <n v="0"/>
    <n v="650"/>
    <x v="0"/>
    <d v="2026-06-12T00:00:00"/>
    <n v="284140"/>
    <n v="-283490"/>
    <m/>
  </r>
  <r>
    <x v="4"/>
    <x v="22"/>
    <x v="80"/>
    <x v="23"/>
    <x v="6"/>
    <x v="0"/>
    <x v="6"/>
    <x v="24"/>
    <m/>
    <m/>
    <m/>
    <n v="70389"/>
    <n v="0"/>
    <n v="70389"/>
    <x v="3"/>
    <d v="2026-06-19T00:00:00"/>
    <n v="70389.38"/>
    <n v="-0.38000000000465661"/>
    <m/>
  </r>
  <r>
    <x v="4"/>
    <x v="23"/>
    <x v="68"/>
    <x v="22"/>
    <x v="6"/>
    <x v="0"/>
    <x v="6"/>
    <x v="24"/>
    <m/>
    <m/>
    <m/>
    <n v="70389"/>
    <n v="0"/>
    <n v="70389"/>
    <x v="0"/>
    <d v="2026-06-12T00:00:00"/>
    <n v="70389"/>
    <n v="0"/>
    <m/>
  </r>
  <r>
    <x v="4"/>
    <x v="24"/>
    <x v="76"/>
    <x v="22"/>
    <x v="6"/>
    <x v="0"/>
    <x v="2"/>
    <x v="29"/>
    <m/>
    <m/>
    <m/>
    <n v="8000"/>
    <n v="0"/>
    <n v="8000"/>
    <x v="1"/>
    <m/>
    <m/>
    <n v="8000"/>
    <m/>
  </r>
  <r>
    <x v="4"/>
    <x v="25"/>
    <x v="77"/>
    <x v="25"/>
    <x v="6"/>
    <x v="0"/>
    <x v="6"/>
    <x v="24"/>
    <m/>
    <m/>
    <m/>
    <n v="70389"/>
    <n v="0"/>
    <n v="70389"/>
    <x v="3"/>
    <d v="2026-06-30T00:00:00"/>
    <n v="78389"/>
    <n v="-8000"/>
    <m/>
  </r>
  <r>
    <x v="8"/>
    <x v="11"/>
    <x v="78"/>
    <x v="18"/>
    <x v="6"/>
    <x v="0"/>
    <x v="2"/>
    <x v="11"/>
    <m/>
    <m/>
    <m/>
    <n v="38533"/>
    <n v="0"/>
    <n v="38533"/>
    <x v="1"/>
    <m/>
    <m/>
    <n v="38533"/>
    <m/>
  </r>
  <r>
    <x v="8"/>
    <x v="11"/>
    <x v="78"/>
    <x v="18"/>
    <x v="6"/>
    <x v="0"/>
    <x v="2"/>
    <x v="5"/>
    <m/>
    <m/>
    <m/>
    <n v="20900"/>
    <n v="0"/>
    <n v="20900"/>
    <x v="1"/>
    <m/>
    <m/>
    <n v="20900"/>
    <m/>
  </r>
  <r>
    <x v="8"/>
    <x v="11"/>
    <x v="78"/>
    <x v="18"/>
    <x v="6"/>
    <x v="0"/>
    <x v="5"/>
    <x v="21"/>
    <m/>
    <m/>
    <m/>
    <n v="133129"/>
    <n v="0"/>
    <n v="133129"/>
    <x v="1"/>
    <m/>
    <m/>
    <n v="133129"/>
    <m/>
  </r>
  <r>
    <x v="8"/>
    <x v="11"/>
    <x v="78"/>
    <x v="18"/>
    <x v="6"/>
    <x v="0"/>
    <x v="5"/>
    <x v="29"/>
    <m/>
    <m/>
    <m/>
    <n v="32593"/>
    <n v="0"/>
    <n v="32593"/>
    <x v="3"/>
    <d v="2026-06-30T00:00:00"/>
    <n v="222315"/>
    <n v="-189722"/>
    <m/>
  </r>
  <r>
    <x v="1"/>
    <x v="26"/>
    <x v="77"/>
    <x v="25"/>
    <x v="6"/>
    <x v="0"/>
    <x v="2"/>
    <x v="8"/>
    <m/>
    <s v="Factura"/>
    <n v="21026"/>
    <n v="4979"/>
    <n v="3994.94"/>
    <n v="29999.94"/>
    <x v="1"/>
    <m/>
    <m/>
    <n v="29999.94"/>
    <m/>
  </r>
  <r>
    <x v="1"/>
    <x v="26"/>
    <x v="77"/>
    <x v="25"/>
    <x v="6"/>
    <x v="0"/>
    <x v="2"/>
    <x v="4"/>
    <m/>
    <m/>
    <m/>
    <n v="3440"/>
    <n v="0"/>
    <n v="3440"/>
    <x v="1"/>
    <m/>
    <m/>
    <n v="3440"/>
    <m/>
  </r>
  <r>
    <x v="1"/>
    <x v="26"/>
    <x v="77"/>
    <x v="25"/>
    <x v="6"/>
    <x v="0"/>
    <x v="1"/>
    <x v="29"/>
    <m/>
    <m/>
    <m/>
    <n v="26142"/>
    <n v="0"/>
    <n v="26142"/>
    <x v="1"/>
    <m/>
    <m/>
    <n v="26142"/>
    <m/>
  </r>
  <r>
    <x v="1"/>
    <x v="26"/>
    <x v="77"/>
    <x v="25"/>
    <x v="6"/>
    <x v="0"/>
    <x v="2"/>
    <x v="5"/>
    <m/>
    <m/>
    <m/>
    <n v="7200"/>
    <n v="0"/>
    <n v="7200"/>
    <x v="1"/>
    <m/>
    <m/>
    <n v="7200"/>
    <m/>
  </r>
  <r>
    <x v="1"/>
    <x v="26"/>
    <x v="81"/>
    <x v="10"/>
    <x v="7"/>
    <x v="0"/>
    <x v="2"/>
    <x v="8"/>
    <m/>
    <s v="Factura"/>
    <n v="19866"/>
    <n v="6360"/>
    <n v="3774.54"/>
    <n v="30000.54"/>
    <x v="1"/>
    <m/>
    <m/>
    <n v="30000.54"/>
    <m/>
  </r>
  <r>
    <x v="1"/>
    <x v="26"/>
    <x v="81"/>
    <x v="10"/>
    <x v="7"/>
    <x v="0"/>
    <x v="2"/>
    <x v="4"/>
    <m/>
    <m/>
    <m/>
    <n v="2560"/>
    <n v="0"/>
    <n v="2560"/>
    <x v="1"/>
    <m/>
    <m/>
    <n v="2560"/>
    <m/>
  </r>
  <r>
    <x v="1"/>
    <x v="26"/>
    <x v="81"/>
    <x v="10"/>
    <x v="7"/>
    <x v="0"/>
    <x v="2"/>
    <x v="5"/>
    <m/>
    <m/>
    <m/>
    <n v="6500"/>
    <n v="0"/>
    <n v="6500"/>
    <x v="1"/>
    <m/>
    <m/>
    <n v="6500"/>
    <m/>
  </r>
  <r>
    <x v="1"/>
    <x v="26"/>
    <x v="81"/>
    <x v="10"/>
    <x v="7"/>
    <x v="0"/>
    <x v="1"/>
    <x v="29"/>
    <m/>
    <m/>
    <m/>
    <n v="52217"/>
    <n v="0"/>
    <n v="52217"/>
    <x v="3"/>
    <d v="2026-07-08T00:00:00"/>
    <n v="158059"/>
    <n v="-105842"/>
    <m/>
  </r>
  <r>
    <x v="13"/>
    <x v="2"/>
    <x v="82"/>
    <x v="10"/>
    <x v="7"/>
    <x v="0"/>
    <x v="1"/>
    <x v="17"/>
    <s v="Nubox Contable "/>
    <s v="Factura"/>
    <n v="88568"/>
    <m/>
    <n v="16827.920000000002"/>
    <n v="105395.92"/>
    <x v="0"/>
    <d v="2026-07-13T00:00:00"/>
    <n v="105395.92"/>
    <n v="0"/>
    <m/>
  </r>
  <r>
    <x v="1"/>
    <x v="27"/>
    <x v="83"/>
    <x v="12"/>
    <x v="7"/>
    <x v="0"/>
    <x v="2"/>
    <x v="8"/>
    <m/>
    <s v="Factura"/>
    <n v="33130"/>
    <n v="10575"/>
    <n v="6294.7"/>
    <n v="49999.7"/>
    <x v="1"/>
    <m/>
    <m/>
    <n v="49999.7"/>
    <m/>
  </r>
  <r>
    <x v="1"/>
    <x v="27"/>
    <x v="83"/>
    <x v="12"/>
    <x v="7"/>
    <x v="0"/>
    <x v="2"/>
    <x v="8"/>
    <m/>
    <s v="Factura"/>
    <n v="26572"/>
    <n v="3379"/>
    <n v="5048.68"/>
    <n v="34999.68"/>
    <x v="1"/>
    <m/>
    <m/>
    <n v="34999.68"/>
    <m/>
  </r>
  <r>
    <x v="1"/>
    <x v="27"/>
    <x v="83"/>
    <x v="12"/>
    <x v="7"/>
    <x v="0"/>
    <x v="2"/>
    <x v="5"/>
    <m/>
    <m/>
    <m/>
    <n v="14800"/>
    <n v="0"/>
    <n v="14800"/>
    <x v="1"/>
    <m/>
    <m/>
    <n v="14800"/>
    <m/>
  </r>
  <r>
    <x v="1"/>
    <x v="27"/>
    <x v="83"/>
    <x v="12"/>
    <x v="7"/>
    <x v="0"/>
    <x v="2"/>
    <x v="4"/>
    <m/>
    <m/>
    <m/>
    <n v="7650"/>
    <n v="0"/>
    <n v="7650"/>
    <x v="0"/>
    <d v="2026-07-13T00:00:00"/>
    <n v="107450"/>
    <n v="-99800"/>
    <m/>
  </r>
  <r>
    <x v="1"/>
    <x v="21"/>
    <x v="84"/>
    <x v="14"/>
    <x v="7"/>
    <x v="0"/>
    <x v="2"/>
    <x v="8"/>
    <m/>
    <m/>
    <n v="37862"/>
    <n v="4944"/>
    <n v="7193.78"/>
    <n v="49999.78"/>
    <x v="1"/>
    <m/>
    <m/>
    <n v="49999.78"/>
    <m/>
  </r>
  <r>
    <x v="1"/>
    <x v="21"/>
    <x v="84"/>
    <x v="14"/>
    <x v="7"/>
    <x v="0"/>
    <x v="2"/>
    <x v="5"/>
    <m/>
    <m/>
    <m/>
    <n v="28800"/>
    <n v="0"/>
    <n v="28800"/>
    <x v="1"/>
    <m/>
    <m/>
    <n v="28800"/>
    <m/>
  </r>
  <r>
    <x v="1"/>
    <x v="21"/>
    <x v="84"/>
    <x v="14"/>
    <x v="7"/>
    <x v="0"/>
    <x v="2"/>
    <x v="4"/>
    <m/>
    <m/>
    <m/>
    <n v="3500"/>
    <n v="0"/>
    <n v="3500"/>
    <x v="1"/>
    <m/>
    <m/>
    <n v="3500"/>
    <m/>
  </r>
  <r>
    <x v="1"/>
    <x v="21"/>
    <x v="84"/>
    <x v="14"/>
    <x v="7"/>
    <x v="0"/>
    <x v="1"/>
    <x v="29"/>
    <m/>
    <m/>
    <m/>
    <n v="19309"/>
    <n v="0"/>
    <n v="19309"/>
    <x v="0"/>
    <d v="2026-07-20T00:00:00"/>
    <n v="101608.64"/>
    <n v="-82299.64"/>
    <m/>
  </r>
  <r>
    <x v="8"/>
    <x v="12"/>
    <x v="83"/>
    <x v="10"/>
    <x v="7"/>
    <x v="0"/>
    <x v="5"/>
    <x v="14"/>
    <m/>
    <s v="Factura"/>
    <n v="100883"/>
    <n v="950"/>
    <n v="19167.77"/>
    <n v="121000.77"/>
    <x v="1"/>
    <m/>
    <m/>
    <n v="121000.77"/>
    <m/>
  </r>
  <r>
    <x v="11"/>
    <x v="15"/>
    <x v="85"/>
    <x v="12"/>
    <x v="7"/>
    <x v="0"/>
    <x v="2"/>
    <x v="8"/>
    <m/>
    <s v="Factura"/>
    <n v="40873"/>
    <n v="25820"/>
    <n v="7765.87"/>
    <n v="74458.87"/>
    <x v="1"/>
    <m/>
    <m/>
    <n v="74458.87"/>
    <m/>
  </r>
  <r>
    <x v="11"/>
    <x v="15"/>
    <x v="85"/>
    <x v="12"/>
    <x v="7"/>
    <x v="0"/>
    <x v="2"/>
    <x v="8"/>
    <m/>
    <s v="Factura"/>
    <n v="16531"/>
    <n v="10328"/>
    <n v="3140.89"/>
    <n v="29999.89"/>
    <x v="1"/>
    <m/>
    <m/>
    <n v="29999.89"/>
    <m/>
  </r>
  <r>
    <x v="11"/>
    <x v="15"/>
    <x v="85"/>
    <x v="12"/>
    <x v="7"/>
    <x v="0"/>
    <x v="2"/>
    <x v="8"/>
    <m/>
    <s v="Factura"/>
    <n v="41118"/>
    <n v="19927"/>
    <n v="7812.42"/>
    <n v="68857.42"/>
    <x v="1"/>
    <m/>
    <m/>
    <n v="68857.42"/>
    <m/>
  </r>
  <r>
    <x v="11"/>
    <x v="15"/>
    <x v="85"/>
    <x v="12"/>
    <x v="7"/>
    <x v="0"/>
    <x v="2"/>
    <x v="8"/>
    <m/>
    <s v="Factura"/>
    <n v="29857"/>
    <n v="14470"/>
    <n v="5672.83"/>
    <n v="49999.83"/>
    <x v="1"/>
    <m/>
    <m/>
    <n v="49999.83"/>
    <m/>
  </r>
  <r>
    <x v="11"/>
    <x v="15"/>
    <x v="85"/>
    <x v="12"/>
    <x v="7"/>
    <x v="0"/>
    <x v="2"/>
    <x v="5"/>
    <m/>
    <m/>
    <m/>
    <n v="43106"/>
    <n v="0"/>
    <n v="43106"/>
    <x v="1"/>
    <m/>
    <m/>
    <n v="43106"/>
    <m/>
  </r>
  <r>
    <x v="11"/>
    <x v="15"/>
    <x v="85"/>
    <x v="12"/>
    <x v="7"/>
    <x v="0"/>
    <x v="2"/>
    <x v="4"/>
    <m/>
    <m/>
    <m/>
    <n v="58190"/>
    <n v="0"/>
    <n v="58190"/>
    <x v="1"/>
    <m/>
    <m/>
    <n v="58190"/>
    <m/>
  </r>
  <r>
    <x v="11"/>
    <x v="15"/>
    <x v="85"/>
    <x v="12"/>
    <x v="7"/>
    <x v="0"/>
    <x v="2"/>
    <x v="29"/>
    <m/>
    <m/>
    <m/>
    <n v="6280"/>
    <n v="0"/>
    <n v="6280"/>
    <x v="0"/>
    <d v="2026-07-23T00:00:00"/>
    <n v="195921"/>
    <n v="-189641"/>
    <m/>
  </r>
  <r>
    <x v="9"/>
    <x v="13"/>
    <x v="86"/>
    <x v="12"/>
    <x v="7"/>
    <x v="0"/>
    <x v="2"/>
    <x v="14"/>
    <m/>
    <m/>
    <m/>
    <n v="23361"/>
    <n v="0"/>
    <n v="23361"/>
    <x v="1"/>
    <m/>
    <m/>
    <n v="23361"/>
    <m/>
  </r>
  <r>
    <x v="9"/>
    <x v="13"/>
    <x v="86"/>
    <x v="12"/>
    <x v="7"/>
    <x v="0"/>
    <x v="4"/>
    <x v="22"/>
    <m/>
    <s v="Factura"/>
    <m/>
    <n v="42755"/>
    <n v="0"/>
    <n v="42755"/>
    <x v="0"/>
    <d v="2026-07-23T00:00:00"/>
    <n v="66116"/>
    <n v="-23361"/>
    <m/>
  </r>
  <r>
    <x v="13"/>
    <x v="3"/>
    <x v="87"/>
    <x v="14"/>
    <x v="7"/>
    <x v="0"/>
    <x v="1"/>
    <x v="17"/>
    <s v="Nubox Contable "/>
    <s v="Factura"/>
    <n v="88994"/>
    <m/>
    <n v="16908.86"/>
    <n v="105902.86"/>
    <x v="0"/>
    <d v="2026-07-23T00:00:00"/>
    <n v="105902.86"/>
    <n v="0"/>
    <m/>
  </r>
  <r>
    <x v="0"/>
    <x v="6"/>
    <x v="58"/>
    <x v="20"/>
    <x v="6"/>
    <x v="0"/>
    <x v="2"/>
    <x v="8"/>
    <m/>
    <s v="Factura"/>
    <n v="33324"/>
    <n v="21532"/>
    <n v="6331.56"/>
    <n v="61187.56"/>
    <x v="1"/>
    <m/>
    <m/>
    <m/>
    <m/>
  </r>
  <r>
    <x v="11"/>
    <x v="16"/>
    <x v="87"/>
    <x v="14"/>
    <x v="7"/>
    <x v="0"/>
    <x v="2"/>
    <x v="5"/>
    <m/>
    <s v="Factura"/>
    <n v="35605"/>
    <m/>
    <n v="6764.95"/>
    <n v="42369.95"/>
    <x v="1"/>
    <m/>
    <m/>
    <n v="42369.95"/>
    <m/>
  </r>
  <r>
    <x v="11"/>
    <x v="16"/>
    <x v="87"/>
    <x v="14"/>
    <x v="7"/>
    <x v="0"/>
    <x v="2"/>
    <x v="8"/>
    <m/>
    <s v="Factura"/>
    <n v="31356"/>
    <n v="12686"/>
    <n v="5957.64"/>
    <n v="49999.64"/>
    <x v="1"/>
    <m/>
    <m/>
    <n v="49999.64"/>
    <m/>
  </r>
  <r>
    <x v="11"/>
    <x v="16"/>
    <x v="87"/>
    <x v="14"/>
    <x v="7"/>
    <x v="0"/>
    <x v="2"/>
    <x v="5"/>
    <m/>
    <m/>
    <m/>
    <n v="7150"/>
    <n v="0"/>
    <n v="7150"/>
    <x v="1"/>
    <m/>
    <m/>
    <n v="7150"/>
    <m/>
  </r>
  <r>
    <x v="11"/>
    <x v="16"/>
    <x v="87"/>
    <x v="14"/>
    <x v="7"/>
    <x v="0"/>
    <x v="2"/>
    <x v="4"/>
    <m/>
    <m/>
    <m/>
    <n v="7622"/>
    <n v="0"/>
    <n v="7622"/>
    <x v="0"/>
    <d v="2026-07-23T00:00:00"/>
    <n v="107141.65"/>
    <n v="-99519.65"/>
    <m/>
  </r>
  <r>
    <x v="15"/>
    <x v="4"/>
    <x v="83"/>
    <x v="12"/>
    <x v="7"/>
    <x v="0"/>
    <x v="2"/>
    <x v="21"/>
    <m/>
    <m/>
    <m/>
    <n v="23100"/>
    <n v="0"/>
    <n v="23100"/>
    <x v="1"/>
    <m/>
    <m/>
    <n v="23100"/>
    <m/>
  </r>
  <r>
    <x v="15"/>
    <x v="4"/>
    <x v="83"/>
    <x v="12"/>
    <x v="7"/>
    <x v="0"/>
    <x v="2"/>
    <x v="5"/>
    <m/>
    <m/>
    <m/>
    <n v="10940"/>
    <n v="0"/>
    <n v="10940"/>
    <x v="1"/>
    <m/>
    <m/>
    <n v="10940"/>
    <m/>
  </r>
  <r>
    <x v="15"/>
    <x v="0"/>
    <x v="84"/>
    <x v="16"/>
    <x v="7"/>
    <x v="1"/>
    <x v="0"/>
    <x v="0"/>
    <m/>
    <m/>
    <m/>
    <m/>
    <n v="0"/>
    <n v="0"/>
    <x v="0"/>
    <d v="2026-07-20T00:00:00"/>
    <n v="125000"/>
    <n v="-125000"/>
    <m/>
  </r>
  <r>
    <x v="5"/>
    <x v="19"/>
    <x v="87"/>
    <x v="14"/>
    <x v="7"/>
    <x v="0"/>
    <x v="2"/>
    <x v="12"/>
    <m/>
    <m/>
    <m/>
    <n v="24973"/>
    <n v="0"/>
    <n v="24973"/>
    <x v="1"/>
    <m/>
    <m/>
    <n v="24973"/>
    <m/>
  </r>
  <r>
    <x v="5"/>
    <x v="19"/>
    <x v="87"/>
    <x v="14"/>
    <x v="7"/>
    <x v="0"/>
    <x v="2"/>
    <x v="19"/>
    <m/>
    <m/>
    <m/>
    <n v="1000"/>
    <n v="0"/>
    <n v="1000"/>
    <x v="0"/>
    <d v="2026-07-24T00:00:00"/>
    <n v="25973"/>
    <n v="-24973"/>
    <m/>
  </r>
  <r>
    <x v="1"/>
    <x v="22"/>
    <x v="88"/>
    <x v="25"/>
    <x v="7"/>
    <x v="0"/>
    <x v="2"/>
    <x v="5"/>
    <m/>
    <m/>
    <m/>
    <n v="17450"/>
    <n v="0"/>
    <n v="17450"/>
    <x v="1"/>
    <m/>
    <m/>
    <n v="17450"/>
    <m/>
  </r>
  <r>
    <x v="1"/>
    <x v="22"/>
    <x v="88"/>
    <x v="25"/>
    <x v="7"/>
    <x v="0"/>
    <x v="1"/>
    <x v="29"/>
    <m/>
    <m/>
    <m/>
    <n v="14303"/>
    <n v="0"/>
    <n v="14303"/>
    <x v="1"/>
    <m/>
    <m/>
    <n v="14303"/>
    <m/>
  </r>
  <r>
    <x v="1"/>
    <x v="22"/>
    <x v="88"/>
    <x v="25"/>
    <x v="7"/>
    <x v="0"/>
    <x v="1"/>
    <x v="4"/>
    <m/>
    <m/>
    <m/>
    <n v="1500"/>
    <n v="0"/>
    <n v="1500"/>
    <x v="1"/>
    <m/>
    <m/>
    <n v="1500"/>
    <m/>
  </r>
  <r>
    <x v="1"/>
    <x v="22"/>
    <x v="88"/>
    <x v="25"/>
    <x v="7"/>
    <x v="0"/>
    <x v="2"/>
    <x v="8"/>
    <m/>
    <m/>
    <n v="40529"/>
    <n v="1770"/>
    <n v="7700.51"/>
    <n v="49999.51"/>
    <x v="3"/>
    <d v="2026-07-24T00:00:00"/>
    <n v="83253"/>
    <n v="-33253.49"/>
    <m/>
  </r>
  <r>
    <x v="14"/>
    <x v="2"/>
    <x v="83"/>
    <x v="26"/>
    <x v="7"/>
    <x v="5"/>
    <x v="2"/>
    <x v="5"/>
    <m/>
    <m/>
    <m/>
    <n v="106941"/>
    <n v="0"/>
    <n v="106941"/>
    <x v="1"/>
    <m/>
    <m/>
    <n v="106941"/>
    <m/>
  </r>
  <r>
    <x v="14"/>
    <x v="2"/>
    <x v="83"/>
    <x v="26"/>
    <x v="7"/>
    <x v="5"/>
    <x v="2"/>
    <x v="10"/>
    <s v="Capacitaciones"/>
    <s v="Factura"/>
    <m/>
    <n v="240000"/>
    <n v="0"/>
    <n v="240000"/>
    <x v="1"/>
    <m/>
    <m/>
    <n v="240000"/>
    <m/>
  </r>
  <r>
    <x v="14"/>
    <x v="2"/>
    <x v="83"/>
    <x v="26"/>
    <x v="7"/>
    <x v="5"/>
    <x v="2"/>
    <x v="5"/>
    <m/>
    <s v="Factura"/>
    <n v="41262"/>
    <n v="4908"/>
    <n v="7839.78"/>
    <n v="54009.78"/>
    <x v="1"/>
    <m/>
    <m/>
    <n v="54009.78"/>
    <m/>
  </r>
  <r>
    <x v="14"/>
    <x v="2"/>
    <x v="83"/>
    <x v="26"/>
    <x v="7"/>
    <x v="5"/>
    <x v="2"/>
    <x v="21"/>
    <m/>
    <s v="Factura"/>
    <m/>
    <n v="143726"/>
    <n v="0"/>
    <n v="143726"/>
    <x v="1"/>
    <m/>
    <m/>
    <n v="143726"/>
    <m/>
  </r>
  <r>
    <x v="14"/>
    <x v="2"/>
    <x v="83"/>
    <x v="26"/>
    <x v="7"/>
    <x v="5"/>
    <x v="2"/>
    <x v="21"/>
    <m/>
    <s v="Factura"/>
    <n v="16000"/>
    <m/>
    <n v="3040"/>
    <n v="19040"/>
    <x v="1"/>
    <m/>
    <m/>
    <n v="19040"/>
    <m/>
  </r>
  <r>
    <x v="14"/>
    <x v="2"/>
    <x v="83"/>
    <x v="26"/>
    <x v="7"/>
    <x v="5"/>
    <x v="2"/>
    <x v="21"/>
    <m/>
    <s v="Factura"/>
    <m/>
    <n v="98913"/>
    <n v="0"/>
    <n v="98913"/>
    <x v="1"/>
    <m/>
    <m/>
    <n v="98913"/>
    <m/>
  </r>
  <r>
    <x v="14"/>
    <x v="2"/>
    <x v="83"/>
    <x v="26"/>
    <x v="7"/>
    <x v="5"/>
    <x v="2"/>
    <x v="5"/>
    <m/>
    <s v="Factura"/>
    <n v="22800"/>
    <m/>
    <n v="4332"/>
    <n v="27132"/>
    <x v="1"/>
    <m/>
    <m/>
    <n v="27132"/>
    <m/>
  </r>
  <r>
    <x v="14"/>
    <x v="2"/>
    <x v="83"/>
    <x v="26"/>
    <x v="7"/>
    <x v="5"/>
    <x v="2"/>
    <x v="5"/>
    <m/>
    <s v="Factura"/>
    <n v="40336"/>
    <m/>
    <n v="7663.84"/>
    <n v="47999.839999999997"/>
    <x v="1"/>
    <m/>
    <m/>
    <n v="47999.839999999997"/>
    <m/>
  </r>
  <r>
    <x v="14"/>
    <x v="2"/>
    <x v="83"/>
    <x v="26"/>
    <x v="7"/>
    <x v="5"/>
    <x v="2"/>
    <x v="10"/>
    <m/>
    <m/>
    <m/>
    <n v="42479"/>
    <n v="0"/>
    <n v="42479"/>
    <x v="1"/>
    <m/>
    <m/>
    <n v="42479"/>
    <m/>
  </r>
  <r>
    <x v="14"/>
    <x v="2"/>
    <x v="83"/>
    <x v="26"/>
    <x v="7"/>
    <x v="5"/>
    <x v="2"/>
    <x v="21"/>
    <m/>
    <m/>
    <m/>
    <n v="14000"/>
    <n v="0"/>
    <n v="14000"/>
    <x v="1"/>
    <m/>
    <m/>
    <n v="14000"/>
    <m/>
  </r>
  <r>
    <x v="14"/>
    <x v="2"/>
    <x v="83"/>
    <x v="26"/>
    <x v="7"/>
    <x v="5"/>
    <x v="2"/>
    <x v="11"/>
    <m/>
    <m/>
    <m/>
    <n v="7909"/>
    <n v="0"/>
    <n v="7909"/>
    <x v="1"/>
    <m/>
    <m/>
    <n v="7909"/>
    <m/>
  </r>
  <r>
    <x v="14"/>
    <x v="2"/>
    <x v="83"/>
    <x v="26"/>
    <x v="7"/>
    <x v="5"/>
    <x v="2"/>
    <x v="14"/>
    <m/>
    <m/>
    <m/>
    <n v="1643164"/>
    <n v="0"/>
    <n v="1643164"/>
    <x v="1"/>
    <m/>
    <m/>
    <n v="1643164"/>
    <m/>
  </r>
  <r>
    <x v="14"/>
    <x v="2"/>
    <x v="83"/>
    <x v="26"/>
    <x v="7"/>
    <x v="5"/>
    <x v="2"/>
    <x v="10"/>
    <m/>
    <m/>
    <m/>
    <n v="33825"/>
    <n v="0"/>
    <n v="33825"/>
    <x v="3"/>
    <d v="2026-07-24T00:00:00"/>
    <n v="2479139"/>
    <n v="-2445314"/>
    <m/>
  </r>
  <r>
    <x v="7"/>
    <x v="12"/>
    <x v="88"/>
    <x v="14"/>
    <x v="7"/>
    <x v="0"/>
    <x v="1"/>
    <x v="17"/>
    <m/>
    <s v="Factura"/>
    <n v="18445"/>
    <m/>
    <n v="3504.55"/>
    <n v="21949.55"/>
    <x v="2"/>
    <m/>
    <m/>
    <n v="21949.55"/>
    <m/>
  </r>
  <r>
    <x v="4"/>
    <x v="28"/>
    <x v="83"/>
    <x v="12"/>
    <x v="7"/>
    <x v="0"/>
    <x v="6"/>
    <x v="24"/>
    <m/>
    <m/>
    <m/>
    <n v="70389"/>
    <n v="0"/>
    <n v="70389"/>
    <x v="1"/>
    <m/>
    <m/>
    <n v="70389"/>
    <m/>
  </r>
  <r>
    <x v="4"/>
    <x v="29"/>
    <x v="89"/>
    <x v="14"/>
    <x v="7"/>
    <x v="0"/>
    <x v="6"/>
    <x v="24"/>
    <m/>
    <m/>
    <m/>
    <n v="70389"/>
    <n v="0"/>
    <n v="70389"/>
    <x v="0"/>
    <d v="2026-07-24T00:00:00"/>
    <n v="140778"/>
    <n v="-70389"/>
    <m/>
  </r>
  <r>
    <x v="14"/>
    <x v="3"/>
    <x v="78"/>
    <x v="25"/>
    <x v="6"/>
    <x v="5"/>
    <x v="2"/>
    <x v="12"/>
    <m/>
    <s v="Factura"/>
    <m/>
    <n v="91666"/>
    <n v="0"/>
    <n v="91666"/>
    <x v="1"/>
    <m/>
    <m/>
    <n v="91666"/>
    <m/>
  </r>
  <r>
    <x v="14"/>
    <x v="3"/>
    <x v="90"/>
    <x v="14"/>
    <x v="7"/>
    <x v="5"/>
    <x v="2"/>
    <x v="12"/>
    <m/>
    <s v="Factura"/>
    <n v="5703"/>
    <m/>
    <n v="1083.57"/>
    <n v="6786.57"/>
    <x v="1"/>
    <m/>
    <m/>
    <n v="6786.57"/>
    <m/>
  </r>
  <r>
    <x v="14"/>
    <x v="3"/>
    <x v="87"/>
    <x v="14"/>
    <x v="7"/>
    <x v="5"/>
    <x v="2"/>
    <x v="5"/>
    <m/>
    <s v="Factura"/>
    <n v="30840"/>
    <n v="3670"/>
    <n v="5859.6"/>
    <n v="40369.599999999999"/>
    <x v="1"/>
    <m/>
    <m/>
    <n v="40369.599999999999"/>
    <m/>
  </r>
  <r>
    <x v="14"/>
    <x v="3"/>
    <x v="78"/>
    <x v="25"/>
    <x v="6"/>
    <x v="5"/>
    <x v="2"/>
    <x v="5"/>
    <m/>
    <m/>
    <m/>
    <n v="941620"/>
    <n v="0"/>
    <n v="941620"/>
    <x v="1"/>
    <m/>
    <m/>
    <n v="941620"/>
    <m/>
  </r>
  <r>
    <x v="14"/>
    <x v="3"/>
    <x v="78"/>
    <x v="25"/>
    <x v="6"/>
    <x v="5"/>
    <x v="2"/>
    <x v="8"/>
    <m/>
    <m/>
    <m/>
    <n v="118401"/>
    <n v="0"/>
    <n v="118401"/>
    <x v="1"/>
    <m/>
    <m/>
    <n v="118401"/>
    <m/>
  </r>
  <r>
    <x v="14"/>
    <x v="3"/>
    <x v="78"/>
    <x v="25"/>
    <x v="6"/>
    <x v="5"/>
    <x v="2"/>
    <x v="27"/>
    <m/>
    <m/>
    <m/>
    <n v="40000"/>
    <n v="0"/>
    <n v="40000"/>
    <x v="1"/>
    <m/>
    <m/>
    <n v="40000"/>
    <m/>
  </r>
  <r>
    <x v="14"/>
    <x v="3"/>
    <x v="78"/>
    <x v="25"/>
    <x v="6"/>
    <x v="5"/>
    <x v="2"/>
    <x v="14"/>
    <m/>
    <m/>
    <m/>
    <n v="2340839"/>
    <n v="0"/>
    <n v="2340839"/>
    <x v="1"/>
    <m/>
    <m/>
    <n v="2340839"/>
    <m/>
  </r>
  <r>
    <x v="14"/>
    <x v="3"/>
    <x v="78"/>
    <x v="25"/>
    <x v="6"/>
    <x v="5"/>
    <x v="2"/>
    <x v="27"/>
    <m/>
    <m/>
    <m/>
    <n v="503688.24000000005"/>
    <n v="0"/>
    <n v="503688.24000000005"/>
    <x v="1"/>
    <m/>
    <m/>
    <n v="503688.24000000005"/>
    <m/>
  </r>
  <r>
    <x v="14"/>
    <x v="3"/>
    <x v="78"/>
    <x v="25"/>
    <x v="6"/>
    <x v="5"/>
    <x v="2"/>
    <x v="11"/>
    <m/>
    <m/>
    <m/>
    <n v="44261"/>
    <n v="0"/>
    <n v="44261"/>
    <x v="1"/>
    <m/>
    <m/>
    <n v="44261"/>
    <m/>
  </r>
  <r>
    <x v="14"/>
    <x v="3"/>
    <x v="78"/>
    <x v="25"/>
    <x v="6"/>
    <x v="5"/>
    <x v="2"/>
    <x v="29"/>
    <m/>
    <m/>
    <m/>
    <n v="30272"/>
    <n v="0"/>
    <n v="30272"/>
    <x v="1"/>
    <m/>
    <m/>
    <n v="30272"/>
    <m/>
  </r>
  <r>
    <x v="14"/>
    <x v="3"/>
    <x v="78"/>
    <x v="25"/>
    <x v="6"/>
    <x v="5"/>
    <x v="2"/>
    <x v="27"/>
    <m/>
    <m/>
    <m/>
    <n v="1074656"/>
    <n v="0"/>
    <n v="1074656"/>
    <x v="1"/>
    <m/>
    <m/>
    <n v="1074656"/>
    <m/>
  </r>
  <r>
    <x v="14"/>
    <x v="3"/>
    <x v="78"/>
    <x v="25"/>
    <x v="6"/>
    <x v="5"/>
    <x v="2"/>
    <x v="4"/>
    <m/>
    <m/>
    <m/>
    <n v="125373"/>
    <n v="0"/>
    <n v="125373"/>
    <x v="1"/>
    <m/>
    <m/>
    <n v="125373"/>
    <m/>
  </r>
  <r>
    <x v="14"/>
    <x v="3"/>
    <x v="78"/>
    <x v="25"/>
    <x v="6"/>
    <x v="5"/>
    <x v="2"/>
    <x v="29"/>
    <m/>
    <m/>
    <m/>
    <n v="14199.46"/>
    <n v="0"/>
    <n v="14199.46"/>
    <x v="1"/>
    <m/>
    <m/>
    <n v="14199.46"/>
    <m/>
  </r>
  <r>
    <x v="14"/>
    <x v="3"/>
    <x v="90"/>
    <x v="14"/>
    <x v="7"/>
    <x v="5"/>
    <x v="2"/>
    <x v="28"/>
    <m/>
    <m/>
    <m/>
    <n v="495004"/>
    <n v="0"/>
    <n v="495004"/>
    <x v="3"/>
    <d v="2026-08-06T00:00:00"/>
    <n v="5000000"/>
    <n v="-4504996"/>
    <m/>
  </r>
  <r>
    <x v="14"/>
    <x v="3"/>
    <x v="90"/>
    <x v="14"/>
    <x v="7"/>
    <x v="5"/>
    <x v="2"/>
    <x v="12"/>
    <m/>
    <m/>
    <m/>
    <n v="18090"/>
    <n v="0"/>
    <n v="18090"/>
    <x v="3"/>
    <d v="2026-08-06T00:00:00"/>
    <n v="885225.49"/>
    <n v="-867135.49"/>
    <m/>
  </r>
  <r>
    <x v="0"/>
    <x v="6"/>
    <x v="58"/>
    <x v="20"/>
    <x v="6"/>
    <x v="0"/>
    <x v="2"/>
    <x v="8"/>
    <m/>
    <m/>
    <m/>
    <n v="10000"/>
    <n v="0"/>
    <n v="10000"/>
    <x v="1"/>
    <m/>
    <m/>
    <m/>
    <m/>
  </r>
  <r>
    <x v="0"/>
    <x v="6"/>
    <x v="58"/>
    <x v="20"/>
    <x v="6"/>
    <x v="0"/>
    <x v="2"/>
    <x v="4"/>
    <m/>
    <m/>
    <m/>
    <n v="10000"/>
    <n v="0"/>
    <n v="10000"/>
    <x v="1"/>
    <m/>
    <m/>
    <n v="10000"/>
    <m/>
  </r>
  <r>
    <x v="0"/>
    <x v="8"/>
    <x v="74"/>
    <x v="24"/>
    <x v="6"/>
    <x v="0"/>
    <x v="2"/>
    <x v="21"/>
    <m/>
    <s v="Factura"/>
    <m/>
    <n v="304246"/>
    <n v="0"/>
    <n v="304246"/>
    <x v="1"/>
    <m/>
    <m/>
    <n v="304246"/>
    <m/>
  </r>
  <r>
    <x v="0"/>
    <x v="8"/>
    <x v="74"/>
    <x v="24"/>
    <x v="6"/>
    <x v="0"/>
    <x v="2"/>
    <x v="14"/>
    <m/>
    <s v="Factura"/>
    <n v="123854"/>
    <m/>
    <n v="23532.260000000002"/>
    <n v="147386.26"/>
    <x v="1"/>
    <m/>
    <m/>
    <n v="147386.26"/>
    <m/>
  </r>
  <r>
    <x v="0"/>
    <x v="8"/>
    <x v="74"/>
    <x v="24"/>
    <x v="6"/>
    <x v="0"/>
    <x v="2"/>
    <x v="14"/>
    <m/>
    <s v="Factura"/>
    <n v="67238"/>
    <m/>
    <n v="12775.22"/>
    <n v="80013.22"/>
    <x v="1"/>
    <m/>
    <m/>
    <n v="80013.22"/>
    <m/>
  </r>
  <r>
    <x v="0"/>
    <x v="8"/>
    <x v="74"/>
    <x v="24"/>
    <x v="6"/>
    <x v="0"/>
    <x v="2"/>
    <x v="11"/>
    <m/>
    <s v="Factura"/>
    <m/>
    <n v="38000"/>
    <n v="0"/>
    <n v="38000"/>
    <x v="1"/>
    <m/>
    <m/>
    <n v="38000"/>
    <m/>
  </r>
  <r>
    <x v="0"/>
    <x v="8"/>
    <x v="74"/>
    <x v="24"/>
    <x v="6"/>
    <x v="0"/>
    <x v="2"/>
    <x v="11"/>
    <m/>
    <s v="Factura"/>
    <m/>
    <n v="60000"/>
    <n v="0"/>
    <n v="60000"/>
    <x v="1"/>
    <m/>
    <m/>
    <n v="60000"/>
    <m/>
  </r>
  <r>
    <x v="0"/>
    <x v="8"/>
    <x v="74"/>
    <x v="24"/>
    <x v="6"/>
    <x v="0"/>
    <x v="2"/>
    <x v="5"/>
    <m/>
    <s v="Factura"/>
    <n v="30252"/>
    <m/>
    <n v="5747.88"/>
    <n v="35999.879999999997"/>
    <x v="1"/>
    <m/>
    <m/>
    <n v="35999.879999999997"/>
    <m/>
  </r>
  <r>
    <x v="0"/>
    <x v="8"/>
    <x v="74"/>
    <x v="24"/>
    <x v="6"/>
    <x v="0"/>
    <x v="2"/>
    <x v="11"/>
    <m/>
    <s v="Factura"/>
    <m/>
    <n v="40000"/>
    <n v="0"/>
    <n v="40000"/>
    <x v="1"/>
    <m/>
    <m/>
    <n v="40000"/>
    <m/>
  </r>
  <r>
    <x v="0"/>
    <x v="8"/>
    <x v="74"/>
    <x v="24"/>
    <x v="6"/>
    <x v="0"/>
    <x v="2"/>
    <x v="5"/>
    <m/>
    <m/>
    <m/>
    <n v="57318"/>
    <n v="0"/>
    <n v="57318"/>
    <x v="1"/>
    <m/>
    <m/>
    <n v="57318"/>
    <m/>
  </r>
  <r>
    <x v="0"/>
    <x v="8"/>
    <x v="74"/>
    <x v="24"/>
    <x v="6"/>
    <x v="0"/>
    <x v="2"/>
    <x v="15"/>
    <m/>
    <m/>
    <m/>
    <n v="49280"/>
    <n v="0"/>
    <n v="49280"/>
    <x v="1"/>
    <m/>
    <m/>
    <n v="49280"/>
    <m/>
  </r>
  <r>
    <x v="0"/>
    <x v="8"/>
    <x v="74"/>
    <x v="24"/>
    <x v="6"/>
    <x v="0"/>
    <x v="2"/>
    <x v="29"/>
    <m/>
    <m/>
    <m/>
    <n v="28000"/>
    <n v="0"/>
    <n v="28000"/>
    <x v="1"/>
    <m/>
    <m/>
    <n v="28000"/>
    <m/>
  </r>
  <r>
    <x v="0"/>
    <x v="8"/>
    <x v="74"/>
    <x v="24"/>
    <x v="6"/>
    <x v="0"/>
    <x v="2"/>
    <x v="11"/>
    <m/>
    <m/>
    <m/>
    <n v="30300"/>
    <n v="0"/>
    <n v="30300"/>
    <x v="1"/>
    <m/>
    <m/>
    <n v="30300"/>
    <m/>
  </r>
  <r>
    <x v="0"/>
    <x v="0"/>
    <x v="81"/>
    <x v="16"/>
    <x v="7"/>
    <x v="1"/>
    <x v="0"/>
    <x v="0"/>
    <m/>
    <m/>
    <m/>
    <m/>
    <n v="0"/>
    <n v="0"/>
    <x v="0"/>
    <d v="2026-07-09T00:00:00"/>
    <n v="900000"/>
    <n v="-900000"/>
    <m/>
  </r>
  <r>
    <x v="9"/>
    <x v="14"/>
    <x v="91"/>
    <x v="27"/>
    <x v="7"/>
    <x v="0"/>
    <x v="1"/>
    <x v="29"/>
    <m/>
    <m/>
    <m/>
    <n v="27521"/>
    <n v="0"/>
    <n v="27521"/>
    <x v="0"/>
    <d v="2026-07-29T00:00:00"/>
    <n v="27521"/>
    <n v="0"/>
    <m/>
  </r>
  <r>
    <x v="9"/>
    <x v="15"/>
    <x v="92"/>
    <x v="28"/>
    <x v="8"/>
    <x v="0"/>
    <x v="4"/>
    <x v="22"/>
    <m/>
    <s v="Factura"/>
    <m/>
    <n v="478777"/>
    <n v="0"/>
    <n v="478777"/>
    <x v="3"/>
    <d v="2026-08-06T00:00:00"/>
    <n v="478777"/>
    <n v="0"/>
    <m/>
  </r>
  <r>
    <x v="9"/>
    <x v="16"/>
    <x v="93"/>
    <x v="28"/>
    <x v="8"/>
    <x v="0"/>
    <x v="1"/>
    <x v="29"/>
    <m/>
    <m/>
    <m/>
    <n v="66963"/>
    <n v="0"/>
    <n v="66963"/>
    <x v="3"/>
    <d v="2026-08-07T00:00:00"/>
    <n v="66963"/>
    <n v="0"/>
    <m/>
  </r>
  <r>
    <x v="4"/>
    <x v="30"/>
    <x v="94"/>
    <x v="28"/>
    <x v="8"/>
    <x v="0"/>
    <x v="6"/>
    <x v="24"/>
    <m/>
    <m/>
    <m/>
    <n v="70389"/>
    <n v="0"/>
    <n v="70389"/>
    <x v="0"/>
    <d v="2026-07-24T00:00:00"/>
    <n v="70388.920000000042"/>
    <n v="7.9999999958090484E-2"/>
    <m/>
  </r>
  <r>
    <x v="5"/>
    <x v="20"/>
    <x v="89"/>
    <x v="27"/>
    <x v="7"/>
    <x v="0"/>
    <x v="7"/>
    <x v="13"/>
    <s v="Patente 2do semestre"/>
    <m/>
    <m/>
    <n v="1646165"/>
    <n v="0"/>
    <n v="1646165"/>
    <x v="1"/>
    <m/>
    <m/>
    <n v="1646165"/>
    <m/>
  </r>
  <r>
    <x v="5"/>
    <x v="20"/>
    <x v="89"/>
    <x v="27"/>
    <x v="7"/>
    <x v="0"/>
    <x v="4"/>
    <x v="12"/>
    <m/>
    <m/>
    <m/>
    <n v="8001"/>
    <n v="0"/>
    <n v="8001"/>
    <x v="1"/>
    <m/>
    <m/>
    <n v="8001"/>
    <m/>
  </r>
  <r>
    <x v="5"/>
    <x v="20"/>
    <x v="89"/>
    <x v="27"/>
    <x v="7"/>
    <x v="0"/>
    <x v="4"/>
    <x v="10"/>
    <m/>
    <m/>
    <m/>
    <n v="6600"/>
    <n v="0"/>
    <n v="6600"/>
    <x v="0"/>
    <d v="2026-07-31T00:00:00"/>
    <n v="1660766"/>
    <n v="-1654166"/>
    <m/>
  </r>
  <r>
    <x v="11"/>
    <x v="17"/>
    <x v="91"/>
    <x v="27"/>
    <x v="7"/>
    <x v="0"/>
    <x v="2"/>
    <x v="8"/>
    <m/>
    <s v="Factura"/>
    <n v="35082"/>
    <n v="11598.6"/>
    <n v="6665.58"/>
    <n v="53346.18"/>
    <x v="1"/>
    <m/>
    <m/>
    <n v="53346.18"/>
    <m/>
  </r>
  <r>
    <x v="11"/>
    <x v="17"/>
    <x v="91"/>
    <x v="27"/>
    <x v="7"/>
    <x v="0"/>
    <x v="7"/>
    <x v="21"/>
    <m/>
    <s v="Factura"/>
    <m/>
    <n v="371695"/>
    <n v="0"/>
    <n v="371695"/>
    <x v="1"/>
    <m/>
    <m/>
    <n v="371695"/>
    <m/>
  </r>
  <r>
    <x v="11"/>
    <x v="17"/>
    <x v="91"/>
    <x v="27"/>
    <x v="7"/>
    <x v="0"/>
    <x v="2"/>
    <x v="16"/>
    <m/>
    <m/>
    <m/>
    <n v="26795"/>
    <n v="0"/>
    <n v="26795"/>
    <x v="1"/>
    <m/>
    <m/>
    <n v="26795"/>
    <m/>
  </r>
  <r>
    <x v="11"/>
    <x v="17"/>
    <x v="91"/>
    <x v="27"/>
    <x v="7"/>
    <x v="0"/>
    <x v="2"/>
    <x v="5"/>
    <m/>
    <m/>
    <m/>
    <n v="30188"/>
    <n v="0"/>
    <n v="30188"/>
    <x v="0"/>
    <d v="2026-07-29T00:00:00"/>
    <n v="482024.18"/>
    <n v="-451836.18"/>
    <m/>
  </r>
  <r>
    <x v="8"/>
    <x v="12"/>
    <x v="74"/>
    <x v="24"/>
    <x v="6"/>
    <x v="0"/>
    <x v="5"/>
    <x v="11"/>
    <m/>
    <m/>
    <m/>
    <n v="29945"/>
    <n v="0"/>
    <n v="29945"/>
    <x v="1"/>
    <m/>
    <m/>
    <n v="29945"/>
    <m/>
  </r>
  <r>
    <x v="8"/>
    <x v="12"/>
    <x v="74"/>
    <x v="24"/>
    <x v="6"/>
    <x v="0"/>
    <x v="5"/>
    <x v="21"/>
    <m/>
    <m/>
    <m/>
    <n v="23000"/>
    <n v="0"/>
    <n v="23000"/>
    <x v="1"/>
    <m/>
    <m/>
    <n v="23000"/>
    <m/>
  </r>
  <r>
    <x v="8"/>
    <x v="12"/>
    <x v="74"/>
    <x v="24"/>
    <x v="6"/>
    <x v="0"/>
    <x v="5"/>
    <x v="5"/>
    <m/>
    <m/>
    <m/>
    <n v="42600"/>
    <n v="0"/>
    <n v="42600"/>
    <x v="1"/>
    <m/>
    <m/>
    <n v="42600"/>
    <m/>
  </r>
  <r>
    <x v="8"/>
    <x v="0"/>
    <x v="49"/>
    <x v="16"/>
    <x v="5"/>
    <x v="1"/>
    <x v="0"/>
    <x v="0"/>
    <m/>
    <m/>
    <m/>
    <m/>
    <n v="0"/>
    <n v="0"/>
    <x v="3"/>
    <d v="2026-07-31T00:00:00"/>
    <n v="435000"/>
    <n v="-435000"/>
    <m/>
  </r>
  <r>
    <x v="8"/>
    <x v="12"/>
    <x v="83"/>
    <x v="10"/>
    <x v="7"/>
    <x v="0"/>
    <x v="5"/>
    <x v="11"/>
    <m/>
    <m/>
    <m/>
    <n v="21257"/>
    <n v="0"/>
    <n v="21257"/>
    <x v="1"/>
    <m/>
    <m/>
    <n v="21257"/>
    <m/>
  </r>
  <r>
    <x v="8"/>
    <x v="12"/>
    <x v="83"/>
    <x v="10"/>
    <x v="7"/>
    <x v="0"/>
    <x v="5"/>
    <x v="15"/>
    <m/>
    <m/>
    <m/>
    <n v="28575"/>
    <n v="0"/>
    <n v="28575"/>
    <x v="1"/>
    <m/>
    <m/>
    <n v="28575"/>
    <m/>
  </r>
  <r>
    <x v="8"/>
    <x v="12"/>
    <x v="83"/>
    <x v="10"/>
    <x v="7"/>
    <x v="0"/>
    <x v="5"/>
    <x v="5"/>
    <m/>
    <m/>
    <m/>
    <n v="27378"/>
    <n v="0"/>
    <n v="27378"/>
    <x v="1"/>
    <m/>
    <m/>
    <n v="27378"/>
    <m/>
  </r>
  <r>
    <x v="8"/>
    <x v="12"/>
    <x v="83"/>
    <x v="10"/>
    <x v="7"/>
    <x v="0"/>
    <x v="5"/>
    <x v="21"/>
    <m/>
    <m/>
    <m/>
    <n v="167942"/>
    <n v="0"/>
    <n v="167942"/>
    <x v="3"/>
    <d v="2026-08-07T00:00:00"/>
    <n v="391688"/>
    <n v="-223746"/>
    <m/>
  </r>
  <r>
    <x v="8"/>
    <x v="12"/>
    <x v="83"/>
    <x v="10"/>
    <x v="7"/>
    <x v="0"/>
    <x v="5"/>
    <x v="21"/>
    <m/>
    <m/>
    <m/>
    <n v="14000"/>
    <n v="0"/>
    <n v="14000"/>
    <x v="3"/>
    <d v="2026-08-13T00:00:00"/>
    <n v="121000.77000000002"/>
    <n v="-107000.77000000002"/>
    <m/>
  </r>
  <r>
    <x v="9"/>
    <x v="17"/>
    <x v="95"/>
    <x v="29"/>
    <x v="8"/>
    <x v="0"/>
    <x v="1"/>
    <x v="29"/>
    <m/>
    <s v="Factura"/>
    <n v="14084"/>
    <m/>
    <n v="2675.96"/>
    <n v="16759.96"/>
    <x v="0"/>
    <d v="2026-08-24T00:00:00"/>
    <n v="16759.96"/>
    <n v="0"/>
    <m/>
  </r>
  <r>
    <x v="7"/>
    <x v="13"/>
    <x v="95"/>
    <x v="29"/>
    <x v="8"/>
    <x v="0"/>
    <x v="4"/>
    <x v="33"/>
    <m/>
    <s v="Factura"/>
    <n v="121030.45"/>
    <m/>
    <n v="22995.785499999998"/>
    <n v="144026.23550000001"/>
    <x v="0"/>
    <d v="2026-08-24T00:00:00"/>
    <n v="127195.52550000002"/>
    <n v="16830.709999999992"/>
    <m/>
  </r>
  <r>
    <x v="13"/>
    <x v="4"/>
    <x v="95"/>
    <x v="29"/>
    <x v="8"/>
    <x v="0"/>
    <x v="6"/>
    <x v="34"/>
    <m/>
    <m/>
    <m/>
    <n v="386072"/>
    <n v="0"/>
    <n v="386072"/>
    <x v="1"/>
    <m/>
    <m/>
    <n v="386072"/>
    <m/>
  </r>
  <r>
    <x v="1"/>
    <x v="23"/>
    <x v="91"/>
    <x v="27"/>
    <x v="7"/>
    <x v="0"/>
    <x v="2"/>
    <x v="8"/>
    <m/>
    <m/>
    <n v="15243"/>
    <n v="-1139"/>
    <n v="2896.17"/>
    <n v="17000.169999999998"/>
    <x v="1"/>
    <m/>
    <m/>
    <n v="17000.169999999998"/>
    <m/>
  </r>
  <r>
    <x v="1"/>
    <x v="23"/>
    <x v="91"/>
    <x v="27"/>
    <x v="7"/>
    <x v="0"/>
    <x v="2"/>
    <x v="8"/>
    <m/>
    <m/>
    <n v="44794"/>
    <n v="-3305"/>
    <n v="8510.86"/>
    <n v="49999.86"/>
    <x v="1"/>
    <m/>
    <m/>
    <n v="49999.86"/>
    <m/>
  </r>
  <r>
    <x v="1"/>
    <x v="23"/>
    <x v="91"/>
    <x v="27"/>
    <x v="7"/>
    <x v="0"/>
    <x v="2"/>
    <x v="27"/>
    <m/>
    <m/>
    <n v="17563"/>
    <m/>
    <n v="3336.9700000000003"/>
    <n v="20899.97"/>
    <x v="1"/>
    <m/>
    <m/>
    <n v="20899.97"/>
    <m/>
  </r>
  <r>
    <x v="1"/>
    <x v="23"/>
    <x v="91"/>
    <x v="27"/>
    <x v="7"/>
    <x v="0"/>
    <x v="2"/>
    <x v="4"/>
    <m/>
    <m/>
    <m/>
    <n v="500"/>
    <n v="0"/>
    <n v="500"/>
    <x v="1"/>
    <m/>
    <m/>
    <n v="500"/>
    <m/>
  </r>
  <r>
    <x v="1"/>
    <x v="23"/>
    <x v="91"/>
    <x v="27"/>
    <x v="7"/>
    <x v="0"/>
    <x v="2"/>
    <x v="5"/>
    <m/>
    <m/>
    <m/>
    <n v="12380"/>
    <n v="0"/>
    <n v="12380"/>
    <x v="0"/>
    <d v="2026-07-29T00:00:00"/>
    <n v="100780"/>
    <n v="-88400"/>
    <m/>
  </r>
  <r>
    <x v="1"/>
    <x v="24"/>
    <x v="96"/>
    <x v="28"/>
    <x v="8"/>
    <x v="0"/>
    <x v="2"/>
    <x v="8"/>
    <m/>
    <s v="Factura"/>
    <n v="29037"/>
    <n v="-4554"/>
    <n v="5517.03"/>
    <n v="30000.03"/>
    <x v="1"/>
    <m/>
    <m/>
    <n v="30000.03"/>
    <m/>
  </r>
  <r>
    <x v="1"/>
    <x v="24"/>
    <x v="96"/>
    <x v="28"/>
    <x v="8"/>
    <x v="0"/>
    <x v="2"/>
    <x v="8"/>
    <m/>
    <s v="Factura"/>
    <n v="29047"/>
    <n v="-4566"/>
    <n v="5518.93"/>
    <n v="29999.93"/>
    <x v="1"/>
    <m/>
    <m/>
    <n v="29999.93"/>
    <m/>
  </r>
  <r>
    <x v="16"/>
    <x v="1"/>
    <x v="97"/>
    <x v="30"/>
    <x v="8"/>
    <x v="0"/>
    <x v="2"/>
    <x v="4"/>
    <m/>
    <m/>
    <m/>
    <n v="4200"/>
    <n v="0"/>
    <n v="4200"/>
    <x v="0"/>
    <d v="2026-08-14T00:00:00"/>
    <n v="4200"/>
    <n v="0"/>
    <m/>
  </r>
  <r>
    <x v="17"/>
    <x v="1"/>
    <x v="97"/>
    <x v="30"/>
    <x v="8"/>
    <x v="0"/>
    <x v="3"/>
    <x v="6"/>
    <m/>
    <s v="Factura"/>
    <n v="641084"/>
    <m/>
    <n v="121805.96"/>
    <n v="762889.96"/>
    <x v="3"/>
    <m/>
    <n v="500000"/>
    <n v="262889.95999999996"/>
    <m/>
  </r>
  <r>
    <x v="1"/>
    <x v="24"/>
    <x v="96"/>
    <x v="28"/>
    <x v="8"/>
    <x v="0"/>
    <x v="1"/>
    <x v="29"/>
    <m/>
    <s v="Factura"/>
    <n v="21563"/>
    <m/>
    <n v="4096.97"/>
    <n v="25659.97"/>
    <x v="1"/>
    <m/>
    <m/>
    <n v="25659.97"/>
    <m/>
  </r>
  <r>
    <x v="1"/>
    <x v="24"/>
    <x v="96"/>
    <x v="28"/>
    <x v="8"/>
    <x v="0"/>
    <x v="2"/>
    <x v="8"/>
    <m/>
    <s v="Factura"/>
    <n v="19358"/>
    <n v="-3036"/>
    <n v="3678.02"/>
    <n v="20000.02"/>
    <x v="1"/>
    <m/>
    <m/>
    <n v="20000.02"/>
    <m/>
  </r>
  <r>
    <x v="1"/>
    <x v="24"/>
    <x v="96"/>
    <x v="28"/>
    <x v="8"/>
    <x v="0"/>
    <x v="2"/>
    <x v="20"/>
    <m/>
    <s v="Factura"/>
    <n v="6176"/>
    <m/>
    <n v="1173.44"/>
    <n v="7349.4400000000005"/>
    <x v="1"/>
    <m/>
    <m/>
    <n v="7349.4400000000005"/>
    <m/>
  </r>
  <r>
    <x v="1"/>
    <x v="24"/>
    <x v="96"/>
    <x v="28"/>
    <x v="8"/>
    <x v="0"/>
    <x v="2"/>
    <x v="5"/>
    <m/>
    <m/>
    <m/>
    <n v="23400"/>
    <n v="0"/>
    <n v="23400"/>
    <x v="1"/>
    <m/>
    <m/>
    <n v="23400"/>
    <m/>
  </r>
  <r>
    <x v="1"/>
    <x v="24"/>
    <x v="96"/>
    <x v="28"/>
    <x v="8"/>
    <x v="0"/>
    <x v="2"/>
    <x v="4"/>
    <m/>
    <m/>
    <m/>
    <n v="9100"/>
    <n v="0"/>
    <n v="9100"/>
    <x v="3"/>
    <s v="06-08-2026"/>
    <n v="145508.9"/>
    <n v="-136408.9"/>
    <m/>
  </r>
  <r>
    <x v="1"/>
    <x v="25"/>
    <x v="98"/>
    <x v="28"/>
    <x v="8"/>
    <x v="0"/>
    <x v="2"/>
    <x v="20"/>
    <m/>
    <s v="Factura"/>
    <n v="17563"/>
    <m/>
    <n v="3336.9700000000003"/>
    <n v="20899.97"/>
    <x v="1"/>
    <m/>
    <m/>
    <n v="20899.97"/>
    <m/>
  </r>
  <r>
    <x v="1"/>
    <x v="25"/>
    <x v="98"/>
    <x v="28"/>
    <x v="8"/>
    <x v="0"/>
    <x v="1"/>
    <x v="29"/>
    <m/>
    <s v="Factura"/>
    <n v="14420"/>
    <m/>
    <n v="2739.8"/>
    <n v="17159.8"/>
    <x v="1"/>
    <m/>
    <m/>
    <n v="17159.8"/>
    <m/>
  </r>
  <r>
    <x v="1"/>
    <x v="25"/>
    <x v="98"/>
    <x v="28"/>
    <x v="8"/>
    <x v="0"/>
    <x v="1"/>
    <x v="29"/>
    <m/>
    <s v="Factura"/>
    <n v="14605"/>
    <m/>
    <n v="2774.95"/>
    <n v="17379.95"/>
    <x v="1"/>
    <m/>
    <m/>
    <n v="17379.95"/>
    <m/>
  </r>
  <r>
    <x v="1"/>
    <x v="25"/>
    <x v="98"/>
    <x v="28"/>
    <x v="8"/>
    <x v="0"/>
    <x v="2"/>
    <x v="5"/>
    <m/>
    <m/>
    <m/>
    <n v="7000"/>
    <n v="0"/>
    <n v="7000"/>
    <x v="3"/>
    <d v="2026-08-10T00:00:00"/>
    <n v="62439.72"/>
    <n v="-55439.72"/>
    <m/>
  </r>
  <r>
    <x v="0"/>
    <x v="9"/>
    <x v="86"/>
    <x v="12"/>
    <x v="7"/>
    <x v="0"/>
    <x v="2"/>
    <x v="8"/>
    <m/>
    <s v="Factura"/>
    <n v="23228"/>
    <n v="12359"/>
    <n v="4413.32"/>
    <n v="40000.32"/>
    <x v="1"/>
    <m/>
    <m/>
    <n v="40000.32"/>
    <m/>
  </r>
  <r>
    <x v="0"/>
    <x v="9"/>
    <x v="99"/>
    <x v="28"/>
    <x v="8"/>
    <x v="0"/>
    <x v="2"/>
    <x v="15"/>
    <m/>
    <s v="Factura"/>
    <n v="13076"/>
    <m/>
    <n v="2484.44"/>
    <n v="15560.44"/>
    <x v="1"/>
    <m/>
    <m/>
    <n v="15560.44"/>
    <m/>
  </r>
  <r>
    <x v="0"/>
    <x v="9"/>
    <x v="99"/>
    <x v="28"/>
    <x v="8"/>
    <x v="0"/>
    <x v="2"/>
    <x v="8"/>
    <m/>
    <s v="Factura"/>
    <n v="37374"/>
    <n v="9741"/>
    <n v="7101.06"/>
    <n v="54216.06"/>
    <x v="1"/>
    <m/>
    <m/>
    <n v="54216.06"/>
    <m/>
  </r>
  <r>
    <x v="0"/>
    <x v="9"/>
    <x v="99"/>
    <x v="28"/>
    <x v="8"/>
    <x v="0"/>
    <x v="2"/>
    <x v="5"/>
    <m/>
    <s v="Factura"/>
    <n v="29580"/>
    <m/>
    <n v="5620.2"/>
    <n v="35200.199999999997"/>
    <x v="1"/>
    <m/>
    <m/>
    <n v="35200.199999999997"/>
    <m/>
  </r>
  <r>
    <x v="0"/>
    <x v="9"/>
    <x v="99"/>
    <x v="28"/>
    <x v="8"/>
    <x v="0"/>
    <x v="2"/>
    <x v="15"/>
    <m/>
    <s v="Factura"/>
    <n v="15032"/>
    <m/>
    <n v="2856.08"/>
    <n v="17888.080000000002"/>
    <x v="1"/>
    <m/>
    <m/>
    <n v="17888.080000000002"/>
    <m/>
  </r>
  <r>
    <x v="0"/>
    <x v="9"/>
    <x v="99"/>
    <x v="28"/>
    <x v="8"/>
    <x v="0"/>
    <x v="2"/>
    <x v="4"/>
    <m/>
    <m/>
    <m/>
    <n v="38363"/>
    <n v="0"/>
    <n v="38363"/>
    <x v="1"/>
    <m/>
    <m/>
    <n v="38363"/>
    <m/>
  </r>
  <r>
    <x v="0"/>
    <x v="9"/>
    <x v="99"/>
    <x v="28"/>
    <x v="8"/>
    <x v="0"/>
    <x v="2"/>
    <x v="5"/>
    <m/>
    <s v="Factura"/>
    <n v="10504"/>
    <m/>
    <n v="1995.76"/>
    <n v="12499.76"/>
    <x v="1"/>
    <m/>
    <m/>
    <n v="12499.76"/>
    <m/>
  </r>
  <r>
    <x v="0"/>
    <x v="9"/>
    <x v="99"/>
    <x v="28"/>
    <x v="8"/>
    <x v="0"/>
    <x v="2"/>
    <x v="8"/>
    <m/>
    <s v="Factura"/>
    <n v="40823"/>
    <n v="10870"/>
    <n v="7756.37"/>
    <n v="59449.37"/>
    <x v="1"/>
    <m/>
    <m/>
    <n v="59449.37"/>
    <m/>
  </r>
  <r>
    <x v="0"/>
    <x v="9"/>
    <x v="99"/>
    <x v="28"/>
    <x v="8"/>
    <x v="0"/>
    <x v="2"/>
    <x v="11"/>
    <m/>
    <s v="Factura"/>
    <m/>
    <n v="38000"/>
    <n v="0"/>
    <n v="38000"/>
    <x v="1"/>
    <m/>
    <m/>
    <n v="38000"/>
    <m/>
  </r>
  <r>
    <x v="0"/>
    <x v="9"/>
    <x v="99"/>
    <x v="28"/>
    <x v="8"/>
    <x v="0"/>
    <x v="2"/>
    <x v="5"/>
    <m/>
    <m/>
    <m/>
    <n v="8470"/>
    <n v="0"/>
    <n v="8470"/>
    <x v="1"/>
    <m/>
    <m/>
    <n v="8470"/>
    <m/>
  </r>
  <r>
    <x v="0"/>
    <x v="10"/>
    <x v="89"/>
    <x v="27"/>
    <x v="7"/>
    <x v="0"/>
    <x v="5"/>
    <x v="21"/>
    <m/>
    <s v="Factura"/>
    <m/>
    <n v="199004"/>
    <n v="0"/>
    <n v="199004"/>
    <x v="1"/>
    <m/>
    <m/>
    <n v="199004"/>
    <m/>
  </r>
  <r>
    <x v="0"/>
    <x v="10"/>
    <x v="89"/>
    <x v="27"/>
    <x v="7"/>
    <x v="0"/>
    <x v="5"/>
    <x v="21"/>
    <m/>
    <s v="Factura"/>
    <m/>
    <n v="91094"/>
    <n v="0"/>
    <n v="91094"/>
    <x v="1"/>
    <m/>
    <m/>
    <n v="91094"/>
    <m/>
  </r>
  <r>
    <x v="0"/>
    <x v="10"/>
    <x v="89"/>
    <x v="27"/>
    <x v="7"/>
    <x v="0"/>
    <x v="5"/>
    <x v="5"/>
    <m/>
    <s v="Factura"/>
    <n v="16135"/>
    <m/>
    <n v="3065.65"/>
    <n v="19200.650000000001"/>
    <x v="1"/>
    <m/>
    <m/>
    <n v="19200.650000000001"/>
    <m/>
  </r>
  <r>
    <x v="0"/>
    <x v="10"/>
    <x v="89"/>
    <x v="27"/>
    <x v="7"/>
    <x v="0"/>
    <x v="5"/>
    <x v="5"/>
    <m/>
    <s v="Factura"/>
    <n v="25042"/>
    <m/>
    <n v="4757.9800000000005"/>
    <n v="29799.98"/>
    <x v="1"/>
    <m/>
    <m/>
    <n v="29799.98"/>
    <m/>
  </r>
  <r>
    <x v="0"/>
    <x v="10"/>
    <x v="89"/>
    <x v="27"/>
    <x v="7"/>
    <x v="0"/>
    <x v="5"/>
    <x v="14"/>
    <m/>
    <s v="Factura"/>
    <n v="414588"/>
    <m/>
    <n v="78771.72"/>
    <n v="493359.72"/>
    <x v="1"/>
    <m/>
    <m/>
    <n v="493359.72"/>
    <m/>
  </r>
  <r>
    <x v="0"/>
    <x v="10"/>
    <x v="89"/>
    <x v="27"/>
    <x v="7"/>
    <x v="0"/>
    <x v="5"/>
    <x v="11"/>
    <m/>
    <s v="Factura"/>
    <m/>
    <n v="38000"/>
    <n v="0"/>
    <n v="38000"/>
    <x v="1"/>
    <m/>
    <m/>
    <n v="38000"/>
    <m/>
  </r>
  <r>
    <x v="0"/>
    <x v="10"/>
    <x v="89"/>
    <x v="27"/>
    <x v="7"/>
    <x v="0"/>
    <x v="5"/>
    <x v="5"/>
    <m/>
    <m/>
    <m/>
    <n v="49290"/>
    <n v="0"/>
    <n v="49290"/>
    <x v="1"/>
    <m/>
    <m/>
    <n v="49290"/>
    <m/>
  </r>
  <r>
    <x v="0"/>
    <x v="10"/>
    <x v="89"/>
    <x v="27"/>
    <x v="7"/>
    <x v="0"/>
    <x v="5"/>
    <x v="29"/>
    <m/>
    <m/>
    <m/>
    <n v="25000"/>
    <n v="0"/>
    <n v="25000"/>
    <x v="1"/>
    <m/>
    <m/>
    <n v="25000"/>
    <m/>
  </r>
  <r>
    <x v="0"/>
    <x v="10"/>
    <x v="89"/>
    <x v="27"/>
    <x v="7"/>
    <x v="0"/>
    <x v="5"/>
    <x v="11"/>
    <m/>
    <m/>
    <m/>
    <n v="59993"/>
    <n v="0"/>
    <n v="59993"/>
    <x v="3"/>
    <d v="2026-08-14T00:00:00"/>
    <n v="454931.94"/>
    <n v="-394938.94"/>
    <m/>
  </r>
  <r>
    <x v="4"/>
    <x v="31"/>
    <x v="93"/>
    <x v="28"/>
    <x v="8"/>
    <x v="0"/>
    <x v="2"/>
    <x v="35"/>
    <m/>
    <s v="Factura"/>
    <n v="504168"/>
    <m/>
    <n v="95791.92"/>
    <n v="599959.92000000004"/>
    <x v="3"/>
    <d v="2026-08-14T00:00:00"/>
    <n v="599960"/>
    <n v="-7.9999999958090484E-2"/>
    <m/>
  </r>
  <r>
    <x v="11"/>
    <x v="18"/>
    <x v="93"/>
    <x v="28"/>
    <x v="8"/>
    <x v="0"/>
    <x v="2"/>
    <x v="8"/>
    <m/>
    <s v="Factura"/>
    <n v="34626"/>
    <n v="8795"/>
    <n v="6578.9400000000005"/>
    <n v="49999.94"/>
    <x v="1"/>
    <m/>
    <m/>
    <n v="49999.94"/>
    <m/>
  </r>
  <r>
    <x v="11"/>
    <x v="18"/>
    <x v="91"/>
    <x v="27"/>
    <x v="7"/>
    <x v="0"/>
    <x v="2"/>
    <x v="4"/>
    <m/>
    <m/>
    <m/>
    <n v="5050"/>
    <n v="0"/>
    <n v="5050"/>
    <x v="1"/>
    <m/>
    <m/>
    <n v="5050"/>
    <m/>
  </r>
  <r>
    <x v="11"/>
    <x v="18"/>
    <x v="91"/>
    <x v="27"/>
    <x v="7"/>
    <x v="0"/>
    <x v="2"/>
    <x v="4"/>
    <m/>
    <m/>
    <m/>
    <n v="650"/>
    <n v="0"/>
    <n v="650"/>
    <x v="1"/>
    <m/>
    <m/>
    <n v="650"/>
    <m/>
  </r>
  <r>
    <x v="11"/>
    <x v="18"/>
    <x v="100"/>
    <x v="27"/>
    <x v="7"/>
    <x v="0"/>
    <x v="2"/>
    <x v="15"/>
    <m/>
    <m/>
    <m/>
    <n v="21980"/>
    <n v="0"/>
    <n v="21980"/>
    <x v="1"/>
    <m/>
    <m/>
    <n v="21980"/>
    <m/>
  </r>
  <r>
    <x v="11"/>
    <x v="18"/>
    <x v="100"/>
    <x v="27"/>
    <x v="7"/>
    <x v="0"/>
    <x v="2"/>
    <x v="4"/>
    <m/>
    <m/>
    <m/>
    <n v="3440"/>
    <n v="0"/>
    <n v="3440"/>
    <x v="1"/>
    <m/>
    <m/>
    <n v="3440"/>
    <m/>
  </r>
  <r>
    <x v="11"/>
    <x v="18"/>
    <x v="100"/>
    <x v="27"/>
    <x v="7"/>
    <x v="0"/>
    <x v="2"/>
    <x v="4"/>
    <m/>
    <m/>
    <m/>
    <n v="2065"/>
    <n v="0"/>
    <n v="2065"/>
    <x v="1"/>
    <m/>
    <m/>
    <n v="2065"/>
    <m/>
  </r>
  <r>
    <x v="11"/>
    <x v="18"/>
    <x v="89"/>
    <x v="27"/>
    <x v="7"/>
    <x v="0"/>
    <x v="2"/>
    <x v="5"/>
    <m/>
    <m/>
    <m/>
    <n v="3420"/>
    <n v="0"/>
    <n v="3420"/>
    <x v="1"/>
    <m/>
    <m/>
    <n v="3420"/>
    <m/>
  </r>
  <r>
    <x v="11"/>
    <x v="18"/>
    <x v="101"/>
    <x v="27"/>
    <x v="7"/>
    <x v="0"/>
    <x v="2"/>
    <x v="4"/>
    <m/>
    <m/>
    <m/>
    <n v="12563"/>
    <n v="0"/>
    <n v="12563"/>
    <x v="1"/>
    <m/>
    <m/>
    <n v="12563"/>
    <m/>
  </r>
  <r>
    <x v="11"/>
    <x v="18"/>
    <x v="94"/>
    <x v="28"/>
    <x v="8"/>
    <x v="0"/>
    <x v="2"/>
    <x v="4"/>
    <m/>
    <m/>
    <m/>
    <n v="1700"/>
    <n v="0"/>
    <n v="1700"/>
    <x v="1"/>
    <m/>
    <m/>
    <n v="1700"/>
    <m/>
  </r>
  <r>
    <x v="11"/>
    <x v="18"/>
    <x v="92"/>
    <x v="28"/>
    <x v="8"/>
    <x v="0"/>
    <x v="2"/>
    <x v="5"/>
    <m/>
    <m/>
    <m/>
    <n v="7950"/>
    <n v="0"/>
    <n v="7950"/>
    <x v="1"/>
    <m/>
    <m/>
    <n v="7950"/>
    <m/>
  </r>
  <r>
    <x v="11"/>
    <x v="18"/>
    <x v="92"/>
    <x v="28"/>
    <x v="8"/>
    <x v="0"/>
    <x v="2"/>
    <x v="4"/>
    <m/>
    <m/>
    <m/>
    <n v="1900"/>
    <n v="0"/>
    <n v="1900"/>
    <x v="1"/>
    <m/>
    <m/>
    <n v="1900"/>
    <m/>
  </r>
  <r>
    <x v="11"/>
    <x v="18"/>
    <x v="92"/>
    <x v="28"/>
    <x v="8"/>
    <x v="0"/>
    <x v="2"/>
    <x v="29"/>
    <m/>
    <m/>
    <m/>
    <n v="6990"/>
    <n v="0"/>
    <n v="6990"/>
    <x v="1"/>
    <m/>
    <m/>
    <n v="6990"/>
    <m/>
  </r>
  <r>
    <x v="11"/>
    <x v="18"/>
    <x v="92"/>
    <x v="28"/>
    <x v="8"/>
    <x v="0"/>
    <x v="2"/>
    <x v="4"/>
    <m/>
    <m/>
    <m/>
    <n v="3000"/>
    <n v="0"/>
    <n v="3000"/>
    <x v="1"/>
    <m/>
    <m/>
    <n v="3000"/>
    <m/>
  </r>
  <r>
    <x v="11"/>
    <x v="18"/>
    <x v="96"/>
    <x v="28"/>
    <x v="8"/>
    <x v="0"/>
    <x v="2"/>
    <x v="5"/>
    <m/>
    <m/>
    <m/>
    <n v="3990"/>
    <n v="0"/>
    <n v="3990"/>
    <x v="1"/>
    <m/>
    <m/>
    <n v="3990"/>
    <m/>
  </r>
  <r>
    <x v="11"/>
    <x v="18"/>
    <x v="96"/>
    <x v="28"/>
    <x v="8"/>
    <x v="0"/>
    <x v="2"/>
    <x v="5"/>
    <m/>
    <m/>
    <m/>
    <n v="9590"/>
    <n v="0"/>
    <n v="9590"/>
    <x v="1"/>
    <m/>
    <m/>
    <n v="9590"/>
    <m/>
  </r>
  <r>
    <x v="11"/>
    <x v="18"/>
    <x v="96"/>
    <x v="28"/>
    <x v="8"/>
    <x v="0"/>
    <x v="2"/>
    <x v="4"/>
    <m/>
    <m/>
    <m/>
    <n v="400"/>
    <n v="0"/>
    <n v="400"/>
    <x v="1"/>
    <m/>
    <m/>
    <n v="400"/>
    <m/>
  </r>
  <r>
    <x v="11"/>
    <x v="18"/>
    <x v="96"/>
    <x v="28"/>
    <x v="8"/>
    <x v="0"/>
    <x v="2"/>
    <x v="4"/>
    <m/>
    <m/>
    <m/>
    <n v="6933"/>
    <n v="0"/>
    <n v="6933"/>
    <x v="1"/>
    <m/>
    <m/>
    <n v="6933"/>
    <m/>
  </r>
  <r>
    <x v="11"/>
    <x v="18"/>
    <x v="93"/>
    <x v="28"/>
    <x v="8"/>
    <x v="0"/>
    <x v="2"/>
    <x v="5"/>
    <m/>
    <m/>
    <m/>
    <n v="11380"/>
    <n v="0"/>
    <n v="11380"/>
    <x v="1"/>
    <m/>
    <m/>
    <n v="11380"/>
    <m/>
  </r>
  <r>
    <x v="11"/>
    <x v="18"/>
    <x v="93"/>
    <x v="28"/>
    <x v="8"/>
    <x v="0"/>
    <x v="2"/>
    <x v="4"/>
    <m/>
    <m/>
    <m/>
    <n v="4550"/>
    <n v="0"/>
    <n v="4550"/>
    <x v="1"/>
    <m/>
    <m/>
    <n v="4550"/>
    <m/>
  </r>
  <r>
    <x v="11"/>
    <x v="18"/>
    <x v="93"/>
    <x v="28"/>
    <x v="8"/>
    <x v="0"/>
    <x v="2"/>
    <x v="5"/>
    <m/>
    <m/>
    <m/>
    <n v="9470"/>
    <n v="0"/>
    <n v="9470"/>
    <x v="1"/>
    <m/>
    <m/>
    <n v="9470"/>
    <m/>
  </r>
  <r>
    <x v="11"/>
    <x v="18"/>
    <x v="93"/>
    <x v="28"/>
    <x v="8"/>
    <x v="0"/>
    <x v="2"/>
    <x v="8"/>
    <m/>
    <s v="Factura"/>
    <n v="28161"/>
    <n v="6488"/>
    <n v="5350.59"/>
    <n v="39999.589999999997"/>
    <x v="1"/>
    <m/>
    <m/>
    <n v="39999.589999999997"/>
    <m/>
  </r>
  <r>
    <x v="11"/>
    <x v="18"/>
    <x v="93"/>
    <x v="28"/>
    <x v="8"/>
    <x v="0"/>
    <x v="2"/>
    <x v="5"/>
    <m/>
    <s v="Factura"/>
    <n v="116807"/>
    <n v="13900"/>
    <n v="22193.33"/>
    <n v="152900.33000000002"/>
    <x v="1"/>
    <m/>
    <m/>
    <n v="152900.33000000002"/>
    <m/>
  </r>
  <r>
    <x v="11"/>
    <x v="18"/>
    <x v="93"/>
    <x v="28"/>
    <x v="8"/>
    <x v="0"/>
    <x v="2"/>
    <x v="8"/>
    <m/>
    <s v="Factura"/>
    <n v="41312"/>
    <n v="10302"/>
    <n v="7849.28"/>
    <n v="59463.28"/>
    <x v="3"/>
    <d v="2026-08-14T00:00:00"/>
    <n v="419384.14"/>
    <n v="-359920.86"/>
    <m/>
  </r>
  <r>
    <x v="1"/>
    <x v="32"/>
    <x v="98"/>
    <x v="28"/>
    <x v="8"/>
    <x v="0"/>
    <x v="2"/>
    <x v="8"/>
    <m/>
    <s v="Factura"/>
    <n v="59031"/>
    <n v="-11252.89"/>
    <n v="11215.89"/>
    <n v="58994"/>
    <x v="1"/>
    <m/>
    <m/>
    <n v="58994"/>
    <m/>
  </r>
  <r>
    <x v="17"/>
    <x v="0"/>
    <x v="49"/>
    <x v="16"/>
    <x v="5"/>
    <x v="1"/>
    <x v="0"/>
    <x v="0"/>
    <m/>
    <m/>
    <m/>
    <m/>
    <n v="0"/>
    <n v="0"/>
    <x v="3"/>
    <m/>
    <n v="262889.95999999996"/>
    <n v="-262889.95999999996"/>
    <m/>
  </r>
  <r>
    <x v="11"/>
    <x v="19"/>
    <x v="102"/>
    <x v="30"/>
    <x v="8"/>
    <x v="0"/>
    <x v="2"/>
    <x v="29"/>
    <m/>
    <s v="Factura"/>
    <n v="57983"/>
    <m/>
    <n v="11016.77"/>
    <n v="68999.77"/>
    <x v="1"/>
    <m/>
    <m/>
    <n v="68999.77"/>
    <m/>
  </r>
  <r>
    <x v="11"/>
    <x v="19"/>
    <x v="102"/>
    <x v="30"/>
    <x v="8"/>
    <x v="0"/>
    <x v="2"/>
    <x v="8"/>
    <m/>
    <s v="Factura"/>
    <n v="35161"/>
    <n v="8158"/>
    <n v="6680.59"/>
    <n v="49999.59"/>
    <x v="1"/>
    <m/>
    <m/>
    <n v="49999.59"/>
    <m/>
  </r>
  <r>
    <x v="11"/>
    <x v="19"/>
    <x v="102"/>
    <x v="30"/>
    <x v="8"/>
    <x v="0"/>
    <x v="2"/>
    <x v="5"/>
    <m/>
    <m/>
    <m/>
    <n v="12690"/>
    <n v="0"/>
    <n v="12690"/>
    <x v="1"/>
    <m/>
    <m/>
    <n v="12690"/>
    <m/>
  </r>
  <r>
    <x v="11"/>
    <x v="19"/>
    <x v="102"/>
    <x v="30"/>
    <x v="8"/>
    <x v="0"/>
    <x v="2"/>
    <x v="4"/>
    <m/>
    <m/>
    <m/>
    <n v="17650.3"/>
    <n v="0"/>
    <n v="17650.3"/>
    <x v="0"/>
    <d v="2026-08-14T00:00:00"/>
    <n v="149340"/>
    <n v="-131689.70000000001"/>
    <m/>
  </r>
  <r>
    <x v="5"/>
    <x v="26"/>
    <x v="103"/>
    <x v="29"/>
    <x v="8"/>
    <x v="0"/>
    <x v="2"/>
    <x v="21"/>
    <m/>
    <m/>
    <m/>
    <n v="45800"/>
    <n v="0"/>
    <n v="45800"/>
    <x v="1"/>
    <m/>
    <m/>
    <n v="45800"/>
    <m/>
  </r>
  <r>
    <x v="5"/>
    <x v="26"/>
    <x v="103"/>
    <x v="29"/>
    <x v="8"/>
    <x v="0"/>
    <x v="2"/>
    <x v="21"/>
    <m/>
    <m/>
    <m/>
    <n v="47180"/>
    <n v="0"/>
    <n v="47180"/>
    <x v="1"/>
    <m/>
    <m/>
    <n v="47180"/>
    <m/>
  </r>
  <r>
    <x v="5"/>
    <x v="26"/>
    <x v="103"/>
    <x v="29"/>
    <x v="8"/>
    <x v="0"/>
    <x v="2"/>
    <x v="11"/>
    <m/>
    <m/>
    <m/>
    <n v="16000"/>
    <n v="0"/>
    <n v="16000"/>
    <x v="1"/>
    <m/>
    <m/>
    <n v="16000"/>
    <m/>
  </r>
  <r>
    <x v="5"/>
    <x v="26"/>
    <x v="103"/>
    <x v="29"/>
    <x v="8"/>
    <x v="0"/>
    <x v="2"/>
    <x v="19"/>
    <m/>
    <m/>
    <m/>
    <n v="80000"/>
    <n v="0"/>
    <n v="80000"/>
    <x v="1"/>
    <m/>
    <m/>
    <n v="80000"/>
    <m/>
  </r>
  <r>
    <x v="11"/>
    <x v="20"/>
    <x v="104"/>
    <x v="30"/>
    <x v="8"/>
    <x v="0"/>
    <x v="2"/>
    <x v="8"/>
    <m/>
    <s v="Factura"/>
    <n v="45655"/>
    <n v="15682.4"/>
    <n v="8674.4500000000007"/>
    <n v="70011.850000000006"/>
    <x v="1"/>
    <m/>
    <m/>
    <n v="70011.850000000006"/>
    <m/>
  </r>
  <r>
    <x v="11"/>
    <x v="20"/>
    <x v="95"/>
    <x v="29"/>
    <x v="8"/>
    <x v="0"/>
    <x v="2"/>
    <x v="8"/>
    <m/>
    <s v="Factura"/>
    <n v="40212"/>
    <n v="16464"/>
    <n v="7640.28"/>
    <n v="64316.28"/>
    <x v="1"/>
    <m/>
    <m/>
    <n v="64316.28"/>
    <m/>
  </r>
  <r>
    <x v="11"/>
    <x v="20"/>
    <x v="95"/>
    <x v="29"/>
    <x v="8"/>
    <x v="0"/>
    <x v="2"/>
    <x v="4"/>
    <m/>
    <m/>
    <m/>
    <n v="31338"/>
    <n v="0"/>
    <n v="31338"/>
    <x v="1"/>
    <m/>
    <m/>
    <n v="31338"/>
    <m/>
  </r>
  <r>
    <x v="11"/>
    <x v="20"/>
    <x v="95"/>
    <x v="29"/>
    <x v="8"/>
    <x v="0"/>
    <x v="2"/>
    <x v="5"/>
    <m/>
    <m/>
    <m/>
    <n v="36548"/>
    <n v="0"/>
    <n v="36548"/>
    <x v="1"/>
    <m/>
    <m/>
    <n v="36548"/>
    <m/>
  </r>
  <r>
    <x v="1"/>
    <x v="32"/>
    <x v="98"/>
    <x v="28"/>
    <x v="8"/>
    <x v="0"/>
    <x v="2"/>
    <x v="8"/>
    <m/>
    <s v="Factura"/>
    <n v="39734"/>
    <n v="-7283"/>
    <n v="7549.46"/>
    <n v="40000.46"/>
    <x v="1"/>
    <m/>
    <m/>
    <n v="40000.46"/>
    <m/>
  </r>
  <r>
    <x v="1"/>
    <x v="32"/>
    <x v="98"/>
    <x v="28"/>
    <x v="8"/>
    <x v="0"/>
    <x v="1"/>
    <x v="29"/>
    <m/>
    <m/>
    <m/>
    <n v="17682"/>
    <n v="0"/>
    <n v="17682"/>
    <x v="1"/>
    <m/>
    <m/>
    <n v="17682"/>
    <m/>
  </r>
  <r>
    <x v="1"/>
    <x v="32"/>
    <x v="98"/>
    <x v="28"/>
    <x v="8"/>
    <x v="0"/>
    <x v="2"/>
    <x v="5"/>
    <m/>
    <m/>
    <m/>
    <n v="7200"/>
    <n v="0"/>
    <n v="7200"/>
    <x v="3"/>
    <d v="2026-08-13T00:00:00"/>
    <n v="123876.46"/>
    <n v="-116676.46"/>
    <m/>
  </r>
  <r>
    <x v="1"/>
    <x v="33"/>
    <x v="105"/>
    <x v="29"/>
    <x v="8"/>
    <x v="0"/>
    <x v="2"/>
    <x v="8"/>
    <m/>
    <s v="Factura"/>
    <n v="37704"/>
    <n v="-4868"/>
    <n v="7163.76"/>
    <n v="39999.760000000002"/>
    <x v="1"/>
    <m/>
    <m/>
    <n v="39999.760000000002"/>
    <m/>
  </r>
  <r>
    <x v="1"/>
    <x v="33"/>
    <x v="105"/>
    <x v="29"/>
    <x v="8"/>
    <x v="0"/>
    <x v="2"/>
    <x v="8"/>
    <m/>
    <s v="Factura"/>
    <n v="28283"/>
    <n v="-3657"/>
    <n v="5373.77"/>
    <n v="29999.77"/>
    <x v="1"/>
    <m/>
    <m/>
    <n v="29999.77"/>
    <m/>
  </r>
  <r>
    <x v="1"/>
    <x v="33"/>
    <x v="105"/>
    <x v="29"/>
    <x v="8"/>
    <x v="0"/>
    <x v="2"/>
    <x v="20"/>
    <m/>
    <s v="Factura"/>
    <n v="15126"/>
    <m/>
    <n v="2873.94"/>
    <n v="17999.939999999999"/>
    <x v="1"/>
    <m/>
    <m/>
    <n v="17999.939999999999"/>
    <m/>
  </r>
  <r>
    <x v="1"/>
    <x v="33"/>
    <x v="105"/>
    <x v="29"/>
    <x v="8"/>
    <x v="0"/>
    <x v="2"/>
    <x v="4"/>
    <m/>
    <m/>
    <m/>
    <n v="9065"/>
    <n v="0"/>
    <n v="9065"/>
    <x v="1"/>
    <m/>
    <m/>
    <n v="9065"/>
    <m/>
  </r>
  <r>
    <x v="1"/>
    <x v="33"/>
    <x v="105"/>
    <x v="29"/>
    <x v="8"/>
    <x v="0"/>
    <x v="1"/>
    <x v="29"/>
    <m/>
    <m/>
    <m/>
    <n v="22637"/>
    <n v="0"/>
    <n v="22637"/>
    <x v="1"/>
    <m/>
    <m/>
    <n v="22637"/>
    <m/>
  </r>
  <r>
    <x v="1"/>
    <x v="33"/>
    <x v="105"/>
    <x v="29"/>
    <x v="8"/>
    <x v="0"/>
    <x v="2"/>
    <x v="5"/>
    <m/>
    <m/>
    <m/>
    <n v="6480.03"/>
    <n v="0"/>
    <n v="6480.03"/>
    <x v="0"/>
    <d v="2026-08-24T00:00:00"/>
    <n v="126181.5"/>
    <n v="-119701.47"/>
    <m/>
  </r>
  <r>
    <x v="4"/>
    <x v="34"/>
    <x v="104"/>
    <x v="30"/>
    <x v="8"/>
    <x v="0"/>
    <x v="2"/>
    <x v="8"/>
    <m/>
    <s v="Factura"/>
    <n v="28260"/>
    <n v="-3629"/>
    <n v="5369.4"/>
    <n v="30000.400000000001"/>
    <x v="1"/>
    <m/>
    <m/>
    <n v="30000.400000000001"/>
    <m/>
  </r>
  <r>
    <x v="5"/>
    <x v="27"/>
    <x v="106"/>
    <x v="29"/>
    <x v="8"/>
    <x v="0"/>
    <x v="2"/>
    <x v="12"/>
    <m/>
    <m/>
    <m/>
    <n v="11678"/>
    <n v="0"/>
    <n v="11678"/>
    <x v="1"/>
    <m/>
    <m/>
    <n v="11678"/>
    <m/>
  </r>
  <r>
    <x v="5"/>
    <x v="27"/>
    <x v="106"/>
    <x v="29"/>
    <x v="8"/>
    <x v="0"/>
    <x v="2"/>
    <x v="36"/>
    <m/>
    <m/>
    <m/>
    <n v="12838"/>
    <n v="0"/>
    <n v="12838"/>
    <x v="0"/>
    <d v="2026-08-19T00:00:00"/>
    <n v="24516"/>
    <n v="-11678"/>
    <m/>
  </r>
  <r>
    <x v="13"/>
    <x v="4"/>
    <x v="95"/>
    <x v="29"/>
    <x v="8"/>
    <x v="0"/>
    <x v="6"/>
    <x v="12"/>
    <m/>
    <s v="Factura"/>
    <n v="120689"/>
    <m/>
    <n v="22930.91"/>
    <n v="143619.91"/>
    <x v="0"/>
    <d v="2026-08-21T00:00:00"/>
    <n v="529691.91"/>
    <n v="-386072"/>
    <m/>
  </r>
  <r>
    <x v="4"/>
    <x v="34"/>
    <x v="104"/>
    <x v="30"/>
    <x v="8"/>
    <x v="0"/>
    <x v="2"/>
    <x v="4"/>
    <m/>
    <m/>
    <m/>
    <n v="5100"/>
    <n v="0"/>
    <n v="5100"/>
    <x v="3"/>
    <d v="2026-08-20T00:00:00"/>
    <n v="35100.400000000001"/>
    <n v="-30000.400000000001"/>
    <m/>
  </r>
  <r>
    <x v="4"/>
    <x v="35"/>
    <x v="105"/>
    <x v="29"/>
    <x v="8"/>
    <x v="0"/>
    <x v="2"/>
    <x v="24"/>
    <m/>
    <s v="Factura"/>
    <m/>
    <n v="70389"/>
    <n v="0"/>
    <n v="70389"/>
    <x v="3"/>
    <d v="2026-08-20T00:00:00"/>
    <n v="70389"/>
    <n v="0"/>
    <m/>
  </r>
  <r>
    <x v="4"/>
    <x v="36"/>
    <x v="103"/>
    <x v="29"/>
    <x v="8"/>
    <x v="0"/>
    <x v="2"/>
    <x v="24"/>
    <m/>
    <s v="Factura"/>
    <m/>
    <n v="70389"/>
    <n v="0"/>
    <n v="70389"/>
    <x v="3"/>
    <m/>
    <n v="70389"/>
    <n v="0"/>
    <m/>
  </r>
  <r>
    <x v="1"/>
    <x v="28"/>
    <x v="107"/>
    <x v="31"/>
    <x v="8"/>
    <x v="0"/>
    <x v="2"/>
    <x v="8"/>
    <m/>
    <s v="Factura"/>
    <n v="37325"/>
    <n v="-4417"/>
    <n v="7091.75"/>
    <n v="39999.75"/>
    <x v="1"/>
    <m/>
    <m/>
    <n v="39999.75"/>
    <m/>
  </r>
  <r>
    <x v="1"/>
    <x v="28"/>
    <x v="107"/>
    <x v="31"/>
    <x v="8"/>
    <x v="0"/>
    <x v="2"/>
    <x v="3"/>
    <m/>
    <s v="Factura"/>
    <n v="50403"/>
    <m/>
    <n v="9576.57"/>
    <n v="59979.57"/>
    <x v="1"/>
    <m/>
    <m/>
    <n v="59979.57"/>
    <m/>
  </r>
  <r>
    <x v="1"/>
    <x v="28"/>
    <x v="107"/>
    <x v="31"/>
    <x v="8"/>
    <x v="0"/>
    <x v="2"/>
    <x v="8"/>
    <m/>
    <s v="Factura"/>
    <n v="56998"/>
    <n v="-2817"/>
    <n v="10829.62"/>
    <n v="65010.62"/>
    <x v="1"/>
    <m/>
    <m/>
    <n v="65010.62"/>
    <m/>
  </r>
  <r>
    <x v="1"/>
    <x v="28"/>
    <x v="107"/>
    <x v="31"/>
    <x v="8"/>
    <x v="0"/>
    <x v="1"/>
    <x v="29"/>
    <m/>
    <m/>
    <m/>
    <n v="17082"/>
    <n v="0"/>
    <n v="17082"/>
    <x v="1"/>
    <m/>
    <m/>
    <n v="17082"/>
    <m/>
  </r>
  <r>
    <x v="1"/>
    <x v="28"/>
    <x v="107"/>
    <x v="31"/>
    <x v="8"/>
    <x v="0"/>
    <x v="1"/>
    <x v="29"/>
    <m/>
    <m/>
    <m/>
    <n v="10600"/>
    <n v="0"/>
    <n v="10600"/>
    <x v="1"/>
    <m/>
    <m/>
    <n v="10600"/>
    <m/>
  </r>
  <r>
    <x v="1"/>
    <x v="28"/>
    <x v="107"/>
    <x v="31"/>
    <x v="8"/>
    <x v="0"/>
    <x v="2"/>
    <x v="16"/>
    <m/>
    <m/>
    <m/>
    <n v="2420"/>
    <n v="0"/>
    <n v="2420"/>
    <x v="0"/>
    <d v="2026-08-31T00:00:00"/>
    <n v="195092.5"/>
    <n v="-192672.5"/>
    <m/>
  </r>
  <r>
    <x v="1"/>
    <x v="29"/>
    <x v="108"/>
    <x v="32"/>
    <x v="9"/>
    <x v="0"/>
    <x v="2"/>
    <x v="8"/>
    <m/>
    <s v="Factura"/>
    <n v="27928"/>
    <n v="-3234"/>
    <n v="5306.32"/>
    <n v="30000.32"/>
    <x v="1"/>
    <m/>
    <m/>
    <n v="30000.32"/>
    <m/>
  </r>
  <r>
    <x v="1"/>
    <x v="29"/>
    <x v="108"/>
    <x v="32"/>
    <x v="9"/>
    <x v="0"/>
    <x v="2"/>
    <x v="12"/>
    <m/>
    <s v="Factura"/>
    <n v="5605"/>
    <m/>
    <n v="1064.95"/>
    <n v="6669.95"/>
    <x v="1"/>
    <m/>
    <m/>
    <n v="6669.95"/>
    <m/>
  </r>
  <r>
    <x v="1"/>
    <x v="29"/>
    <x v="108"/>
    <x v="32"/>
    <x v="9"/>
    <x v="0"/>
    <x v="2"/>
    <x v="20"/>
    <m/>
    <s v="Factura"/>
    <m/>
    <n v="18000"/>
    <n v="0"/>
    <n v="18000"/>
    <x v="1"/>
    <m/>
    <m/>
    <n v="18000"/>
    <m/>
  </r>
  <r>
    <x v="1"/>
    <x v="29"/>
    <x v="108"/>
    <x v="32"/>
    <x v="9"/>
    <x v="0"/>
    <x v="2"/>
    <x v="4"/>
    <m/>
    <m/>
    <m/>
    <n v="4750"/>
    <n v="0"/>
    <n v="4750"/>
    <x v="1"/>
    <m/>
    <m/>
    <n v="4750"/>
    <m/>
  </r>
  <r>
    <x v="1"/>
    <x v="29"/>
    <x v="108"/>
    <x v="32"/>
    <x v="9"/>
    <x v="0"/>
    <x v="1"/>
    <x v="29"/>
    <m/>
    <m/>
    <m/>
    <n v="19627"/>
    <n v="0"/>
    <n v="19627"/>
    <x v="1"/>
    <m/>
    <m/>
    <n v="19627"/>
    <m/>
  </r>
  <r>
    <x v="1"/>
    <x v="29"/>
    <x v="108"/>
    <x v="32"/>
    <x v="9"/>
    <x v="0"/>
    <x v="2"/>
    <x v="5"/>
    <m/>
    <m/>
    <m/>
    <n v="8700"/>
    <n v="0"/>
    <n v="8700"/>
    <x v="0"/>
    <d v="2026-09-09T00:00:00"/>
    <n v="87746.71"/>
    <n v="-79046.710000000006"/>
    <m/>
  </r>
  <r>
    <x v="1"/>
    <x v="30"/>
    <x v="109"/>
    <x v="16"/>
    <x v="9"/>
    <x v="1"/>
    <x v="0"/>
    <x v="0"/>
    <s v="ojo revisarlo "/>
    <m/>
    <m/>
    <n v="123310"/>
    <n v="0"/>
    <n v="123310"/>
    <x v="0"/>
    <d v="2026-09-23T00:00:00"/>
    <n v="123310"/>
    <n v="0"/>
    <m/>
  </r>
  <r>
    <x v="1"/>
    <x v="31"/>
    <x v="110"/>
    <x v="33"/>
    <x v="9"/>
    <x v="0"/>
    <x v="2"/>
    <x v="8"/>
    <m/>
    <s v="Factura"/>
    <n v="38352"/>
    <n v="-5639"/>
    <n v="7286.88"/>
    <n v="39999.879999999997"/>
    <x v="1"/>
    <m/>
    <m/>
    <n v="39999.879999999997"/>
    <m/>
  </r>
  <r>
    <x v="1"/>
    <x v="31"/>
    <x v="110"/>
    <x v="33"/>
    <x v="9"/>
    <x v="0"/>
    <x v="2"/>
    <x v="8"/>
    <m/>
    <s v="Factura"/>
    <n v="41239"/>
    <n v="-9074"/>
    <n v="7835.41"/>
    <n v="40000.410000000003"/>
    <x v="1"/>
    <m/>
    <m/>
    <n v="40000.410000000003"/>
    <m/>
  </r>
  <r>
    <x v="1"/>
    <x v="31"/>
    <x v="110"/>
    <x v="33"/>
    <x v="9"/>
    <x v="0"/>
    <x v="2"/>
    <x v="5"/>
    <m/>
    <m/>
    <m/>
    <n v="38490"/>
    <n v="0"/>
    <n v="38490"/>
    <x v="1"/>
    <m/>
    <m/>
    <n v="38490"/>
    <m/>
  </r>
  <r>
    <x v="1"/>
    <x v="31"/>
    <x v="110"/>
    <x v="33"/>
    <x v="9"/>
    <x v="0"/>
    <x v="2"/>
    <x v="4"/>
    <m/>
    <m/>
    <m/>
    <n v="10030"/>
    <n v="0"/>
    <n v="10030"/>
    <x v="1"/>
    <m/>
    <m/>
    <n v="10030"/>
    <m/>
  </r>
  <r>
    <x v="1"/>
    <x v="31"/>
    <x v="110"/>
    <x v="33"/>
    <x v="9"/>
    <x v="0"/>
    <x v="2"/>
    <x v="20"/>
    <m/>
    <m/>
    <m/>
    <n v="8000"/>
    <n v="0"/>
    <n v="8000"/>
    <x v="0"/>
    <d v="2026-10-01T00:00:00"/>
    <n v="136520.29"/>
    <n v="-128520.29000000001"/>
    <m/>
  </r>
  <r>
    <x v="1"/>
    <x v="34"/>
    <x v="111"/>
    <x v="0"/>
    <x v="10"/>
    <x v="0"/>
    <x v="2"/>
    <x v="8"/>
    <m/>
    <s v="Factura"/>
    <n v="28265"/>
    <n v="-3635"/>
    <n v="5370.35"/>
    <n v="30000.35"/>
    <x v="1"/>
    <m/>
    <m/>
    <n v="30000.35"/>
    <m/>
  </r>
  <r>
    <x v="1"/>
    <x v="34"/>
    <x v="111"/>
    <x v="0"/>
    <x v="10"/>
    <x v="0"/>
    <x v="2"/>
    <x v="8"/>
    <m/>
    <s v="Factura"/>
    <n v="28604"/>
    <n v="-4039"/>
    <n v="5434.76"/>
    <n v="29999.760000000002"/>
    <x v="1"/>
    <m/>
    <m/>
    <n v="29999.760000000002"/>
    <m/>
  </r>
  <r>
    <x v="1"/>
    <x v="34"/>
    <x v="111"/>
    <x v="0"/>
    <x v="10"/>
    <x v="0"/>
    <x v="1"/>
    <x v="29"/>
    <m/>
    <s v="Factura"/>
    <n v="27049"/>
    <n v="2"/>
    <n v="5139.3100000000004"/>
    <n v="32190.31"/>
    <x v="1"/>
    <m/>
    <m/>
    <n v="32190.31"/>
    <m/>
  </r>
  <r>
    <x v="1"/>
    <x v="34"/>
    <x v="111"/>
    <x v="0"/>
    <x v="10"/>
    <x v="0"/>
    <x v="2"/>
    <x v="4"/>
    <m/>
    <m/>
    <m/>
    <n v="2420"/>
    <n v="0"/>
    <n v="2420"/>
    <x v="1"/>
    <m/>
    <m/>
    <n v="2420"/>
    <m/>
  </r>
  <r>
    <x v="1"/>
    <x v="34"/>
    <x v="111"/>
    <x v="0"/>
    <x v="10"/>
    <x v="0"/>
    <x v="2"/>
    <x v="5"/>
    <m/>
    <m/>
    <m/>
    <n v="24690"/>
    <n v="0"/>
    <n v="24690"/>
    <x v="0"/>
    <d v="2026-10-09T00:00:00"/>
    <n v="136520"/>
    <n v="-111830"/>
    <m/>
  </r>
  <r>
    <x v="18"/>
    <x v="0"/>
    <x v="49"/>
    <x v="16"/>
    <x v="5"/>
    <x v="1"/>
    <x v="0"/>
    <x v="0"/>
    <m/>
    <m/>
    <m/>
    <n v="107130"/>
    <n v="0"/>
    <n v="107130"/>
    <x v="1"/>
    <m/>
    <m/>
    <n v="10713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  <r>
    <x v="18"/>
    <x v="0"/>
    <x v="49"/>
    <x v="16"/>
    <x v="5"/>
    <x v="1"/>
    <x v="0"/>
    <x v="0"/>
    <m/>
    <m/>
    <m/>
    <m/>
    <n v="0"/>
    <n v="0"/>
    <x v="1"/>
    <m/>
    <m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x v="0"/>
    <n v="1348270"/>
    <n v="0"/>
    <n v="0"/>
    <n v="1348270"/>
    <n v="597450"/>
    <n v="0"/>
    <n v="0"/>
    <n v="597450"/>
    <n v="0"/>
    <n v="0"/>
    <n v="0"/>
    <n v="0"/>
    <n v="195200"/>
    <n v="195200"/>
    <n v="0"/>
    <n v="390400"/>
    <n v="2336120"/>
  </r>
  <r>
    <x v="0"/>
    <x v="1"/>
    <n v="0"/>
    <n v="629465"/>
    <n v="0"/>
    <n v="629465"/>
    <n v="0"/>
    <n v="0"/>
    <n v="0"/>
    <n v="0"/>
    <n v="0"/>
    <n v="0"/>
    <n v="0"/>
    <n v="0"/>
    <n v="0"/>
    <n v="0"/>
    <n v="0"/>
    <n v="0"/>
    <n v="629465"/>
  </r>
  <r>
    <x v="0"/>
    <x v="2"/>
    <n v="277921"/>
    <n v="1276676"/>
    <n v="340030"/>
    <n v="1894627"/>
    <n v="533868"/>
    <n v="664983"/>
    <n v="1028979"/>
    <n v="2227830"/>
    <n v="534794"/>
    <n v="534794"/>
    <n v="274377"/>
    <n v="1069588"/>
    <n v="594280"/>
    <n v="1678135"/>
    <n v="551129"/>
    <n v="2823544"/>
    <n v="8015589"/>
  </r>
  <r>
    <x v="0"/>
    <x v="3"/>
    <n v="59500"/>
    <n v="53550"/>
    <n v="47600"/>
    <n v="160650"/>
    <n v="77350"/>
    <n v="65450"/>
    <n v="65450"/>
    <n v="208250"/>
    <n v="0"/>
    <n v="0"/>
    <n v="39000"/>
    <n v="0"/>
    <n v="66000"/>
    <n v="0"/>
    <n v="81000"/>
    <n v="147000"/>
    <n v="515900"/>
  </r>
  <r>
    <x v="0"/>
    <x v="4"/>
    <n v="407186"/>
    <n v="0"/>
    <n v="0"/>
    <n v="407186"/>
    <n v="243950"/>
    <n v="21420"/>
    <n v="0"/>
    <n v="265370"/>
    <n v="0"/>
    <n v="0"/>
    <n v="0"/>
    <n v="0"/>
    <n v="537261"/>
    <n v="1078794"/>
    <n v="0"/>
    <n v="1616055"/>
    <n v="2288611"/>
  </r>
  <r>
    <x v="0"/>
    <x v="5"/>
    <n v="311997"/>
    <n v="110535"/>
    <n v="105435"/>
    <n v="527967"/>
    <n v="114124"/>
    <n v="114906"/>
    <n v="116424"/>
    <n v="345454"/>
    <n v="43507"/>
    <n v="43507"/>
    <n v="20316"/>
    <n v="87014"/>
    <n v="21605"/>
    <n v="20316"/>
    <n v="20847"/>
    <n v="62768"/>
    <n v="1023203"/>
  </r>
  <r>
    <x v="0"/>
    <x v="6"/>
    <n v="188141"/>
    <n v="179270"/>
    <n v="167370"/>
    <n v="534781"/>
    <n v="201223"/>
    <n v="193867"/>
    <n v="194477"/>
    <n v="589567"/>
    <n v="190419"/>
    <n v="190419"/>
    <n v="142536"/>
    <n v="380838"/>
    <n v="162251"/>
    <n v="153182"/>
    <n v="176228"/>
    <n v="491661"/>
    <n v="1996847"/>
  </r>
  <r>
    <x v="0"/>
    <x v="7"/>
    <n v="2653425"/>
    <n v="2709030"/>
    <n v="2677039"/>
    <n v="8039494"/>
    <n v="2692199"/>
    <n v="2725468"/>
    <n v="2799623"/>
    <n v="8217290"/>
    <n v="2849246"/>
    <n v="2849246"/>
    <n v="2770909"/>
    <n v="5698492"/>
    <n v="395679"/>
    <n v="30000"/>
    <n v="30000"/>
    <n v="455679"/>
    <n v="22410955"/>
  </r>
  <r>
    <x v="0"/>
    <x v="8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9"/>
    <n v="193730.66666666666"/>
    <n v="193894.33333333334"/>
    <n v="194215.33333333334"/>
    <n v="581840.33333333337"/>
    <n v="194373.33333333334"/>
    <n v="194775.33333333334"/>
    <n v="292807.5"/>
    <n v="681956.16666666674"/>
    <n v="302858"/>
    <n v="302858"/>
    <n v="295995.5"/>
    <n v="605716"/>
    <n v="303625"/>
    <n v="304150"/>
    <n v="318760"/>
    <n v="926535"/>
    <n v="2796047.5"/>
  </r>
  <r>
    <x v="0"/>
    <x v="10"/>
    <n v="273352.88888888893"/>
    <n v="136676.44444444447"/>
    <n v="137786.33333333334"/>
    <n v="547815.66666666674"/>
    <n v="130608.33333333333"/>
    <n v="130182.66666666667"/>
    <n v="205114.5"/>
    <n v="465905.5"/>
    <n v="204947.5"/>
    <n v="204947.5"/>
    <n v="209641"/>
    <n v="409895"/>
    <n v="215046.5"/>
    <n v="216101"/>
    <n v="216417.5"/>
    <n v="647565"/>
    <n v="2071181.1666666667"/>
  </r>
  <r>
    <x v="0"/>
    <x v="11"/>
    <n v="13700"/>
    <n v="1877"/>
    <n v="1590"/>
    <n v="17167"/>
    <n v="2353.3333333333335"/>
    <n v="1860"/>
    <n v="3915"/>
    <n v="8128.3333333333339"/>
    <n v="3850"/>
    <n v="3850"/>
    <n v="2970"/>
    <n v="7700"/>
    <n v="3469"/>
    <n v="3555"/>
    <n v="3540"/>
    <n v="10564"/>
    <n v="43559.333333333336"/>
  </r>
  <r>
    <x v="0"/>
    <x v="12"/>
    <n v="0"/>
    <n v="53616.666666666664"/>
    <n v="7544.333333333333"/>
    <n v="61161"/>
    <n v="14626.666666666666"/>
    <n v="44852.333333333336"/>
    <n v="67278.5"/>
    <n v="126757.5"/>
    <n v="130893.5"/>
    <n v="130893.5"/>
    <n v="136355.5"/>
    <n v="261787"/>
    <n v="66942"/>
    <n v="0"/>
    <n v="44986.5"/>
    <n v="111928.5"/>
    <n v="561634"/>
  </r>
  <r>
    <x v="0"/>
    <x v="13"/>
    <n v="2760351"/>
    <n v="2779667"/>
    <n v="2809697"/>
    <n v="8349715"/>
    <n v="2824359"/>
    <n v="2867625"/>
    <n v="2934207"/>
    <n v="8626191"/>
    <n v="3020675"/>
    <n v="3020675"/>
    <n v="3139619"/>
    <n v="6041350"/>
    <n v="3164986"/>
    <n v="3193887"/>
    <n v="3211696"/>
    <n v="9570569"/>
    <n v="32587825"/>
  </r>
  <r>
    <x v="0"/>
    <x v="14"/>
    <n v="1269898"/>
    <n v="0"/>
    <n v="418032"/>
    <n v="1687930"/>
    <n v="395737"/>
    <n v="397552"/>
    <n v="417592"/>
    <n v="1210881"/>
    <n v="417251"/>
    <n v="417251"/>
    <n v="426802"/>
    <n v="834502"/>
    <n v="437814"/>
    <n v="439949"/>
    <n v="440603"/>
    <n v="1318366"/>
    <n v="5051679"/>
  </r>
  <r>
    <x v="0"/>
    <x v="15"/>
    <n v="0"/>
    <n v="0"/>
    <n v="0"/>
    <n v="0"/>
    <n v="38020"/>
    <n v="41400"/>
    <n v="5130"/>
    <n v="84550"/>
    <n v="12000"/>
    <n v="12000"/>
    <n v="17680"/>
    <n v="24000"/>
    <n v="14910"/>
    <n v="16510"/>
    <n v="16430"/>
    <n v="47850"/>
    <n v="156400"/>
  </r>
  <r>
    <x v="0"/>
    <x v="16"/>
    <n v="0"/>
    <n v="0"/>
    <n v="0"/>
    <n v="0"/>
    <n v="56608"/>
    <n v="8021"/>
    <n v="8021"/>
    <n v="72650"/>
    <n v="317081"/>
    <n v="317081"/>
    <n v="923373"/>
    <n v="634162"/>
    <n v="170594"/>
    <n v="84175"/>
    <n v="85366"/>
    <n v="340135"/>
    <n v="1046947"/>
  </r>
  <r>
    <x v="0"/>
    <x v="17"/>
    <n v="0"/>
    <n v="0"/>
    <n v="633329.4"/>
    <n v="633329.4"/>
    <n v="736743"/>
    <n v="745140"/>
    <n v="0"/>
    <n v="1481883"/>
    <n v="0"/>
    <n v="0"/>
    <n v="0"/>
    <n v="0"/>
    <n v="0"/>
    <n v="0"/>
    <n v="0"/>
    <n v="0"/>
    <n v="2115212.4"/>
  </r>
  <r>
    <x v="0"/>
    <x v="18"/>
    <n v="0"/>
    <n v="0"/>
    <n v="0"/>
    <n v="0"/>
    <n v="2292"/>
    <n v="3071"/>
    <n v="0"/>
    <n v="5363"/>
    <n v="0"/>
    <n v="0"/>
    <n v="0"/>
    <n v="0"/>
    <n v="0"/>
    <n v="0"/>
    <n v="0"/>
    <n v="0"/>
    <n v="5363"/>
  </r>
  <r>
    <x v="0"/>
    <x v="19"/>
    <n v="0"/>
    <n v="0"/>
    <n v="0"/>
    <n v="0"/>
    <n v="0"/>
    <n v="0"/>
    <n v="1056300"/>
    <n v="1056300"/>
    <n v="1141029"/>
    <n v="1141029"/>
    <n v="1164005"/>
    <n v="2282058"/>
    <n v="1179272"/>
    <n v="1190617"/>
    <n v="1197998"/>
    <n v="3567887"/>
    <n v="6906245"/>
  </r>
  <r>
    <x v="0"/>
    <x v="20"/>
    <n v="0"/>
    <n v="0"/>
    <n v="0"/>
    <n v="0"/>
    <n v="0"/>
    <n v="0"/>
    <n v="1540"/>
    <n v="1540"/>
    <n v="15605"/>
    <n v="15605"/>
    <n v="16416"/>
    <n v="31210"/>
    <n v="17405"/>
    <n v="14282"/>
    <n v="14832"/>
    <n v="46519"/>
    <n v="79269"/>
  </r>
  <r>
    <x v="0"/>
    <x v="21"/>
    <n v="0"/>
    <n v="0"/>
    <n v="0"/>
    <n v="0"/>
    <n v="0"/>
    <n v="0"/>
    <n v="357000"/>
    <n v="357000"/>
    <n v="357000"/>
    <n v="357000"/>
    <n v="1510625"/>
    <n v="714000"/>
    <n v="297500"/>
    <n v="297500"/>
    <n v="297500"/>
    <n v="892500"/>
    <n v="1963500"/>
  </r>
  <r>
    <x v="0"/>
    <x v="22"/>
    <n v="0"/>
    <n v="178024"/>
    <n v="626224"/>
    <n v="804248"/>
    <n v="0"/>
    <n v="392700"/>
    <n v="0"/>
    <n v="392700"/>
    <n v="0"/>
    <n v="0"/>
    <n v="0"/>
    <n v="0"/>
    <n v="0"/>
    <n v="0"/>
    <n v="2455050"/>
    <n v="2455050"/>
    <n v="3651998"/>
  </r>
  <r>
    <x v="0"/>
    <x v="23"/>
    <n v="0"/>
    <n v="0"/>
    <n v="462315"/>
    <n v="462315"/>
    <n v="0"/>
    <n v="7864800"/>
    <n v="0"/>
    <n v="7864800"/>
    <n v="0"/>
    <n v="0"/>
    <n v="7717406"/>
    <n v="0"/>
    <n v="0"/>
    <n v="0"/>
    <n v="0"/>
    <n v="0"/>
    <n v="8327115"/>
  </r>
  <r>
    <x v="0"/>
    <x v="24"/>
    <n v="88965"/>
    <n v="0"/>
    <n v="0"/>
    <n v="88965"/>
    <n v="0"/>
    <n v="112015"/>
    <n v="114741"/>
    <n v="226756"/>
    <n v="116091"/>
    <n v="116091"/>
    <n v="421146"/>
    <n v="232182"/>
    <n v="306634"/>
    <n v="1795995"/>
    <n v="190425"/>
    <n v="2293054"/>
    <n v="2840957"/>
  </r>
  <r>
    <x v="0"/>
    <x v="25"/>
    <n v="0"/>
    <n v="566372"/>
    <n v="0"/>
    <n v="566372"/>
    <n v="433048"/>
    <n v="0"/>
    <n v="0"/>
    <n v="433048"/>
    <n v="2812691"/>
    <n v="2812691"/>
    <n v="0"/>
    <n v="5625382"/>
    <n v="672665"/>
    <n v="0"/>
    <n v="0"/>
    <n v="672665"/>
    <n v="7297467"/>
  </r>
  <r>
    <x v="0"/>
    <x v="26"/>
    <n v="1109940"/>
    <n v="1011021"/>
    <n v="2413799"/>
    <n v="4534760"/>
    <n v="3122757"/>
    <n v="413024"/>
    <n v="2534378"/>
    <n v="6070159"/>
    <n v="1863699"/>
    <n v="1863699"/>
    <n v="2167975"/>
    <n v="3727398"/>
    <n v="1167414"/>
    <n v="365216"/>
    <n v="1875861"/>
    <n v="3408491"/>
    <n v="17740808"/>
  </r>
  <r>
    <x v="1"/>
    <x v="27"/>
    <n v="158063"/>
    <n v="157696"/>
    <n v="158639"/>
    <n v="474398"/>
    <n v="160882"/>
    <n v="163398"/>
    <n v="3800097"/>
    <n v="4124377"/>
    <n v="6684486"/>
    <n v="3485161"/>
    <n v="3528598"/>
    <n v="10169647"/>
    <n v="3563836"/>
    <n v="3585615"/>
    <n v="2875555"/>
    <n v="10025006"/>
    <n v="24793428"/>
  </r>
  <r>
    <x v="1"/>
    <x v="28"/>
    <n v="368933"/>
    <n v="256841"/>
    <n v="289311"/>
    <n v="915085"/>
    <n v="315043"/>
    <n v="302947"/>
    <n v="232995"/>
    <n v="850985"/>
    <n v="301760"/>
    <n v="350557"/>
    <n v="226047"/>
    <n v="652317"/>
    <n v="219762"/>
    <n v="230248"/>
    <n v="300510"/>
    <n v="750520"/>
    <n v="3168907"/>
  </r>
  <r>
    <x v="1"/>
    <x v="29"/>
    <n v="243416"/>
    <n v="273265"/>
    <n v="225388"/>
    <n v="742069"/>
    <n v="220933"/>
    <n v="284989"/>
    <n v="258713"/>
    <n v="764635"/>
    <n v="188840"/>
    <n v="224540"/>
    <n v="179537"/>
    <n v="413380"/>
    <n v="154424"/>
    <n v="178099"/>
    <n v="163150"/>
    <n v="495673"/>
    <n v="2415757"/>
  </r>
  <r>
    <x v="1"/>
    <x v="30"/>
    <n v="220634"/>
    <n v="220414"/>
    <n v="186586"/>
    <n v="627634"/>
    <n v="207483"/>
    <n v="205869"/>
    <n v="284949"/>
    <n v="698301"/>
    <n v="258597"/>
    <n v="205056"/>
    <n v="255368"/>
    <n v="463653"/>
    <n v="204323"/>
    <n v="200294"/>
    <n v="219168"/>
    <n v="623785"/>
    <n v="2413373"/>
  </r>
  <r>
    <x v="1"/>
    <x v="31"/>
    <n v="220077"/>
    <n v="141195"/>
    <n v="207253"/>
    <n v="568525"/>
    <n v="187634"/>
    <n v="179719"/>
    <n v="194953"/>
    <n v="562306"/>
    <n v="192995"/>
    <n v="211014"/>
    <n v="211581"/>
    <n v="404009"/>
    <n v="110366"/>
    <n v="106928"/>
    <n v="216313"/>
    <n v="433607"/>
    <n v="1968447"/>
  </r>
  <r>
    <x v="1"/>
    <x v="32"/>
    <n v="27323"/>
    <n v="11016"/>
    <n v="22200"/>
    <n v="60539"/>
    <n v="47795"/>
    <n v="30000"/>
    <n v="27700"/>
    <n v="105495"/>
    <n v="13334"/>
    <n v="35128"/>
    <n v="14369"/>
    <n v="48462"/>
    <n v="24234"/>
    <n v="20000"/>
    <n v="45000"/>
    <n v="89234"/>
    <n v="303730"/>
  </r>
  <r>
    <x v="1"/>
    <x v="33"/>
    <n v="0"/>
    <n v="0"/>
    <n v="0"/>
    <n v="0"/>
    <n v="0"/>
    <n v="0"/>
    <n v="0"/>
    <n v="0"/>
    <n v="0"/>
    <n v="0"/>
    <n v="0"/>
    <n v="0"/>
    <n v="0"/>
    <n v="55300"/>
    <n v="92521"/>
    <n v="147821"/>
    <n v="147821"/>
  </r>
  <r>
    <x v="1"/>
    <x v="34"/>
    <m/>
    <m/>
    <m/>
    <n v="0"/>
    <m/>
    <m/>
    <m/>
    <n v="0"/>
    <m/>
    <n v="0"/>
    <n v="77595"/>
    <n v="0"/>
    <n v="27296"/>
    <n v="35774"/>
    <n v="37086"/>
    <n v="100156"/>
    <n v="100156"/>
  </r>
  <r>
    <x v="1"/>
    <x v="35"/>
    <n v="169174"/>
    <n v="33679"/>
    <n v="57775"/>
    <n v="260628"/>
    <n v="69184"/>
    <n v="66288"/>
    <n v="50289"/>
    <n v="185761"/>
    <n v="42255"/>
    <n v="43572"/>
    <n v="73154"/>
    <n v="85827"/>
    <n v="83016"/>
    <n v="70776"/>
    <n v="66346"/>
    <n v="220138"/>
    <n v="752354"/>
  </r>
  <r>
    <x v="1"/>
    <x v="36"/>
    <n v="1007340"/>
    <n v="1240705"/>
    <n v="936130"/>
    <n v="3184175"/>
    <n v="2010262"/>
    <n v="1768555"/>
    <n v="1481393"/>
    <n v="5260210"/>
    <n v="2426211"/>
    <n v="1454153"/>
    <n v="1869396"/>
    <n v="3880364"/>
    <n v="1500065"/>
    <n v="1303744"/>
    <n v="1525703"/>
    <n v="4329512"/>
    <n v="16654261"/>
  </r>
  <r>
    <x v="1"/>
    <x v="37"/>
    <n v="0"/>
    <n v="0"/>
    <n v="0"/>
    <n v="0"/>
    <n v="0"/>
    <n v="0"/>
    <n v="0"/>
    <n v="0"/>
    <n v="1862337"/>
    <n v="946573"/>
    <n v="0"/>
    <n v="2808910"/>
    <n v="0"/>
    <n v="0"/>
    <n v="0"/>
    <n v="0"/>
    <n v="2808910"/>
  </r>
  <r>
    <x v="1"/>
    <x v="38"/>
    <n v="1510000"/>
    <n v="0"/>
    <n v="435000"/>
    <n v="1945000"/>
    <n v="1410000"/>
    <n v="431000"/>
    <n v="1860000"/>
    <n v="3701000"/>
    <n v="648000"/>
    <n v="897000"/>
    <n v="72000"/>
    <n v="1545000"/>
    <n v="392000"/>
    <n v="196000"/>
    <n v="332000"/>
    <n v="920000"/>
    <n v="8111000"/>
  </r>
  <r>
    <x v="1"/>
    <x v="39"/>
    <n v="0"/>
    <n v="0"/>
    <n v="0"/>
    <n v="0"/>
    <n v="0"/>
    <n v="0"/>
    <n v="0"/>
    <n v="0"/>
    <n v="5596"/>
    <n v="3279"/>
    <n v="0"/>
    <n v="8875"/>
    <n v="523852"/>
    <n v="798800"/>
    <n v="0"/>
    <n v="1322652"/>
    <n v="1331527"/>
  </r>
  <r>
    <x v="1"/>
    <x v="40"/>
    <n v="0"/>
    <n v="468190"/>
    <n v="0"/>
    <n v="468190"/>
    <n v="0"/>
    <n v="0"/>
    <n v="0"/>
    <n v="0"/>
    <n v="0"/>
    <n v="0"/>
    <n v="2823376"/>
    <n v="0"/>
    <n v="0"/>
    <n v="0"/>
    <n v="767992"/>
    <n v="767992"/>
    <n v="1236182"/>
  </r>
  <r>
    <x v="1"/>
    <x v="41"/>
    <n v="0"/>
    <n v="0"/>
    <n v="0"/>
    <n v="0"/>
    <n v="0"/>
    <n v="0"/>
    <n v="720000"/>
    <n v="720000"/>
    <n v="0"/>
    <n v="387973"/>
    <n v="0"/>
    <n v="387973"/>
    <n v="0"/>
    <n v="0"/>
    <n v="0"/>
    <n v="0"/>
    <n v="1107973"/>
  </r>
  <r>
    <x v="1"/>
    <x v="42"/>
    <n v="270000"/>
    <n v="0"/>
    <n v="0"/>
    <n v="270000"/>
    <n v="0"/>
    <n v="0"/>
    <n v="0"/>
    <n v="0"/>
    <n v="235500"/>
    <n v="0"/>
    <n v="0"/>
    <n v="235500"/>
    <n v="320000"/>
    <n v="63000"/>
    <n v="2745709"/>
    <n v="3128709"/>
    <n v="3634209"/>
  </r>
  <r>
    <x v="1"/>
    <x v="43"/>
    <n v="0"/>
    <n v="0"/>
    <n v="4229855"/>
    <n v="4229855"/>
    <n v="3238418"/>
    <n v="3604750"/>
    <n v="4287600"/>
    <n v="11130768"/>
    <n v="4058840"/>
    <n v="3813975"/>
    <n v="8182501"/>
    <n v="7872815"/>
    <n v="4147244"/>
    <n v="4177416"/>
    <n v="4210614"/>
    <n v="12535274"/>
    <n v="35768712"/>
  </r>
  <r>
    <x v="1"/>
    <x v="44"/>
    <n v="0"/>
    <n v="0"/>
    <n v="220550"/>
    <n v="220550"/>
    <n v="516841"/>
    <n v="0"/>
    <n v="0"/>
    <n v="516841"/>
    <n v="0"/>
    <n v="0"/>
    <n v="0"/>
    <n v="0"/>
    <n v="0"/>
    <n v="0"/>
    <n v="0"/>
    <n v="0"/>
    <n v="737391"/>
  </r>
  <r>
    <x v="1"/>
    <x v="45"/>
    <n v="0"/>
    <n v="0"/>
    <n v="0"/>
    <n v="0"/>
    <n v="0"/>
    <n v="0"/>
    <n v="0"/>
    <n v="0"/>
    <n v="0"/>
    <n v="0"/>
    <n v="0"/>
    <n v="0"/>
    <n v="0"/>
    <n v="0"/>
    <n v="720000"/>
    <n v="720000"/>
    <n v="720000"/>
  </r>
  <r>
    <x v="1"/>
    <x v="46"/>
    <n v="0"/>
    <n v="0"/>
    <n v="0"/>
    <n v="0"/>
    <n v="0"/>
    <n v="0"/>
    <n v="0"/>
    <n v="0"/>
    <n v="0"/>
    <n v="0"/>
    <n v="298902"/>
    <n v="0"/>
    <n v="276306"/>
    <n v="143263"/>
    <n v="283400"/>
    <n v="702969"/>
    <n v="702969"/>
  </r>
  <r>
    <x v="1"/>
    <x v="47"/>
    <n v="920897"/>
    <n v="1646602"/>
    <n v="1963975"/>
    <n v="4531474"/>
    <n v="1526732"/>
    <n v="1397759"/>
    <n v="1069671"/>
    <n v="3994162"/>
    <n v="984506"/>
    <n v="1446400"/>
    <n v="1246871"/>
    <n v="2430906"/>
    <n v="990185"/>
    <n v="1358832"/>
    <n v="1795648"/>
    <n v="4144665"/>
    <n v="15101207"/>
  </r>
  <r>
    <x v="2"/>
    <x v="48"/>
    <n v="40000"/>
    <n v="40000"/>
    <n v="40000"/>
    <n v="120000"/>
    <n v="40000"/>
    <n v="40000"/>
    <n v="0"/>
    <n v="80000"/>
    <n v="0"/>
    <n v="0"/>
    <n v="0"/>
    <n v="0"/>
    <n v="0"/>
    <n v="0"/>
    <n v="0"/>
    <n v="0"/>
    <n v="200000"/>
  </r>
  <r>
    <x v="2"/>
    <x v="49"/>
    <n v="3782302"/>
    <n v="0"/>
    <n v="3202173"/>
    <n v="6984475"/>
    <n v="3259220"/>
    <n v="3205949"/>
    <n v="3301829"/>
    <n v="9766998"/>
    <n v="3531263"/>
    <n v="2566547"/>
    <n v="1790335"/>
    <n v="6097810"/>
    <n v="7616775"/>
    <n v="57305"/>
    <n v="0"/>
    <n v="7674080"/>
    <n v="30523363"/>
  </r>
  <r>
    <x v="2"/>
    <x v="50"/>
    <n v="0"/>
    <n v="0"/>
    <n v="27316"/>
    <n v="27316"/>
    <n v="45687"/>
    <n v="0"/>
    <n v="0"/>
    <n v="45687"/>
    <n v="109121"/>
    <n v="0"/>
    <n v="0"/>
    <n v="109121"/>
    <n v="0"/>
    <n v="0"/>
    <n v="0"/>
    <n v="0"/>
    <n v="182124"/>
  </r>
  <r>
    <x v="2"/>
    <x v="51"/>
    <n v="0"/>
    <n v="93415"/>
    <n v="0"/>
    <n v="93415"/>
    <n v="0"/>
    <n v="0"/>
    <n v="0"/>
    <n v="0"/>
    <n v="0"/>
    <n v="0"/>
    <n v="0"/>
    <n v="0"/>
    <n v="0"/>
    <n v="0"/>
    <n v="0"/>
    <n v="0"/>
    <n v="93415"/>
  </r>
  <r>
    <x v="2"/>
    <x v="52"/>
    <n v="0"/>
    <n v="0"/>
    <n v="0"/>
    <n v="0"/>
    <n v="231157.5"/>
    <n v="919932"/>
    <n v="0"/>
    <n v="1151089.5"/>
    <n v="0"/>
    <n v="0"/>
    <n v="0"/>
    <n v="0"/>
    <n v="0"/>
    <n v="0"/>
    <n v="0"/>
    <n v="0"/>
    <n v="1151089.5"/>
  </r>
  <r>
    <x v="2"/>
    <x v="53"/>
    <n v="709240"/>
    <n v="673540"/>
    <n v="661640"/>
    <n v="2044420"/>
    <n v="1708840"/>
    <n v="1708840"/>
    <n v="1708840"/>
    <n v="5126520"/>
    <n v="1708840"/>
    <n v="427210"/>
    <n v="0"/>
    <n v="2136050"/>
    <n v="0"/>
    <n v="0"/>
    <n v="0"/>
    <n v="0"/>
    <n v="9306990"/>
  </r>
  <r>
    <x v="2"/>
    <x v="54"/>
    <n v="0"/>
    <n v="0"/>
    <n v="0"/>
    <n v="0"/>
    <n v="0"/>
    <n v="0"/>
    <n v="497236"/>
    <n v="497236"/>
    <n v="10000"/>
    <n v="0"/>
    <n v="10000"/>
    <n v="10000"/>
    <n v="0"/>
    <n v="30000"/>
    <n v="0"/>
    <n v="30000"/>
    <n v="537236"/>
  </r>
  <r>
    <x v="2"/>
    <x v="55"/>
    <n v="56287"/>
    <n v="0"/>
    <n v="0"/>
    <n v="56287"/>
    <n v="0"/>
    <n v="0"/>
    <n v="0"/>
    <n v="0"/>
    <n v="0"/>
    <n v="98175"/>
    <n v="0"/>
    <n v="98175"/>
    <n v="0"/>
    <n v="0"/>
    <n v="0"/>
    <n v="0"/>
    <n v="154462"/>
  </r>
  <r>
    <x v="2"/>
    <x v="56"/>
    <n v="0"/>
    <n v="100000"/>
    <n v="5950"/>
    <n v="105950"/>
    <n v="119000"/>
    <n v="0"/>
    <n v="0"/>
    <n v="119000"/>
    <n v="0"/>
    <n v="0"/>
    <n v="0"/>
    <n v="0"/>
    <n v="0"/>
    <n v="0"/>
    <n v="0"/>
    <n v="0"/>
    <n v="224950"/>
  </r>
  <r>
    <x v="2"/>
    <x v="57"/>
    <n v="227920"/>
    <n v="0"/>
    <n v="170940"/>
    <n v="398860"/>
    <n v="0"/>
    <n v="0"/>
    <n v="0"/>
    <n v="0"/>
    <n v="0"/>
    <n v="0"/>
    <n v="0"/>
    <n v="0"/>
    <n v="0"/>
    <n v="0"/>
    <n v="0"/>
    <n v="0"/>
    <n v="398860"/>
  </r>
  <r>
    <x v="2"/>
    <x v="58"/>
    <n v="456622.88"/>
    <n v="183301.80000000002"/>
    <n v="172088"/>
    <n v="812012.68"/>
    <n v="255119.58000000002"/>
    <n v="796835"/>
    <n v="171412"/>
    <n v="1223366.58"/>
    <n v="196022"/>
    <n v="295765"/>
    <n v="173275"/>
    <n v="491787"/>
    <n v="136735"/>
    <n v="56907"/>
    <n v="7000"/>
    <n v="200642"/>
    <n v="2727808.2600000002"/>
  </r>
  <r>
    <x v="2"/>
    <x v="59"/>
    <n v="2380418"/>
    <n v="2218308"/>
    <n v="2222985"/>
    <n v="6821711"/>
    <n v="2180332"/>
    <n v="2271037"/>
    <n v="2286784"/>
    <n v="6738153"/>
    <n v="2398426"/>
    <n v="2407447"/>
    <n v="2482829"/>
    <n v="4805873"/>
    <n v="2306563"/>
    <n v="2328995"/>
    <n v="2392008"/>
    <n v="7027566"/>
    <n v="25393303"/>
  </r>
  <r>
    <x v="2"/>
    <x v="60"/>
    <n v="42572"/>
    <n v="32601"/>
    <n v="32595"/>
    <n v="107768"/>
    <n v="32729"/>
    <n v="33189"/>
    <n v="37240"/>
    <n v="103158"/>
    <n v="42474"/>
    <n v="40797"/>
    <n v="42666"/>
    <n v="83271"/>
    <n v="41997"/>
    <n v="43443"/>
    <n v="42538"/>
    <n v="127978"/>
    <n v="422175"/>
  </r>
  <r>
    <x v="2"/>
    <x v="61"/>
    <n v="22740"/>
    <n v="22740"/>
    <n v="22740"/>
    <n v="68220"/>
    <n v="22740"/>
    <n v="25715"/>
    <n v="16790"/>
    <n v="65245"/>
    <n v="16790"/>
    <n v="25715"/>
    <n v="25790"/>
    <n v="42505"/>
    <n v="19790"/>
    <n v="19790"/>
    <n v="16790"/>
    <n v="56370"/>
    <n v="232340"/>
  </r>
  <r>
    <x v="2"/>
    <x v="62"/>
    <n v="480783.55555555562"/>
    <n v="386064.4444444445"/>
    <n v="341136"/>
    <n v="1207984"/>
    <n v="341961.66666666669"/>
    <n v="371670.33333333331"/>
    <n v="0"/>
    <n v="713632"/>
    <n v="0"/>
    <n v="0"/>
    <n v="0"/>
    <n v="0"/>
    <n v="0"/>
    <n v="0"/>
    <n v="0"/>
    <n v="0"/>
    <n v="1921616"/>
  </r>
  <r>
    <x v="2"/>
    <x v="63"/>
    <m/>
    <m/>
    <m/>
    <n v="0"/>
    <m/>
    <n v="0"/>
    <n v="760808"/>
    <n v="760808"/>
    <n v="860785"/>
    <n v="794686"/>
    <n v="810958"/>
    <n v="1655471"/>
    <n v="814197"/>
    <n v="825224"/>
    <n v="829346"/>
    <n v="2468767"/>
    <n v="4885046"/>
  </r>
  <r>
    <x v="2"/>
    <x v="18"/>
    <m/>
    <m/>
    <m/>
    <n v="0"/>
    <m/>
    <n v="0"/>
    <n v="1511"/>
    <n v="1511"/>
    <n v="19314"/>
    <n v="40158"/>
    <n v="20903"/>
    <n v="59472"/>
    <n v="16212"/>
    <n v="10209"/>
    <n v="2817"/>
    <n v="29238"/>
    <n v="90221"/>
  </r>
  <r>
    <x v="2"/>
    <x v="64"/>
    <m/>
    <m/>
    <m/>
    <n v="0"/>
    <m/>
    <n v="0"/>
    <n v="0"/>
    <n v="0"/>
    <n v="0"/>
    <n v="200922"/>
    <n v="203749"/>
    <n v="200922"/>
    <n v="190742"/>
    <n v="302843"/>
    <n v="10602"/>
    <n v="504187"/>
    <n v="705109"/>
  </r>
  <r>
    <x v="2"/>
    <x v="65"/>
    <n v="344621"/>
    <n v="351454"/>
    <n v="348072"/>
    <n v="1044147"/>
    <n v="343368"/>
    <n v="343899"/>
    <n v="301644"/>
    <n v="988911"/>
    <n v="304856"/>
    <n v="303654"/>
    <n v="305947"/>
    <n v="608510"/>
    <n v="302440"/>
    <n v="303556"/>
    <n v="339899"/>
    <n v="945895"/>
    <n v="3587463"/>
  </r>
  <r>
    <x v="2"/>
    <x v="66"/>
    <n v="1491465"/>
    <n v="511895"/>
    <n v="2192321"/>
    <n v="4195681"/>
    <n v="2188702"/>
    <n v="2263939"/>
    <n v="2261056"/>
    <n v="6713697"/>
    <n v="2259083"/>
    <n v="1810834"/>
    <n v="537830"/>
    <n v="4069917"/>
    <n v="0"/>
    <n v="0"/>
    <n v="0"/>
    <n v="0"/>
    <n v="14979295"/>
  </r>
  <r>
    <x v="2"/>
    <x v="67"/>
    <n v="1309000"/>
    <n v="770000"/>
    <n v="770000"/>
    <n v="2849000"/>
    <n v="770000"/>
    <n v="1309000"/>
    <n v="1000000"/>
    <n v="3079000"/>
    <n v="1000000"/>
    <n v="1000000"/>
    <n v="1000000"/>
    <n v="2000000"/>
    <n v="4543555"/>
    <n v="0"/>
    <n v="0"/>
    <n v="4543555"/>
    <n v="12471555"/>
  </r>
  <r>
    <x v="2"/>
    <x v="68"/>
    <n v="2154191"/>
    <n v="1248536"/>
    <n v="1247817"/>
    <n v="4650544"/>
    <n v="1246107"/>
    <n v="881025"/>
    <n v="916729"/>
    <n v="3043861"/>
    <n v="0"/>
    <n v="0"/>
    <n v="0"/>
    <n v="0"/>
    <n v="0"/>
    <n v="0"/>
    <n v="0"/>
    <n v="0"/>
    <n v="7694405"/>
  </r>
  <r>
    <x v="2"/>
    <x v="69"/>
    <n v="570000"/>
    <n v="450000"/>
    <n v="450000"/>
    <n v="1470000"/>
    <n v="450000"/>
    <n v="706179"/>
    <n v="613478"/>
    <n v="1769657"/>
    <n v="576439"/>
    <n v="651028"/>
    <n v="615791"/>
    <n v="1227467"/>
    <n v="569325"/>
    <n v="458405"/>
    <n v="0"/>
    <n v="1027730"/>
    <n v="5494854"/>
  </r>
  <r>
    <x v="2"/>
    <x v="70"/>
    <m/>
    <m/>
    <m/>
    <n v="0"/>
    <m/>
    <m/>
    <n v="1104684"/>
    <n v="1104684"/>
    <n v="1104652"/>
    <n v="1105876"/>
    <n v="1108909"/>
    <n v="2210528"/>
    <n v="1086797"/>
    <n v="2566470"/>
    <n v="0"/>
    <n v="3653267"/>
    <n v="6968479"/>
  </r>
  <r>
    <x v="2"/>
    <x v="71"/>
    <n v="1014815"/>
    <n v="689459"/>
    <n v="564103"/>
    <n v="2268377"/>
    <n v="1002849"/>
    <n v="2141493"/>
    <n v="940815"/>
    <n v="4085157"/>
    <n v="1170518"/>
    <n v="1269550"/>
    <n v="1249095"/>
    <n v="2440068"/>
    <n v="1106525"/>
    <n v="2114949"/>
    <n v="0"/>
    <n v="3221474"/>
    <n v="12015076"/>
  </r>
  <r>
    <x v="2"/>
    <x v="72"/>
    <n v="1200000"/>
    <n v="1100000"/>
    <n v="1500000"/>
    <n v="3800000"/>
    <n v="1000000"/>
    <n v="1400000"/>
    <n v="1100000"/>
    <n v="3500000"/>
    <n v="1000000"/>
    <n v="1200000"/>
    <n v="1300000"/>
    <n v="2200000"/>
    <n v="1017000"/>
    <n v="1228500"/>
    <n v="1200000"/>
    <n v="3445500"/>
    <n v="12945500"/>
  </r>
  <r>
    <x v="2"/>
    <x v="73"/>
    <n v="1395527"/>
    <n v="1002849"/>
    <n v="1128205"/>
    <n v="3526581"/>
    <n v="940171"/>
    <n v="1815171"/>
    <n v="1615897"/>
    <n v="4371239"/>
    <n v="1268975"/>
    <n v="1660897"/>
    <n v="1391581"/>
    <n v="2929872"/>
    <n v="1435353"/>
    <n v="1435897"/>
    <n v="1276353"/>
    <n v="4147603"/>
    <n v="14975295"/>
  </r>
  <r>
    <x v="2"/>
    <x v="74"/>
    <n v="0"/>
    <n v="17568"/>
    <n v="17568"/>
    <n v="35136"/>
    <n v="53763"/>
    <n v="91580"/>
    <n v="92862"/>
    <n v="238205"/>
    <n v="30921"/>
    <n v="56892"/>
    <n v="56892"/>
    <n v="87813"/>
    <n v="97305"/>
    <n v="78544"/>
    <n v="0"/>
    <n v="175849"/>
    <n v="537003"/>
  </r>
  <r>
    <x v="2"/>
    <x v="75"/>
    <n v="951589.76466096076"/>
    <n v="951589.76466096076"/>
    <n v="1482342"/>
    <n v="3385521.5293219215"/>
    <n v="1489709"/>
    <n v="1396789"/>
    <n v="1386884.1214000001"/>
    <n v="4273382.1214000005"/>
    <n v="1662665"/>
    <n v="1596736"/>
    <n v="1056824"/>
    <n v="3259401"/>
    <n v="785464"/>
    <n v="284289"/>
    <n v="0"/>
    <n v="1069753"/>
    <n v="11988057.650721923"/>
  </r>
  <r>
    <x v="3"/>
    <x v="76"/>
    <m/>
    <m/>
    <m/>
    <n v="0"/>
    <m/>
    <m/>
    <m/>
    <n v="0"/>
    <m/>
    <m/>
    <m/>
    <n v="0"/>
    <m/>
    <m/>
    <m/>
    <n v="0"/>
    <n v="0"/>
  </r>
  <r>
    <x v="3"/>
    <x v="77"/>
    <m/>
    <m/>
    <m/>
    <n v="0"/>
    <m/>
    <m/>
    <m/>
    <n v="0"/>
    <m/>
    <m/>
    <m/>
    <n v="0"/>
    <m/>
    <m/>
    <m/>
    <n v="0"/>
    <n v="0"/>
  </r>
  <r>
    <x v="3"/>
    <x v="78"/>
    <m/>
    <m/>
    <n v="589436"/>
    <n v="589436"/>
    <n v="416988"/>
    <m/>
    <n v="494179"/>
    <n v="911167"/>
    <n v="499967"/>
    <n v="168860"/>
    <n v="778618"/>
    <n v="668827"/>
    <n v="35000"/>
    <n v="0"/>
    <n v="212775"/>
    <n v="247775"/>
    <n v="2417205"/>
  </r>
  <r>
    <x v="4"/>
    <x v="79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80"/>
    <n v="672350"/>
    <n v="113050"/>
    <n v="243950"/>
    <n v="1029350"/>
    <n v="249900"/>
    <n v="220150"/>
    <n v="809200"/>
    <n v="1279250"/>
    <n v="309400"/>
    <n v="0"/>
    <n v="452200"/>
    <n v="309400"/>
    <n v="172550"/>
    <n v="160650"/>
    <n v="309400"/>
    <n v="642600"/>
    <n v="3260600"/>
  </r>
  <r>
    <x v="4"/>
    <x v="81"/>
    <n v="1065784"/>
    <n v="898778"/>
    <n v="1277650"/>
    <n v="3242212"/>
    <n v="1028464"/>
    <n v="871968"/>
    <n v="1276417"/>
    <n v="3176849"/>
    <n v="1165488"/>
    <n v="1142073"/>
    <n v="987021"/>
    <n v="2307561"/>
    <n v="922218"/>
    <n v="1057818"/>
    <n v="1450320"/>
    <n v="3430356"/>
    <n v="12156978"/>
  </r>
  <r>
    <x v="4"/>
    <x v="82"/>
    <n v="112239"/>
    <n v="973372"/>
    <n v="72532"/>
    <n v="1158143"/>
    <n v="50371"/>
    <n v="190149"/>
    <n v="56316"/>
    <n v="296836"/>
    <n v="55496"/>
    <n v="51759"/>
    <n v="48750"/>
    <n v="107255"/>
    <n v="29881"/>
    <n v="44429"/>
    <n v="2255172"/>
    <n v="2329482"/>
    <n v="3891716"/>
  </r>
  <r>
    <x v="4"/>
    <x v="83"/>
    <n v="391761"/>
    <n v="559956"/>
    <n v="466630"/>
    <n v="1418347"/>
    <n v="373304"/>
    <n v="466630"/>
    <n v="419967"/>
    <n v="1259901"/>
    <n v="419967"/>
    <n v="373304"/>
    <n v="373304"/>
    <n v="793271"/>
    <n v="279978"/>
    <n v="279978"/>
    <n v="559956"/>
    <n v="1119912"/>
    <n v="4591431"/>
  </r>
  <r>
    <x v="4"/>
    <x v="84"/>
    <n v="911464"/>
    <n v="683598"/>
    <n v="1139330"/>
    <n v="2734392"/>
    <n v="683598"/>
    <n v="1025397"/>
    <n v="1113764"/>
    <n v="2822759"/>
    <n v="911464"/>
    <n v="911464"/>
    <n v="797531"/>
    <n v="1822928"/>
    <n v="683598"/>
    <n v="658032"/>
    <n v="1923586"/>
    <n v="3265216"/>
    <n v="10645295"/>
  </r>
  <r>
    <x v="5"/>
    <x v="85"/>
    <n v="341799"/>
    <n v="0"/>
    <n v="113933"/>
    <n v="455732"/>
    <n v="227866"/>
    <n v="227866"/>
    <n v="316233"/>
    <n v="771965"/>
    <n v="948699"/>
    <n v="404600"/>
    <n v="703866"/>
    <n v="1353299"/>
    <n v="316233"/>
    <n v="341799"/>
    <n v="202300"/>
    <n v="860332"/>
    <n v="3441328"/>
  </r>
  <r>
    <x v="5"/>
    <x v="86"/>
    <n v="368293"/>
    <n v="0"/>
    <n v="0"/>
    <n v="368293"/>
    <n v="208250"/>
    <n v="214200"/>
    <n v="214200"/>
    <n v="636650"/>
    <n v="1014387"/>
    <n v="0"/>
    <n v="172550"/>
    <n v="1014387"/>
    <n v="214200"/>
    <n v="428400"/>
    <n v="238000"/>
    <n v="880600"/>
    <n v="2899930"/>
  </r>
  <r>
    <x v="5"/>
    <x v="87"/>
    <n v="793563"/>
    <n v="127765"/>
    <n v="127765"/>
    <n v="1049093"/>
    <n v="703703"/>
    <n v="379623"/>
    <n v="630616"/>
    <n v="1713942"/>
    <n v="759139"/>
    <n v="0"/>
    <n v="455521"/>
    <n v="759139"/>
    <n v="797551"/>
    <n v="1263266"/>
    <n v="382905"/>
    <n v="2443722"/>
    <n v="5965896"/>
  </r>
  <r>
    <x v="5"/>
    <x v="88"/>
    <n v="578990"/>
    <n v="0"/>
    <n v="0"/>
    <n v="578990"/>
    <n v="146747"/>
    <n v="472038"/>
    <n v="367145"/>
    <n v="985930"/>
    <n v="774000"/>
    <n v="286689"/>
    <n v="943807"/>
    <n v="1060689"/>
    <n v="95449"/>
    <n v="465797"/>
    <n v="344566"/>
    <n v="905812"/>
    <n v="3531421"/>
  </r>
  <r>
    <x v="5"/>
    <x v="89"/>
    <n v="4694985"/>
    <n v="0"/>
    <n v="153933"/>
    <n v="4848918"/>
    <n v="1455850"/>
    <n v="2516990"/>
    <n v="1866878"/>
    <n v="5839718"/>
    <n v="1456498"/>
    <n v="183886"/>
    <n v="1889501"/>
    <n v="1640384"/>
    <n v="1326694"/>
    <n v="1727170"/>
    <n v="2492710"/>
    <n v="5546574"/>
    <n v="17875594"/>
  </r>
  <r>
    <x v="5"/>
    <x v="90"/>
    <n v="174116"/>
    <n v="0"/>
    <n v="46663"/>
    <n v="220779"/>
    <n v="93326"/>
    <n v="139989"/>
    <n v="93326"/>
    <n v="326641"/>
    <n v="279978"/>
    <n v="93326"/>
    <n v="186652"/>
    <n v="373304"/>
    <n v="93326"/>
    <n v="139989"/>
    <n v="46663"/>
    <n v="279978"/>
    <n v="1200702"/>
  </r>
  <r>
    <x v="6"/>
    <x v="91"/>
    <n v="1812195"/>
    <n v="1594441"/>
    <n v="1596923"/>
    <n v="5003559"/>
    <n v="1366480"/>
    <n v="805633"/>
    <n v="1269995"/>
    <n v="3442108"/>
    <n v="863933"/>
    <n v="660143"/>
    <n v="1227030"/>
    <n v="1524076"/>
    <n v="0"/>
    <n v="2534238"/>
    <n v="1160505"/>
    <n v="3694743"/>
    <n v="13664486"/>
  </r>
  <r>
    <x v="6"/>
    <x v="92"/>
    <n v="0"/>
    <n v="496272"/>
    <n v="130900"/>
    <n v="627172"/>
    <n v="920015"/>
    <n v="0"/>
    <n v="0"/>
    <n v="920015"/>
    <n v="0"/>
    <n v="0"/>
    <n v="87006"/>
    <n v="0"/>
    <n v="0"/>
    <n v="1525543"/>
    <n v="0"/>
    <n v="1525543"/>
    <n v="3072730"/>
  </r>
  <r>
    <x v="6"/>
    <x v="93"/>
    <n v="0"/>
    <n v="152608"/>
    <n v="0"/>
    <n v="152608"/>
    <n v="153917"/>
    <n v="0"/>
    <n v="0"/>
    <n v="153917"/>
    <n v="0"/>
    <n v="0"/>
    <n v="202300"/>
    <n v="0"/>
    <n v="0"/>
    <n v="0"/>
    <n v="0"/>
    <n v="0"/>
    <n v="306525"/>
  </r>
  <r>
    <x v="6"/>
    <x v="94"/>
    <n v="0"/>
    <n v="3784668"/>
    <n v="0"/>
    <n v="3784668"/>
    <n v="964987"/>
    <n v="0"/>
    <n v="0"/>
    <n v="964987"/>
    <n v="0"/>
    <n v="0"/>
    <n v="148477"/>
    <n v="0"/>
    <n v="0"/>
    <n v="0"/>
    <n v="0"/>
    <n v="0"/>
    <n v="4749655"/>
  </r>
  <r>
    <x v="6"/>
    <x v="95"/>
    <n v="1942662.841675651"/>
    <n v="1942662.841675651"/>
    <n v="2025756"/>
    <n v="5911081.6833513025"/>
    <n v="2038880"/>
    <n v="2054358.5675750002"/>
    <n v="2215285"/>
    <n v="6308523.5675750002"/>
    <n v="2241532"/>
    <n v="2256929"/>
    <n v="2254521"/>
    <n v="4498461"/>
    <n v="2453548"/>
    <n v="2336362"/>
    <n v="2341495"/>
    <n v="7131405"/>
    <n v="23849471.250926301"/>
  </r>
  <r>
    <x v="6"/>
    <x v="96"/>
    <n v="45650517"/>
    <n v="9462662"/>
    <n v="24051476"/>
    <n v="79164655"/>
    <n v="18711566"/>
    <n v="31984947"/>
    <n v="15005370"/>
    <n v="65701883"/>
    <n v="19918785"/>
    <n v="22923721"/>
    <n v="23283003"/>
    <n v="42842506"/>
    <n v="47097153"/>
    <n v="23663316"/>
    <n v="37667600"/>
    <n v="108428069"/>
    <n v="296137113"/>
  </r>
  <r>
    <x v="6"/>
    <x v="97"/>
    <n v="18470"/>
    <n v="21378"/>
    <n v="19147"/>
    <n v="58995"/>
    <n v="18470"/>
    <n v="18802"/>
    <n v="18017"/>
    <n v="55289"/>
    <n v="18093"/>
    <n v="23006"/>
    <n v="13938"/>
    <n v="41099"/>
    <n v="20966"/>
    <n v="19599"/>
    <n v="20558"/>
    <n v="61123"/>
    <n v="216506"/>
  </r>
  <r>
    <x v="6"/>
    <x v="98"/>
    <n v="41681"/>
    <n v="41982"/>
    <n v="42429"/>
    <n v="126092"/>
    <n v="42668"/>
    <n v="43295"/>
    <n v="43964"/>
    <n v="129927"/>
    <n v="44510"/>
    <n v="44949"/>
    <n v="45520"/>
    <n v="89459"/>
    <n v="46085"/>
    <n v="46541"/>
    <n v="46819"/>
    <n v="139445"/>
    <n v="484923"/>
  </r>
  <r>
    <x v="6"/>
    <x v="99"/>
    <n v="78233"/>
    <n v="0"/>
    <n v="39581"/>
    <n v="117814"/>
    <n v="67116"/>
    <n v="2184"/>
    <n v="45197"/>
    <n v="114497"/>
    <n v="36887"/>
    <n v="24773"/>
    <n v="21232"/>
    <n v="61660"/>
    <n v="67028"/>
    <n v="43850"/>
    <n v="118422"/>
    <n v="229300"/>
    <n v="523271"/>
  </r>
  <r>
    <x v="6"/>
    <x v="100"/>
    <n v="569801"/>
    <n v="569801"/>
    <n v="569801"/>
    <n v="1709403"/>
    <n v="569801"/>
    <n v="0"/>
    <n v="0"/>
    <n v="569801"/>
    <n v="99260"/>
    <n v="315280"/>
    <n v="642359"/>
    <n v="414540"/>
    <n v="0"/>
    <n v="0"/>
    <n v="0"/>
    <n v="0"/>
    <n v="2693744"/>
  </r>
  <r>
    <x v="6"/>
    <x v="101"/>
    <n v="715410"/>
    <n v="1709402"/>
    <n v="0"/>
    <n v="2424812"/>
    <n v="0"/>
    <n v="0"/>
    <n v="0"/>
    <n v="0"/>
    <n v="0"/>
    <n v="0"/>
    <n v="0"/>
    <n v="0"/>
    <n v="0"/>
    <n v="0"/>
    <n v="0"/>
    <n v="0"/>
    <n v="2424812"/>
  </r>
  <r>
    <x v="6"/>
    <x v="102"/>
    <n v="392211"/>
    <n v="0"/>
    <n v="2957198"/>
    <n v="3349409"/>
    <n v="815653"/>
    <n v="3951104"/>
    <n v="120590"/>
    <n v="4887347"/>
    <n v="2250547"/>
    <n v="45000"/>
    <n v="311973"/>
    <n v="2295547"/>
    <n v="2799275.8"/>
    <n v="2549614"/>
    <n v="380550"/>
    <n v="5729439.7999999998"/>
    <n v="16261742.800000001"/>
  </r>
  <r>
    <x v="6"/>
    <x v="103"/>
    <n v="24323"/>
    <n v="24353"/>
    <n v="24353"/>
    <n v="73029"/>
    <n v="24353"/>
    <n v="24353"/>
    <n v="24353"/>
    <n v="73059"/>
    <n v="24353"/>
    <n v="24353"/>
    <n v="24353"/>
    <n v="48706"/>
    <n v="24789"/>
    <n v="24353"/>
    <n v="24353"/>
    <n v="73495"/>
    <n v="268289"/>
  </r>
  <r>
    <x v="6"/>
    <x v="104"/>
    <n v="4100000"/>
    <n v="3800000"/>
    <n v="3800000"/>
    <n v="11700000"/>
    <n v="4200000"/>
    <n v="4200000"/>
    <n v="3889500"/>
    <n v="12289500"/>
    <n v="4200000"/>
    <n v="4200000"/>
    <n v="4200000"/>
    <n v="8400000"/>
    <n v="0"/>
    <n v="0"/>
    <n v="0"/>
    <n v="0"/>
    <n v="32389500"/>
  </r>
  <r>
    <x v="6"/>
    <x v="105"/>
    <n v="0"/>
    <n v="0"/>
    <n v="0"/>
    <n v="0"/>
    <n v="0"/>
    <n v="0"/>
    <n v="10806196"/>
    <n v="10806196"/>
    <n v="6283187"/>
    <n v="0"/>
    <n v="0"/>
    <n v="6283187"/>
    <n v="9076892"/>
    <n v="8985393"/>
    <n v="12265841"/>
    <n v="30328126"/>
    <n v="47417509"/>
  </r>
  <r>
    <x v="6"/>
    <x v="106"/>
    <n v="510000.00000000006"/>
    <n v="509694.00000000006"/>
    <n v="247578.88"/>
    <n v="1267272.8800000001"/>
    <n v="515164.60000000003"/>
    <n v="541071.122768"/>
    <n v="541071.24"/>
    <n v="1597306.9627680001"/>
    <n v="599635.13778800005"/>
    <n v="586433.33966800012"/>
    <n v="548366.59198400006"/>
    <n v="1186068.4774560002"/>
    <n v="684246.23198400007"/>
    <n v="548366.59198400006"/>
    <n v="847219.88330800005"/>
    <n v="2079832.7072760002"/>
    <n v="6130481.0275000008"/>
  </r>
  <r>
    <x v="6"/>
    <x v="107"/>
    <n v="1624793"/>
    <n v="1509874"/>
    <n v="1625474"/>
    <n v="4760141"/>
    <n v="1678280.44"/>
    <n v="1813849.69"/>
    <n v="1761044"/>
    <n v="5253174.13"/>
    <n v="1657462.69"/>
    <n v="1765443.6483999998"/>
    <n v="1663893.6483999998"/>
    <n v="3422906.3383999998"/>
    <n v="1982760.6483999998"/>
    <n v="1551707.6483999998"/>
    <n v="2017089.8344000001"/>
    <n v="5551558.1311999997"/>
    <n v="18987779.599599998"/>
  </r>
  <r>
    <x v="6"/>
    <x v="108"/>
    <n v="603000"/>
    <n v="736876.72000000009"/>
    <n v="734681.13"/>
    <n v="2074557.85"/>
    <n v="734742.10000000009"/>
    <n v="672576.57388220006"/>
    <n v="775602.72000000009"/>
    <n v="2182921.3938822001"/>
    <n v="775257.13989600004"/>
    <n v="779212.73360000015"/>
    <n v="762352.86941200006"/>
    <n v="1554469.8734960002"/>
    <n v="509448.62359999999"/>
    <n v="760405.16360000009"/>
    <n v="1062071.3236"/>
    <n v="2331925.1107999999"/>
    <n v="8143874.2281781994"/>
  </r>
  <r>
    <x v="6"/>
    <x v="109"/>
    <n v="800000"/>
    <n v="799195"/>
    <n v="799195"/>
    <n v="2398390"/>
    <n v="799194.83400000003"/>
    <n v="857586.08400000003"/>
    <n v="857586"/>
    <n v="2514366.9180000001"/>
    <n v="857586.08400000003"/>
    <n v="878376.21239999996"/>
    <n v="868803.70319999999"/>
    <n v="1735962.2963999999"/>
    <n v="1061800.0423999999"/>
    <n v="864017.04239999992"/>
    <n v="1270217.0423999999"/>
    <n v="3196034.1272"/>
    <n v="9844753.341599999"/>
  </r>
  <r>
    <x v="6"/>
    <x v="110"/>
    <n v="60000"/>
    <n v="54000"/>
    <n v="72185.2"/>
    <n v="186185.2"/>
    <n v="38000.1"/>
    <n v="65113.747450000003"/>
    <n v="86853.1"/>
    <n v="189966.94745000001"/>
    <n v="67685.636419999995"/>
    <n v="67257.06326000001"/>
    <n v="65113.788359999999"/>
    <n v="134942.69968000002"/>
    <n v="66139.254920000007"/>
    <n v="67165.085120000003"/>
    <n v="115167.91713999999"/>
    <n v="248472.25718000002"/>
    <n v="759567.10431000008"/>
  </r>
  <r>
    <x v="6"/>
    <x v="111"/>
    <n v="1332160"/>
    <n v="1296000"/>
    <n v="0"/>
    <n v="2628160"/>
    <n v="0"/>
    <n v="0"/>
    <n v="1401810"/>
    <n v="1401810"/>
    <n v="1082546"/>
    <n v="1158170"/>
    <n v="1632408"/>
    <n v="2240716"/>
    <n v="1259153"/>
    <n v="1350140"/>
    <n v="0"/>
    <n v="2609293"/>
    <n v="8879979"/>
  </r>
  <r>
    <x v="6"/>
    <x v="112"/>
    <n v="3886057"/>
    <n v="3882482.6"/>
    <n v="3879144.3000000003"/>
    <n v="11647683.9"/>
    <n v="3872614.5"/>
    <n v="4149479.0015428797"/>
    <n v="4142712.1"/>
    <n v="12164805.601542879"/>
    <n v="2643271.2817600002"/>
    <n v="3687933.54623"/>
    <n v="4131896.5204400001"/>
    <n v="6331204.8279900001"/>
    <n v="3508578.87433"/>
    <n v="4104371.3657099996"/>
    <n v="4522628.3695200002"/>
    <n v="12135578.60956"/>
    <n v="42279272.939092882"/>
  </r>
  <r>
    <x v="6"/>
    <x v="113"/>
    <n v="0"/>
    <n v="1498207"/>
    <n v="1519844"/>
    <n v="3018051"/>
    <n v="1523078"/>
    <n v="482042"/>
    <n v="611573"/>
    <n v="2616693"/>
    <n v="997680"/>
    <n v="507093"/>
    <n v="511834"/>
    <n v="1504773"/>
    <n v="0"/>
    <n v="519756"/>
    <n v="1048687"/>
    <n v="1568443"/>
    <n v="8707960"/>
  </r>
  <r>
    <x v="6"/>
    <x v="114"/>
    <n v="0"/>
    <n v="0"/>
    <n v="68824"/>
    <n v="68824"/>
    <n v="340545"/>
    <n v="0"/>
    <n v="500508"/>
    <n v="841053"/>
    <n v="2362372"/>
    <n v="1114829.25"/>
    <n v="1963742"/>
    <n v="3477201.25"/>
    <n v="2119354"/>
    <n v="744031"/>
    <n v="3670868"/>
    <n v="6534253"/>
    <n v="10921331.25"/>
  </r>
  <r>
    <x v="6"/>
    <x v="115"/>
    <n v="0"/>
    <n v="0"/>
    <n v="0"/>
    <n v="0"/>
    <n v="1416178"/>
    <n v="234201"/>
    <n v="0"/>
    <n v="1650379"/>
    <n v="0"/>
    <n v="0"/>
    <n v="938140"/>
    <n v="0"/>
    <n v="842210"/>
    <n v="129855"/>
    <n v="1915059"/>
    <n v="2887124"/>
    <n v="4537503"/>
  </r>
  <r>
    <x v="6"/>
    <x v="116"/>
    <n v="78524"/>
    <n v="0"/>
    <n v="2313022"/>
    <n v="2391546"/>
    <n v="352870"/>
    <n v="5237128"/>
    <n v="0"/>
    <n v="5589998"/>
    <n v="163599"/>
    <n v="4559772"/>
    <n v="2252653"/>
    <n v="4723371"/>
    <n v="0"/>
    <n v="2900235"/>
    <n v="0"/>
    <n v="2900235"/>
    <n v="15605150"/>
  </r>
  <r>
    <x v="6"/>
    <x v="117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118"/>
    <n v="89742"/>
    <n v="0"/>
    <n v="0"/>
    <n v="89742"/>
    <n v="0"/>
    <n v="0"/>
    <n v="0"/>
    <n v="0"/>
    <n v="0"/>
    <n v="0"/>
    <n v="0"/>
    <n v="0"/>
    <n v="168000"/>
    <n v="2200004"/>
    <n v="0"/>
    <n v="2368004"/>
    <n v="2457746"/>
  </r>
  <r>
    <x v="6"/>
    <x v="119"/>
    <n v="0"/>
    <n v="774225"/>
    <n v="0"/>
    <n v="774225"/>
    <n v="0"/>
    <n v="0"/>
    <n v="0"/>
    <n v="0"/>
    <n v="12094972"/>
    <n v="3584196"/>
    <n v="0"/>
    <n v="15679168"/>
    <n v="1628442"/>
    <n v="1829320"/>
    <n v="5087380"/>
    <n v="8545142"/>
    <n v="24998535"/>
  </r>
  <r>
    <x v="6"/>
    <x v="120"/>
    <n v="0"/>
    <n v="0"/>
    <n v="0"/>
    <n v="0"/>
    <n v="0"/>
    <n v="0"/>
    <n v="1494848"/>
    <n v="1494848"/>
    <n v="1285756"/>
    <n v="1911801"/>
    <n v="5172992"/>
    <n v="3197557"/>
    <n v="3453764"/>
    <n v="2049040"/>
    <n v="3602895"/>
    <n v="9105699"/>
    <n v="13798104"/>
  </r>
  <r>
    <x v="6"/>
    <x v="121"/>
    <n v="35909"/>
    <n v="0"/>
    <n v="132679"/>
    <n v="168588"/>
    <n v="0"/>
    <n v="0"/>
    <n v="0"/>
    <n v="0"/>
    <n v="0"/>
    <n v="1332837.75"/>
    <n v="0"/>
    <n v="1332837.75"/>
    <n v="2968387"/>
    <n v="0"/>
    <n v="0"/>
    <n v="2968387"/>
    <n v="4469812.75"/>
  </r>
  <r>
    <x v="6"/>
    <x v="12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123"/>
    <n v="236304"/>
    <n v="238776"/>
    <n v="240205"/>
    <n v="715285"/>
    <n v="243600"/>
    <n v="265900"/>
    <n v="250494"/>
    <n v="759994"/>
    <n v="252994"/>
    <n v="765124"/>
    <n v="349050"/>
    <n v="1018118"/>
    <n v="352535"/>
    <n v="376090"/>
    <n v="357737"/>
    <n v="1086362"/>
    <n v="3579759"/>
  </r>
  <r>
    <x v="7"/>
    <x v="124"/>
    <n v="38050"/>
    <n v="0"/>
    <n v="113936"/>
    <n v="151986"/>
    <n v="226"/>
    <n v="128556"/>
    <n v="39672"/>
    <n v="168454"/>
    <n v="40032"/>
    <n v="40495"/>
    <n v="41044"/>
    <n v="80527"/>
    <n v="41449"/>
    <n v="41739"/>
    <n v="42065"/>
    <n v="125253"/>
    <n v="526220"/>
  </r>
  <r>
    <x v="7"/>
    <x v="125"/>
    <n v="7749"/>
    <n v="7817"/>
    <n v="7895"/>
    <n v="23461"/>
    <n v="7301"/>
    <n v="8059"/>
    <n v="8196"/>
    <n v="23556"/>
    <n v="8288"/>
    <n v="8364"/>
    <n v="8478"/>
    <n v="16652"/>
    <n v="0"/>
    <n v="0"/>
    <n v="8712"/>
    <n v="8712"/>
    <n v="72381"/>
  </r>
  <r>
    <x v="7"/>
    <x v="64"/>
    <n v="10696340"/>
    <n v="6506705"/>
    <n v="14698014"/>
    <n v="31901059"/>
    <n v="11935969"/>
    <n v="11584255"/>
    <n v="17549488"/>
    <n v="41069712"/>
    <n v="18039327"/>
    <n v="19590857"/>
    <n v="15643387"/>
    <n v="37630184"/>
    <n v="17693389"/>
    <n v="15274717"/>
    <n v="24092382"/>
    <n v="57060488"/>
    <n v="167661443"/>
  </r>
  <r>
    <x v="7"/>
    <x v="126"/>
    <n v="71213"/>
    <n v="17292"/>
    <n v="0"/>
    <n v="88505"/>
    <n v="17525"/>
    <n v="36450"/>
    <n v="17677"/>
    <n v="71652"/>
    <n v="186410"/>
    <n v="79463"/>
    <n v="59799"/>
    <n v="265873"/>
    <n v="61682"/>
    <n v="0"/>
    <n v="187096"/>
    <n v="248778"/>
    <n v="674808"/>
  </r>
  <r>
    <x v="7"/>
    <x v="127"/>
    <n v="780763"/>
    <n v="1089647"/>
    <n v="1353499"/>
    <n v="3223909"/>
    <n v="1226470"/>
    <n v="1153122"/>
    <n v="1272347"/>
    <n v="3651939"/>
    <n v="1228848"/>
    <n v="1407178"/>
    <n v="836638"/>
    <n v="2636026"/>
    <n v="1042599"/>
    <n v="1533287"/>
    <n v="691304"/>
    <n v="3267190"/>
    <n v="12779064"/>
  </r>
  <r>
    <x v="7"/>
    <x v="128"/>
    <n v="0"/>
    <n v="0"/>
    <n v="0"/>
    <n v="0"/>
    <n v="0"/>
    <n v="0"/>
    <n v="1209445"/>
    <n v="1209445"/>
    <n v="6970"/>
    <n v="0"/>
    <n v="0"/>
    <n v="6970"/>
    <n v="1719411"/>
    <n v="106070"/>
    <n v="104447"/>
    <n v="1929928"/>
    <n v="3146343"/>
  </r>
  <r>
    <x v="7"/>
    <x v="129"/>
    <m/>
    <m/>
    <m/>
    <n v="0"/>
    <m/>
    <m/>
    <m/>
    <n v="0"/>
    <m/>
    <n v="11585"/>
    <n v="0"/>
    <n v="11585"/>
    <n v="0"/>
    <n v="0"/>
    <n v="0"/>
    <n v="0"/>
    <n v="11585"/>
  </r>
  <r>
    <x v="7"/>
    <x v="130"/>
    <n v="0"/>
    <n v="167672"/>
    <n v="188083"/>
    <n v="355755"/>
    <n v="462875"/>
    <n v="0"/>
    <n v="207371"/>
    <n v="670246"/>
    <n v="275489"/>
    <n v="0"/>
    <n v="170478"/>
    <n v="275489"/>
    <n v="463464"/>
    <n v="20599"/>
    <n v="781236"/>
    <n v="1265299"/>
    <n v="2566789"/>
  </r>
  <r>
    <x v="7"/>
    <x v="131"/>
    <n v="0"/>
    <n v="0"/>
    <n v="0"/>
    <n v="0"/>
    <n v="0"/>
    <n v="0"/>
    <n v="0"/>
    <n v="0"/>
    <n v="19610"/>
    <n v="0"/>
    <n v="0"/>
    <n v="19610"/>
    <n v="0"/>
    <n v="0"/>
    <n v="0"/>
    <n v="0"/>
    <n v="19610"/>
  </r>
  <r>
    <x v="7"/>
    <x v="132"/>
    <n v="1689329"/>
    <n v="191517"/>
    <n v="3608809"/>
    <n v="5489655"/>
    <n v="225075"/>
    <n v="3429057"/>
    <n v="1764012"/>
    <n v="5418144"/>
    <n v="1719051"/>
    <n v="1824293"/>
    <n v="1825259"/>
    <n v="3543344"/>
    <n v="1811056"/>
    <n v="151721"/>
    <n v="3191484"/>
    <n v="5154261"/>
    <n v="19605404"/>
  </r>
  <r>
    <x v="8"/>
    <x v="133"/>
    <n v="722521"/>
    <n v="783507"/>
    <n v="775935"/>
    <n v="2281963"/>
    <n v="771514.65960000001"/>
    <n v="869384"/>
    <n v="834550"/>
    <n v="2475448.6595999999"/>
    <n v="871233"/>
    <n v="1078183"/>
    <n v="781738"/>
    <n v="1949416"/>
    <n v="916155"/>
    <n v="868264"/>
    <n v="1720476"/>
    <n v="3504895"/>
    <n v="10211722.659600001"/>
  </r>
  <r>
    <x v="8"/>
    <x v="134"/>
    <n v="1853978"/>
    <n v="1850681"/>
    <n v="1849891"/>
    <n v="5554550"/>
    <n v="2031566.605"/>
    <n v="2061417"/>
    <n v="1960229"/>
    <n v="6053212.6050000004"/>
    <n v="1482324"/>
    <n v="1918847"/>
    <n v="1959809"/>
    <n v="3401171"/>
    <n v="1937441"/>
    <n v="1618661"/>
    <n v="2259510"/>
    <n v="5815612"/>
    <n v="20824545.605"/>
  </r>
  <r>
    <x v="8"/>
    <x v="135"/>
    <n v="703799"/>
    <n v="719831"/>
    <n v="767940"/>
    <n v="2191570"/>
    <n v="603965.42119999998"/>
    <n v="878268"/>
    <n v="772438"/>
    <n v="2254671.4211999997"/>
    <n v="702306"/>
    <n v="833868"/>
    <n v="815823"/>
    <n v="1536174"/>
    <n v="823042"/>
    <n v="815823"/>
    <n v="1463767"/>
    <n v="3102632"/>
    <n v="9085047.4211999997"/>
  </r>
  <r>
    <x v="8"/>
    <x v="136"/>
    <n v="0"/>
    <n v="433438"/>
    <n v="622562"/>
    <n v="1056000"/>
    <n v="643263.18799999997"/>
    <n v="630385"/>
    <n v="828771"/>
    <n v="2102419.1880000001"/>
    <n v="626473"/>
    <n v="793433"/>
    <n v="640442"/>
    <n v="1419906"/>
    <n v="690446"/>
    <n v="749936"/>
    <n v="819423"/>
    <n v="2259805"/>
    <n v="6838130.1880000001"/>
  </r>
  <r>
    <x v="8"/>
    <x v="106"/>
    <n v="240000"/>
    <n v="239856"/>
    <n v="247578.88"/>
    <n v="727434.88"/>
    <n v="242430.4"/>
    <n v="254622"/>
    <n v="254622"/>
    <n v="751674.4"/>
    <n v="282181"/>
    <n v="275969"/>
    <n v="258055"/>
    <n v="558150"/>
    <n v="325000"/>
    <n v="258055"/>
    <n v="398692"/>
    <n v="981747"/>
    <n v="3019006.2800000003"/>
  </r>
  <r>
    <x v="8"/>
    <x v="108"/>
    <n v="298026"/>
    <n v="372062.28"/>
    <n v="370473.87"/>
    <n v="1040562.15"/>
    <n v="370413.9"/>
    <n v="336112"/>
    <n v="392038"/>
    <n v="1098563.8999999999"/>
    <n v="3291458"/>
    <n v="393357"/>
    <n v="383541"/>
    <n v="3684815"/>
    <n v="258471"/>
    <n v="381754"/>
    <n v="523110"/>
    <n v="1163335"/>
    <n v="6987276.0499999998"/>
  </r>
  <r>
    <x v="8"/>
    <x v="137"/>
    <n v="714970"/>
    <n v="711186"/>
    <n v="733895"/>
    <n v="2160051"/>
    <n v="707401.09019999998"/>
    <n v="758561"/>
    <n v="783557"/>
    <n v="2249519.0902"/>
    <n v="800222"/>
    <n v="790025"/>
    <n v="946833"/>
    <n v="1590247"/>
    <n v="765029"/>
    <n v="769195"/>
    <n v="1352319"/>
    <n v="2886543"/>
    <n v="8886360.0901999995"/>
  </r>
  <r>
    <x v="8"/>
    <x v="138"/>
    <n v="807567"/>
    <n v="720565"/>
    <n v="779222"/>
    <n v="2307354"/>
    <n v="808222.54480000003"/>
    <n v="810594"/>
    <n v="46907"/>
    <n v="1665723.5448"/>
    <n v="0"/>
    <n v="0"/>
    <n v="0"/>
    <n v="0"/>
    <n v="0"/>
    <n v="0"/>
    <n v="0"/>
    <n v="0"/>
    <n v="3973077.5448000003"/>
  </r>
  <r>
    <x v="8"/>
    <x v="139"/>
    <n v="16729660"/>
    <n v="3795936"/>
    <n v="3855075"/>
    <n v="24380671"/>
    <n v="3915932.2154887998"/>
    <n v="4280221"/>
    <n v="4274078"/>
    <n v="12470231.215488799"/>
    <n v="4269095"/>
    <n v="4270689"/>
    <n v="4264329"/>
    <n v="8539784"/>
    <n v="4247128"/>
    <n v="4243865"/>
    <n v="4739250"/>
    <n v="13230243"/>
    <n v="58620929.215488799"/>
  </r>
  <r>
    <x v="8"/>
    <x v="140"/>
    <n v="390136"/>
    <n v="0"/>
    <n v="1188800"/>
    <n v="1578936"/>
    <n v="0"/>
    <n v="0"/>
    <n v="0"/>
    <n v="0"/>
    <n v="0"/>
    <n v="0"/>
    <n v="304077"/>
    <n v="0"/>
    <n v="0"/>
    <n v="567222"/>
    <n v="0"/>
    <n v="567222"/>
    <n v="2146158"/>
  </r>
  <r>
    <x v="8"/>
    <x v="141"/>
    <n v="430000"/>
    <n v="550000"/>
    <n v="183335"/>
    <n v="1163335"/>
    <n v="0"/>
    <n v="0"/>
    <n v="0"/>
    <n v="0"/>
    <n v="0"/>
    <n v="0"/>
    <n v="0"/>
    <n v="0"/>
    <n v="0"/>
    <n v="0"/>
    <n v="0"/>
    <n v="0"/>
    <n v="1163335"/>
  </r>
  <r>
    <x v="8"/>
    <x v="142"/>
    <n v="0"/>
    <n v="0"/>
    <n v="0"/>
    <n v="0"/>
    <n v="0"/>
    <n v="0"/>
    <n v="0"/>
    <n v="0"/>
    <n v="183332"/>
    <n v="651096"/>
    <n v="542690"/>
    <n v="834428"/>
    <n v="704680"/>
    <n v="614023"/>
    <n v="821772"/>
    <n v="2140475"/>
    <n v="2974903"/>
  </r>
  <r>
    <x v="8"/>
    <x v="143"/>
    <n v="450000"/>
    <n v="270000"/>
    <n v="450000"/>
    <n v="1170000"/>
    <n v="497289.51360000001"/>
    <n v="486690"/>
    <n v="518315"/>
    <n v="1502294.5135999999"/>
    <n v="438021"/>
    <n v="518315"/>
    <n v="470466"/>
    <n v="956336"/>
    <n v="389352"/>
    <n v="477290"/>
    <n v="727938"/>
    <n v="1594580"/>
    <n v="5223210.5136000002"/>
  </r>
  <r>
    <x v="8"/>
    <x v="110"/>
    <n v="270000"/>
    <n v="243000"/>
    <n v="324833.40000000002"/>
    <n v="837833.4"/>
    <n v="171000.45"/>
    <n v="293012"/>
    <n v="390839"/>
    <n v="854851.45"/>
    <n v="304585"/>
    <n v="302657"/>
    <n v="293012"/>
    <n v="607242"/>
    <n v="297627"/>
    <n v="302243"/>
    <n v="518256"/>
    <n v="1118126"/>
    <n v="3418052.85"/>
  </r>
  <r>
    <x v="8"/>
    <x v="144"/>
    <n v="562634"/>
    <n v="522305"/>
    <n v="687980"/>
    <n v="1772919"/>
    <n v="678727.11439999996"/>
    <n v="681698"/>
    <n v="163780"/>
    <n v="1524205.1143999998"/>
    <n v="0"/>
    <n v="0"/>
    <n v="0"/>
    <n v="0"/>
    <n v="0"/>
    <n v="0"/>
    <n v="0"/>
    <n v="0"/>
    <n v="3297124.1143999998"/>
  </r>
  <r>
    <x v="8"/>
    <x v="145"/>
    <n v="610960"/>
    <n v="869877"/>
    <n v="723156"/>
    <n v="2203993"/>
    <n v="719517.23139999993"/>
    <n v="760127"/>
    <n v="812823"/>
    <n v="2292467.2313999999"/>
    <n v="776213"/>
    <n v="843012"/>
    <n v="900000"/>
    <n v="1619225"/>
    <n v="900000"/>
    <n v="919614"/>
    <n v="1309100"/>
    <n v="3128714"/>
    <n v="9244399.2313999999"/>
  </r>
  <r>
    <x v="8"/>
    <x v="146"/>
    <n v="0"/>
    <n v="0"/>
    <n v="0"/>
    <n v="0"/>
    <n v="0"/>
    <n v="0"/>
    <n v="0"/>
    <n v="0"/>
    <n v="539114"/>
    <n v="969544"/>
    <n v="1097035"/>
    <n v="1508658"/>
    <n v="1092741"/>
    <n v="1090086"/>
    <n v="1307706"/>
    <n v="3490533"/>
    <n v="4999191"/>
  </r>
  <r>
    <x v="8"/>
    <x v="147"/>
    <n v="580000"/>
    <n v="614933"/>
    <n v="587777"/>
    <n v="1782710"/>
    <n v="650000.19880000001"/>
    <n v="744877"/>
    <n v="628333"/>
    <n v="2023210.1987999999"/>
    <n v="645996"/>
    <n v="641449"/>
    <n v="642462"/>
    <n v="1287445"/>
    <n v="600587"/>
    <n v="699999"/>
    <n v="971323"/>
    <n v="2271909"/>
    <n v="7365274.1987999994"/>
  </r>
  <r>
    <x v="8"/>
    <x v="148"/>
    <n v="654212"/>
    <n v="761692"/>
    <n v="806571"/>
    <n v="2222475"/>
    <n v="806570.277"/>
    <n v="825385"/>
    <n v="887026"/>
    <n v="2518981.2769999998"/>
    <n v="862480"/>
    <n v="776257"/>
    <n v="874940"/>
    <n v="1638737"/>
    <n v="844227"/>
    <n v="817106"/>
    <n v="1343923"/>
    <n v="3005256"/>
    <n v="9385449.2769999988"/>
  </r>
  <r>
    <x v="8"/>
    <x v="112"/>
    <n v="400000"/>
    <n v="400092.4"/>
    <n v="400527.7"/>
    <n v="1200620.1000000001"/>
    <n v="399991.5"/>
    <n v="427132"/>
    <n v="427527"/>
    <n v="1254650.5"/>
    <n v="281919"/>
    <n v="384751"/>
    <n v="427933"/>
    <n v="666670"/>
    <n v="367966"/>
    <n v="423563.30000000005"/>
    <n v="502514"/>
    <n v="1294043.3"/>
    <n v="4415983.9000000004"/>
  </r>
  <r>
    <x v="8"/>
    <x v="149"/>
    <n v="0"/>
    <n v="0"/>
    <n v="450313"/>
    <n v="450313"/>
    <n v="718227.28799999994"/>
    <n v="662221"/>
    <n v="783713"/>
    <n v="2164161.2879999997"/>
    <n v="750881"/>
    <n v="799501"/>
    <n v="627202"/>
    <n v="1550382"/>
    <n v="642643"/>
    <n v="658085"/>
    <n v="1020910"/>
    <n v="2321638"/>
    <n v="6486494.2879999997"/>
  </r>
  <r>
    <x v="8"/>
    <x v="150"/>
    <n v="0"/>
    <n v="0"/>
    <n v="603887"/>
    <n v="603887"/>
    <n v="603887.85719999997"/>
    <n v="599999"/>
    <n v="607776"/>
    <n v="1811662.8572"/>
    <n v="380000"/>
    <n v="611666"/>
    <n v="596359"/>
    <n v="991666"/>
    <n v="606392"/>
    <n v="180000"/>
    <n v="804550"/>
    <n v="1590942"/>
    <n v="4998157.8572000004"/>
  </r>
  <r>
    <x v="8"/>
    <x v="151"/>
    <m/>
    <m/>
    <m/>
    <n v="0"/>
    <m/>
    <m/>
    <n v="447777.93180000002"/>
    <n v="447777.93180000002"/>
    <n v="492290"/>
    <n v="511915"/>
    <n v="659891"/>
    <n v="1004205"/>
    <n v="680901"/>
    <n v="651981"/>
    <n v="862678"/>
    <n v="2195560"/>
    <n v="3647542.9317999999"/>
  </r>
  <r>
    <x v="8"/>
    <x v="152"/>
    <m/>
    <m/>
    <m/>
    <n v="0"/>
    <m/>
    <m/>
    <n v="320000.61320000002"/>
    <n v="320000.61320000002"/>
    <n v="600000"/>
    <n v="600000"/>
    <n v="600000"/>
    <n v="1200000"/>
    <n v="600000"/>
    <n v="600000"/>
    <n v="729894"/>
    <n v="1929894"/>
    <n v="3449894.6132"/>
  </r>
  <r>
    <x v="8"/>
    <x v="153"/>
    <m/>
    <m/>
    <m/>
    <n v="0"/>
    <m/>
    <m/>
    <n v="300000.46499999997"/>
    <n v="300000.46499999997"/>
    <n v="580000"/>
    <n v="600000"/>
    <n v="600000"/>
    <n v="1180000"/>
    <n v="580000"/>
    <n v="580000"/>
    <n v="749773"/>
    <n v="1909773"/>
    <n v="3389773.4649999999"/>
  </r>
  <r>
    <x v="8"/>
    <x v="154"/>
    <m/>
    <m/>
    <m/>
    <n v="0"/>
    <m/>
    <m/>
    <n v="300000.46499999997"/>
    <n v="300000.46499999997"/>
    <n v="600000"/>
    <n v="600000"/>
    <n v="180000"/>
    <n v="1200000"/>
    <n v="0"/>
    <n v="0"/>
    <n v="0"/>
    <n v="0"/>
    <n v="1500000.4649999999"/>
  </r>
  <r>
    <x v="8"/>
    <x v="155"/>
    <m/>
    <m/>
    <m/>
    <n v="0"/>
    <m/>
    <m/>
    <m/>
    <n v="0"/>
    <m/>
    <n v="559444"/>
    <n v="600000"/>
    <n v="559444"/>
    <n v="600000"/>
    <n v="100000"/>
    <n v="0"/>
    <n v="700000"/>
    <n v="1259444"/>
  </r>
  <r>
    <x v="8"/>
    <x v="156"/>
    <m/>
    <m/>
    <m/>
    <n v="0"/>
    <m/>
    <m/>
    <m/>
    <n v="0"/>
    <m/>
    <n v="321034"/>
    <n v="574898"/>
    <n v="321034"/>
    <n v="594722"/>
    <n v="297362"/>
    <n v="0"/>
    <n v="892084"/>
    <n v="1213118"/>
  </r>
  <r>
    <x v="8"/>
    <x v="157"/>
    <m/>
    <m/>
    <m/>
    <n v="0"/>
    <m/>
    <m/>
    <m/>
    <n v="0"/>
    <m/>
    <n v="514820"/>
    <n v="695919"/>
    <n v="514820"/>
    <n v="718315"/>
    <n v="695919"/>
    <n v="826171"/>
    <n v="2240405"/>
    <n v="2755225"/>
  </r>
  <r>
    <x v="8"/>
    <x v="158"/>
    <n v="6000000"/>
    <n v="6000000"/>
    <n v="6000000"/>
    <n v="18000000"/>
    <n v="6000000"/>
    <n v="6000000"/>
    <n v="6000000"/>
    <n v="18000000"/>
    <n v="6000000"/>
    <n v="6000000"/>
    <n v="6000000"/>
    <n v="12000000"/>
    <n v="6000000"/>
    <n v="6000000"/>
    <n v="6000000"/>
    <n v="18000000"/>
    <n v="66000000"/>
  </r>
  <r>
    <x v="8"/>
    <x v="75"/>
    <n v="4766196.4207331641"/>
    <n v="4766196.4207331641"/>
    <n v="6125393"/>
    <n v="15657785.841466328"/>
    <n v="5121928"/>
    <n v="6367841"/>
    <n v="5562778.2152704"/>
    <n v="17052547.2152704"/>
    <n v="5700604"/>
    <n v="6870885"/>
    <n v="6835288"/>
    <n v="12571489"/>
    <n v="7078225"/>
    <n v="6530876"/>
    <n v="8730058"/>
    <n v="22339159"/>
    <n v="67620981.056736737"/>
  </r>
  <r>
    <x v="8"/>
    <x v="74"/>
    <n v="0"/>
    <n v="585180"/>
    <n v="589862"/>
    <n v="1175042"/>
    <n v="500811"/>
    <n v="500811"/>
    <n v="651319"/>
    <n v="1652941"/>
    <n v="561906"/>
    <n v="664296"/>
    <n v="664296"/>
    <n v="1226202"/>
    <n v="742647"/>
    <n v="718573"/>
    <n v="622568"/>
    <n v="2083788"/>
    <n v="6137973"/>
  </r>
  <r>
    <x v="9"/>
    <x v="159"/>
    <n v="11481497.620000001"/>
    <n v="8633224.5"/>
    <n v="17757440.98"/>
    <n v="37872163.100000001"/>
    <n v="14673519.879999999"/>
    <n v="13100272.040000001"/>
    <n v="15512642.92"/>
    <n v="43286434.840000004"/>
    <n v="14863311.199999999"/>
    <n v="15186194"/>
    <n v="13339932"/>
    <n v="30049505.199999999"/>
    <n v="13231266.360000001"/>
    <n v="11132786"/>
    <n v="18075851"/>
    <n v="42439903.359999999"/>
    <n v="153648006.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x v="0"/>
    <x v="0"/>
    <n v="0"/>
    <n v="0"/>
    <n v="0"/>
    <n v="0"/>
    <n v="119540"/>
    <n v="215654"/>
    <n v="107327"/>
    <n v="442521"/>
    <n v="214680"/>
    <n v="107198"/>
    <n v="311506"/>
    <n v="633384"/>
    <n v="203427"/>
    <n v="222773"/>
    <n v="299822"/>
    <n v="726022"/>
    <n v="1801927"/>
  </r>
  <r>
    <x v="0"/>
    <x v="1"/>
    <n v="0"/>
    <n v="0"/>
    <n v="0"/>
    <n v="0"/>
    <n v="0"/>
    <n v="0"/>
    <n v="0"/>
    <n v="0"/>
    <n v="0"/>
    <n v="0"/>
    <n v="1107520"/>
    <n v="1107520"/>
    <n v="5523028"/>
    <n v="195200"/>
    <n v="1787475"/>
    <n v="7505703"/>
    <n v="8613223"/>
  </r>
  <r>
    <x v="0"/>
    <x v="2"/>
    <n v="486440"/>
    <n v="643380"/>
    <n v="782873"/>
    <n v="1912693"/>
    <n v="499369"/>
    <n v="475469"/>
    <n v="439479"/>
    <n v="1414317"/>
    <n v="302827"/>
    <n v="754895"/>
    <n v="490595"/>
    <n v="1548317"/>
    <n v="616738"/>
    <n v="405348"/>
    <n v="0"/>
    <n v="1022086"/>
    <n v="5897413"/>
  </r>
  <r>
    <x v="0"/>
    <x v="3"/>
    <n v="60000"/>
    <n v="75000"/>
    <n v="108000"/>
    <n v="243000"/>
    <n v="0"/>
    <n v="123000"/>
    <n v="0"/>
    <n v="123000"/>
    <n v="54000"/>
    <n v="48000"/>
    <n v="120000"/>
    <n v="222000"/>
    <n v="72000"/>
    <n v="0"/>
    <n v="57000"/>
    <n v="129000"/>
    <n v="717000"/>
  </r>
  <r>
    <x v="0"/>
    <x v="4"/>
    <n v="0"/>
    <n v="0"/>
    <n v="0"/>
    <n v="0"/>
    <n v="890788"/>
    <n v="0"/>
    <n v="14064"/>
    <n v="904852"/>
    <n v="0"/>
    <n v="294565"/>
    <n v="0"/>
    <n v="294565"/>
    <n v="0"/>
    <n v="0"/>
    <n v="0"/>
    <n v="0"/>
    <n v="1199417"/>
  </r>
  <r>
    <x v="0"/>
    <x v="5"/>
    <n v="181690"/>
    <n v="220051"/>
    <n v="229864"/>
    <n v="631605"/>
    <n v="203690"/>
    <n v="216310"/>
    <n v="217106"/>
    <n v="637106"/>
    <n v="189969"/>
    <n v="219821"/>
    <n v="188717"/>
    <n v="598507"/>
    <n v="194279"/>
    <n v="184313"/>
    <n v="196693"/>
    <n v="575285"/>
    <n v="2442503"/>
  </r>
  <r>
    <x v="0"/>
    <x v="6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7"/>
    <n v="304940.5"/>
    <n v="305179.5"/>
    <n v="305580.5"/>
    <n v="915700.5"/>
    <n v="305411.5"/>
    <n v="867011.96579341264"/>
    <n v="358929"/>
    <n v="1531352.4657934126"/>
    <n v="359015.5"/>
    <n v="369230"/>
    <n v="369402.5"/>
    <n v="1097648"/>
    <n v="359184.5"/>
    <n v="369877.5"/>
    <n v="359760"/>
    <n v="1088822"/>
    <n v="4633522.9657934122"/>
  </r>
  <r>
    <x v="0"/>
    <x v="8"/>
    <n v="224021"/>
    <n v="205183"/>
    <n v="214506"/>
    <n v="643710"/>
    <n v="216110.5"/>
    <n v="223958.5"/>
    <n v="228407.5"/>
    <n v="668476.5"/>
    <n v="232310"/>
    <n v="241576"/>
    <n v="248480.5"/>
    <n v="722366.5"/>
    <n v="252650"/>
    <n v="249075.5"/>
    <n v="249075.5"/>
    <n v="750801"/>
    <n v="2785354"/>
  </r>
  <r>
    <x v="0"/>
    <x v="9"/>
    <n v="2960"/>
    <n v="3605"/>
    <n v="3665"/>
    <n v="10230"/>
    <n v="1810"/>
    <n v="3090"/>
    <n v="2475"/>
    <n v="7375"/>
    <n v="3740"/>
    <n v="2474"/>
    <n v="3635"/>
    <n v="9849"/>
    <n v="2615"/>
    <n v="3150"/>
    <n v="5090.5"/>
    <n v="10855.5"/>
    <n v="38309.5"/>
  </r>
  <r>
    <x v="0"/>
    <x v="10"/>
    <n v="0"/>
    <n v="65307"/>
    <n v="22831.5"/>
    <n v="88138.5"/>
    <n v="28688.5"/>
    <n v="27180.5"/>
    <n v="43173"/>
    <n v="99042"/>
    <n v="142513.5"/>
    <n v="89998"/>
    <n v="71590.5"/>
    <n v="304102"/>
    <n v="67317"/>
    <n v="46239"/>
    <n v="11741"/>
    <n v="125297"/>
    <n v="616579.5"/>
  </r>
  <r>
    <x v="0"/>
    <x v="11"/>
    <n v="3241786"/>
    <n v="3255357"/>
    <n v="3277365"/>
    <n v="9774508"/>
    <n v="3280847"/>
    <n v="3308238"/>
    <n v="3325364"/>
    <n v="9914449"/>
    <n v="3378694"/>
    <n v="4612098"/>
    <n v="3328613"/>
    <n v="11319405"/>
    <n v="3341394"/>
    <n v="3344310"/>
    <n v="3368569"/>
    <n v="10054273"/>
    <n v="41062635"/>
  </r>
  <r>
    <x v="0"/>
    <x v="12"/>
    <n v="456079"/>
    <n v="417666"/>
    <n v="436645"/>
    <n v="1310390"/>
    <n v="439919"/>
    <n v="455897"/>
    <n v="464957"/>
    <n v="1360773"/>
    <n v="472901"/>
    <n v="491767"/>
    <n v="505824"/>
    <n v="1470492"/>
    <n v="514312"/>
    <n v="507034"/>
    <n v="507034"/>
    <n v="1528380"/>
    <n v="5670035"/>
  </r>
  <r>
    <x v="0"/>
    <x v="13"/>
    <n v="15300"/>
    <n v="15520"/>
    <n v="15850"/>
    <n v="46670"/>
    <n v="18330"/>
    <n v="13620"/>
    <n v="17250"/>
    <n v="49200"/>
    <n v="16220"/>
    <n v="14795"/>
    <n v="13250"/>
    <n v="44265"/>
    <n v="14860"/>
    <n v="17948"/>
    <n v="22948"/>
    <n v="55756"/>
    <n v="195891"/>
  </r>
  <r>
    <x v="0"/>
    <x v="14"/>
    <n v="96165"/>
    <n v="82818"/>
    <n v="83103"/>
    <n v="262086"/>
    <n v="83060"/>
    <n v="78596"/>
    <n v="136949"/>
    <n v="298605"/>
    <n v="278918"/>
    <n v="196664"/>
    <n v="179572"/>
    <n v="655154"/>
    <n v="129559"/>
    <n v="84389"/>
    <n v="116276"/>
    <n v="330224"/>
    <n v="1546069"/>
  </r>
  <r>
    <x v="0"/>
    <x v="15"/>
    <n v="1213502"/>
    <n v="1208313"/>
    <n v="1220132"/>
    <n v="3641947"/>
    <n v="1222501"/>
    <n v="1236167"/>
    <n v="1243490"/>
    <n v="3702158"/>
    <n v="1195763"/>
    <n v="1250575"/>
    <n v="1257087"/>
    <n v="3703425"/>
    <n v="1261298"/>
    <n v="1213815"/>
    <n v="1270924"/>
    <n v="3746037"/>
    <n v="14793567"/>
  </r>
  <r>
    <x v="0"/>
    <x v="16"/>
    <n v="18131"/>
    <n v="16640"/>
    <n v="17066"/>
    <n v="51837"/>
    <n v="23691"/>
    <n v="24569"/>
    <n v="20601"/>
    <n v="68861"/>
    <n v="18347"/>
    <n v="18642"/>
    <n v="20176"/>
    <n v="57165"/>
    <n v="16100"/>
    <n v="19222"/>
    <n v="20823"/>
    <n v="56145"/>
    <n v="234008"/>
  </r>
  <r>
    <x v="0"/>
    <x v="17"/>
    <n v="297500"/>
    <n v="297500"/>
    <n v="297500"/>
    <n v="892500"/>
    <n v="297500"/>
    <n v="297500"/>
    <n v="297500"/>
    <n v="892500"/>
    <n v="357000"/>
    <n v="1017000"/>
    <n v="357000"/>
    <n v="1731000"/>
    <n v="357000"/>
    <n v="357000"/>
    <n v="357000"/>
    <n v="1071000"/>
    <n v="4587000"/>
  </r>
  <r>
    <x v="0"/>
    <x v="18"/>
    <n v="0"/>
    <n v="0"/>
    <n v="1622690"/>
    <n v="1622690"/>
    <n v="4161177"/>
    <n v="0"/>
    <n v="0"/>
    <n v="4161177"/>
    <n v="4510143"/>
    <n v="430080"/>
    <n v="0"/>
    <n v="4940223"/>
    <n v="180000"/>
    <n v="0"/>
    <n v="0"/>
    <n v="180000"/>
    <n v="10904090"/>
  </r>
  <r>
    <x v="0"/>
    <x v="19"/>
    <n v="480000"/>
    <n v="360000"/>
    <n v="480000"/>
    <n v="1320000"/>
    <n v="0"/>
    <n v="420000"/>
    <n v="480000"/>
    <n v="900000"/>
    <n v="480000"/>
    <n v="3990000"/>
    <n v="300000"/>
    <n v="4770000"/>
    <n v="340000"/>
    <n v="240000"/>
    <n v="240000"/>
    <n v="820000"/>
    <n v="7810000"/>
  </r>
  <r>
    <x v="0"/>
    <x v="20"/>
    <n v="314498"/>
    <n v="192354"/>
    <n v="193693"/>
    <n v="700545"/>
    <n v="193849"/>
    <n v="195677"/>
    <n v="196417"/>
    <n v="585943"/>
    <n v="196688"/>
    <n v="0"/>
    <n v="0"/>
    <n v="196688"/>
    <n v="197296"/>
    <n v="198583"/>
    <n v="199300"/>
    <n v="595179"/>
    <n v="2078355"/>
  </r>
  <r>
    <x v="0"/>
    <x v="2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2"/>
    <n v="284892"/>
    <n v="427103"/>
    <n v="1143587"/>
    <n v="1855582"/>
    <n v="1389788"/>
    <n v="419287"/>
    <n v="1979452"/>
    <n v="3788527"/>
    <n v="554667"/>
    <n v="826890.28"/>
    <n v="956499"/>
    <n v="2338056.2800000003"/>
    <n v="1924381"/>
    <n v="722300"/>
    <n v="1605403.05"/>
    <n v="4252084.05"/>
    <n v="12234249.33"/>
  </r>
  <r>
    <x v="1"/>
    <x v="23"/>
    <n v="2876438"/>
    <n v="10090517"/>
    <n v="13541392"/>
    <n v="26508347"/>
    <n v="3058386"/>
    <n v="10408611"/>
    <n v="10487407"/>
    <n v="23954404"/>
    <n v="10488024"/>
    <n v="3123403"/>
    <n v="3124075"/>
    <n v="16735502"/>
    <n v="3125981"/>
    <n v="3127739"/>
    <n v="2345394"/>
    <n v="8599114"/>
    <n v="75797367"/>
  </r>
  <r>
    <x v="1"/>
    <x v="24"/>
    <n v="275093"/>
    <n v="245023"/>
    <n v="182898"/>
    <n v="703014"/>
    <n v="251948"/>
    <n v="213415"/>
    <n v="269392"/>
    <n v="734755"/>
    <n v="226822"/>
    <n v="91758"/>
    <n v="122224.15"/>
    <n v="440804.15"/>
    <n v="19581"/>
    <n v="33089"/>
    <n v="91754.44"/>
    <n v="144424.44"/>
    <n v="2022997.5899999999"/>
  </r>
  <r>
    <x v="1"/>
    <x v="25"/>
    <n v="185557"/>
    <n v="211090"/>
    <n v="192281"/>
    <n v="588928"/>
    <n v="251712"/>
    <n v="217861"/>
    <n v="208211"/>
    <n v="677784"/>
    <n v="183999"/>
    <n v="21330"/>
    <n v="8631.9699999999993"/>
    <n v="213960.97"/>
    <n v="21460"/>
    <n v="12500"/>
    <n v="31099.47"/>
    <n v="65059.47"/>
    <n v="1545732.44"/>
  </r>
  <r>
    <x v="1"/>
    <x v="26"/>
    <n v="217916"/>
    <n v="185977"/>
    <n v="159569"/>
    <n v="563462"/>
    <n v="236348"/>
    <n v="246599"/>
    <n v="258803"/>
    <n v="741750"/>
    <n v="248837"/>
    <n v="59887"/>
    <n v="88110.05"/>
    <n v="396834.05"/>
    <n v="71422"/>
    <n v="73463"/>
    <n v="55663.85"/>
    <n v="200548.85"/>
    <n v="1902594.9000000001"/>
  </r>
  <r>
    <x v="1"/>
    <x v="27"/>
    <n v="450377"/>
    <n v="196987"/>
    <n v="200151"/>
    <n v="847515"/>
    <n v="204795"/>
    <n v="282693"/>
    <n v="214627"/>
    <n v="702115"/>
    <n v="254868"/>
    <n v="112746"/>
    <n v="274539.34999999998"/>
    <n v="642153.35"/>
    <n v="131010"/>
    <n v="116448"/>
    <n v="124530.04000000001"/>
    <n v="371988.04000000004"/>
    <n v="2563771.39"/>
  </r>
  <r>
    <x v="1"/>
    <x v="28"/>
    <n v="47012"/>
    <n v="25600"/>
    <n v="69800"/>
    <n v="142412"/>
    <n v="27668"/>
    <n v="61056"/>
    <n v="54929"/>
    <n v="143653"/>
    <n v="69800"/>
    <n v="6200"/>
    <n v="66000"/>
    <n v="142000"/>
    <n v="17500"/>
    <n v="30168"/>
    <n v="0"/>
    <n v="47668"/>
    <n v="475733"/>
  </r>
  <r>
    <x v="1"/>
    <x v="29"/>
    <n v="61140"/>
    <n v="46369"/>
    <n v="24800"/>
    <n v="132309"/>
    <n v="13500"/>
    <n v="24742"/>
    <n v="13600"/>
    <n v="51842"/>
    <n v="11500"/>
    <n v="0"/>
    <n v="0"/>
    <n v="11500"/>
    <n v="1400"/>
    <n v="9000"/>
    <n v="1600"/>
    <n v="12000"/>
    <n v="207651"/>
  </r>
  <r>
    <x v="1"/>
    <x v="30"/>
    <n v="67611"/>
    <n v="134522"/>
    <n v="58493"/>
    <n v="260626"/>
    <n v="80196"/>
    <n v="80389"/>
    <n v="77680"/>
    <n v="238265"/>
    <n v="65731"/>
    <n v="43858"/>
    <n v="59142"/>
    <n v="168731"/>
    <n v="19836"/>
    <n v="32687"/>
    <n v="45351"/>
    <n v="97874"/>
    <n v="765496"/>
  </r>
  <r>
    <x v="1"/>
    <x v="31"/>
    <n v="62407"/>
    <n v="37192"/>
    <n v="41677"/>
    <n v="141276"/>
    <n v="43316"/>
    <n v="52974"/>
    <n v="42934"/>
    <n v="139224"/>
    <n v="65649"/>
    <n v="0"/>
    <n v="9290"/>
    <n v="74939"/>
    <n v="3450"/>
    <n v="0"/>
    <n v="3410"/>
    <n v="6860"/>
    <n v="362299"/>
  </r>
  <r>
    <x v="1"/>
    <x v="32"/>
    <n v="0"/>
    <n v="16800"/>
    <n v="23626"/>
    <n v="40426"/>
    <n v="0"/>
    <n v="20800"/>
    <n v="0"/>
    <n v="20800"/>
    <n v="0"/>
    <n v="22400"/>
    <n v="16800"/>
    <n v="39200"/>
    <n v="5600"/>
    <n v="11200"/>
    <n v="0"/>
    <n v="16800"/>
    <n v="117226"/>
  </r>
  <r>
    <x v="1"/>
    <x v="33"/>
    <n v="2467196"/>
    <n v="2036650"/>
    <n v="1604125"/>
    <n v="6107971"/>
    <n v="1927155"/>
    <n v="2091559"/>
    <n v="2611777"/>
    <n v="6630491"/>
    <n v="1955798"/>
    <n v="2020668"/>
    <n v="2147835"/>
    <n v="6124301"/>
    <n v="2274248"/>
    <n v="2164142"/>
    <n v="2356586"/>
    <n v="6794976"/>
    <n v="25657739"/>
  </r>
  <r>
    <x v="1"/>
    <x v="34"/>
    <n v="556000"/>
    <n v="80000"/>
    <n v="20000"/>
    <n v="656000"/>
    <n v="520000"/>
    <n v="30000"/>
    <n v="10000"/>
    <n v="560000"/>
    <n v="20000"/>
    <n v="417000"/>
    <n v="179400"/>
    <n v="616400"/>
    <n v="440000"/>
    <n v="611000"/>
    <n v="1042000"/>
    <n v="2093000"/>
    <n v="3925400"/>
  </r>
  <r>
    <x v="1"/>
    <x v="35"/>
    <n v="112000"/>
    <n v="250000"/>
    <n v="310000"/>
    <n v="672000"/>
    <n v="150000"/>
    <n v="100000"/>
    <n v="0"/>
    <n v="250000"/>
    <n v="0"/>
    <n v="0"/>
    <n v="100000"/>
    <n v="100000"/>
    <n v="0"/>
    <n v="0"/>
    <n v="0"/>
    <n v="0"/>
    <n v="1022000"/>
  </r>
  <r>
    <x v="1"/>
    <x v="36"/>
    <n v="0"/>
    <n v="0"/>
    <n v="0"/>
    <n v="0"/>
    <n v="0"/>
    <n v="0"/>
    <n v="0"/>
    <n v="0"/>
    <n v="0"/>
    <n v="0"/>
    <m/>
    <n v="0"/>
    <n v="0"/>
    <n v="0"/>
    <n v="805913"/>
    <n v="805913"/>
    <n v="805913"/>
  </r>
  <r>
    <x v="1"/>
    <x v="37"/>
    <n v="0"/>
    <n v="0"/>
    <n v="0"/>
    <n v="0"/>
    <n v="0"/>
    <n v="0"/>
    <n v="0"/>
    <n v="0"/>
    <n v="1442152"/>
    <n v="0"/>
    <m/>
    <n v="1442152"/>
    <n v="0"/>
    <n v="0"/>
    <n v="0"/>
    <n v="0"/>
    <n v="1442152"/>
  </r>
  <r>
    <x v="1"/>
    <x v="38"/>
    <n v="0"/>
    <n v="321839"/>
    <n v="0"/>
    <n v="321839"/>
    <n v="0"/>
    <n v="148000"/>
    <n v="2177234"/>
    <n v="2325234"/>
    <n v="448277"/>
    <n v="34483"/>
    <m/>
    <n v="482760"/>
    <n v="0"/>
    <n v="0"/>
    <n v="30000"/>
    <n v="30000"/>
    <n v="3159833"/>
  </r>
  <r>
    <x v="1"/>
    <x v="39"/>
    <n v="4234500"/>
    <n v="4261162"/>
    <n v="4269196"/>
    <n v="12764858"/>
    <n v="5727899"/>
    <n v="5764149"/>
    <n v="5774125"/>
    <n v="17266173"/>
    <n v="5769338"/>
    <n v="5780106"/>
    <n v="5791026"/>
    <n v="17340470"/>
    <n v="5820780"/>
    <n v="5849442"/>
    <n v="6107326"/>
    <n v="17777548"/>
    <n v="65149049"/>
  </r>
  <r>
    <x v="1"/>
    <x v="40"/>
    <n v="0"/>
    <n v="0"/>
    <n v="0"/>
    <n v="0"/>
    <n v="0"/>
    <n v="0"/>
    <n v="0"/>
    <n v="0"/>
    <n v="2180887"/>
    <n v="0"/>
    <m/>
    <n v="2180887"/>
    <n v="0"/>
    <n v="0"/>
    <n v="0"/>
    <n v="0"/>
    <n v="2180887"/>
  </r>
  <r>
    <x v="1"/>
    <x v="41"/>
    <n v="0"/>
    <n v="0"/>
    <n v="0"/>
    <n v="0"/>
    <n v="0"/>
    <n v="0"/>
    <n v="0"/>
    <n v="0"/>
    <n v="0"/>
    <n v="0"/>
    <m/>
    <n v="0"/>
    <n v="0"/>
    <n v="0"/>
    <n v="0"/>
    <n v="0"/>
    <n v="0"/>
  </r>
  <r>
    <x v="1"/>
    <x v="42"/>
    <n v="474000"/>
    <n v="475172"/>
    <n v="478369"/>
    <n v="1427541"/>
    <n v="478754"/>
    <n v="483267"/>
    <n v="485097"/>
    <n v="1447118"/>
    <n v="336754"/>
    <n v="0"/>
    <n v="149295"/>
    <n v="486049"/>
    <n v="2041766"/>
    <n v="493360"/>
    <n v="495304"/>
    <n v="3030430"/>
    <n v="6391138"/>
  </r>
  <r>
    <x v="1"/>
    <x v="43"/>
    <m/>
    <m/>
    <m/>
    <m/>
    <m/>
    <m/>
    <m/>
    <n v="0"/>
    <m/>
    <n v="5807394"/>
    <m/>
    <n v="5807394"/>
    <n v="2819419"/>
    <n v="0"/>
    <n v="0"/>
    <n v="2819419"/>
    <n v="8626813"/>
  </r>
  <r>
    <x v="1"/>
    <x v="44"/>
    <n v="1007199"/>
    <n v="1777683"/>
    <n v="3108359"/>
    <n v="5893241"/>
    <n v="1228574"/>
    <n v="2251134"/>
    <n v="1328718"/>
    <n v="4808426"/>
    <n v="797337"/>
    <n v="2591441.62"/>
    <n v="1909376.3399999999"/>
    <n v="5298154.96"/>
    <n v="1342243"/>
    <n v="1588924.01"/>
    <n v="1164647"/>
    <n v="4095814.01"/>
    <n v="20095635.969999999"/>
  </r>
  <r>
    <x v="2"/>
    <x v="45"/>
    <n v="0"/>
    <n v="0"/>
    <n v="0"/>
    <n v="0"/>
    <n v="71400"/>
    <n v="0"/>
    <n v="0"/>
    <n v="71400"/>
    <n v="0"/>
    <n v="0"/>
    <m/>
    <n v="0"/>
    <n v="0"/>
    <n v="0"/>
    <n v="0"/>
    <n v="0"/>
    <n v="71400"/>
  </r>
  <r>
    <x v="2"/>
    <x v="46"/>
    <n v="2405332"/>
    <n v="323404"/>
    <n v="40143"/>
    <n v="2768879"/>
    <n v="29838"/>
    <n v="0"/>
    <n v="0"/>
    <n v="29838"/>
    <n v="0"/>
    <n v="0"/>
    <m/>
    <n v="0"/>
    <n v="0"/>
    <n v="0"/>
    <n v="0"/>
    <n v="0"/>
    <n v="2798717"/>
  </r>
  <r>
    <x v="2"/>
    <x v="47"/>
    <n v="64448"/>
    <n v="61406"/>
    <n v="50722"/>
    <n v="176576"/>
    <n v="50800"/>
    <n v="51196"/>
    <n v="51460"/>
    <n v="153456"/>
    <n v="0"/>
    <n v="0"/>
    <m/>
    <n v="0"/>
    <n v="51692"/>
    <n v="51974"/>
    <n v="52220"/>
    <n v="155886"/>
    <n v="485918"/>
  </r>
  <r>
    <x v="2"/>
    <x v="48"/>
    <n v="16790"/>
    <n v="18470"/>
    <n v="18470"/>
    <n v="53730"/>
    <n v="18470"/>
    <n v="9235"/>
    <n v="9235"/>
    <n v="36940"/>
    <n v="9235"/>
    <n v="9235"/>
    <n v="21275"/>
    <n v="39745"/>
    <n v="9235"/>
    <n v="9235"/>
    <n v="9235"/>
    <n v="27705"/>
    <n v="158120"/>
  </r>
  <r>
    <x v="2"/>
    <x v="49"/>
    <n v="883344"/>
    <n v="833217"/>
    <n v="902882"/>
    <n v="2619443"/>
    <n v="905178"/>
    <n v="916557"/>
    <n v="921778"/>
    <n v="2743513"/>
    <n v="976608"/>
    <n v="930857"/>
    <n v="930713"/>
    <n v="2838178"/>
    <n v="935988"/>
    <n v="942329"/>
    <n v="971197"/>
    <n v="2849514"/>
    <n v="11050648"/>
  </r>
  <r>
    <x v="2"/>
    <x v="50"/>
    <n v="3885"/>
    <n v="3492"/>
    <n v="2178"/>
    <n v="9555"/>
    <n v="4966"/>
    <n v="7667"/>
    <n v="14083"/>
    <n v="26716"/>
    <n v="4230"/>
    <n v="10356"/>
    <n v="5063"/>
    <n v="19649"/>
    <n v="5115"/>
    <n v="9604"/>
    <n v="4861"/>
    <n v="19580"/>
    <n v="75500"/>
  </r>
  <r>
    <x v="2"/>
    <x v="51"/>
    <n v="367675"/>
    <n v="406360"/>
    <n v="399456"/>
    <n v="1173491"/>
    <n v="400259"/>
    <n v="397565"/>
    <n v="397039"/>
    <n v="1194863"/>
    <n v="391412"/>
    <n v="383571"/>
    <n v="409777"/>
    <n v="1184760"/>
    <n v="409531"/>
    <n v="425569"/>
    <n v="408388"/>
    <n v="1243488"/>
    <n v="4796602"/>
  </r>
  <r>
    <x v="2"/>
    <x v="52"/>
    <n v="21595"/>
    <n v="19980"/>
    <n v="0"/>
    <n v="41575"/>
    <n v="17900"/>
    <n v="23639"/>
    <n v="106640"/>
    <n v="148179"/>
    <n v="0"/>
    <n v="0"/>
    <n v="12040"/>
    <n v="12040"/>
    <m/>
    <n v="12040"/>
    <n v="107357"/>
    <n v="119397"/>
    <n v="321191"/>
  </r>
  <r>
    <x v="2"/>
    <x v="53"/>
    <n v="1000000"/>
    <n v="0"/>
    <n v="0"/>
    <n v="1000000"/>
    <n v="0"/>
    <n v="0"/>
    <n v="0"/>
    <n v="0"/>
    <n v="0"/>
    <n v="0"/>
    <m/>
    <n v="0"/>
    <n v="0"/>
    <n v="0"/>
    <n v="0"/>
    <n v="0"/>
    <n v="1000000"/>
  </r>
  <r>
    <x v="2"/>
    <x v="54"/>
    <n v="1956016"/>
    <n v="0"/>
    <n v="0"/>
    <n v="1956016"/>
    <n v="0"/>
    <n v="0"/>
    <n v="0"/>
    <n v="0"/>
    <n v="0"/>
    <n v="0"/>
    <m/>
    <n v="0"/>
    <n v="0"/>
    <n v="0"/>
    <n v="0"/>
    <n v="0"/>
    <n v="1956016"/>
  </r>
  <r>
    <x v="3"/>
    <x v="55"/>
    <n v="0"/>
    <n v="0"/>
    <n v="0"/>
    <n v="0"/>
    <n v="0"/>
    <n v="0"/>
    <n v="0"/>
    <n v="0"/>
    <n v="0"/>
    <n v="0"/>
    <m/>
    <n v="0"/>
    <n v="0"/>
    <n v="0"/>
    <n v="0"/>
    <n v="0"/>
    <n v="0"/>
  </r>
  <r>
    <x v="3"/>
    <x v="56"/>
    <n v="0"/>
    <n v="557138"/>
    <n v="0"/>
    <n v="557138"/>
    <n v="2505540"/>
    <n v="557956"/>
    <n v="0"/>
    <n v="3063496"/>
    <n v="0"/>
    <n v="404759"/>
    <n v="977243"/>
    <n v="1382002"/>
    <n v="0"/>
    <n v="0"/>
    <n v="0"/>
    <n v="0"/>
    <n v="5002636"/>
  </r>
  <r>
    <x v="3"/>
    <x v="57"/>
    <n v="0"/>
    <n v="0"/>
    <n v="0"/>
    <n v="0"/>
    <n v="0"/>
    <n v="785739"/>
    <n v="0"/>
    <n v="785739"/>
    <n v="0"/>
    <n v="65981"/>
    <m/>
    <n v="65981"/>
    <n v="271431"/>
    <n v="277171"/>
    <n v="0"/>
    <n v="548602"/>
    <n v="1400322"/>
  </r>
  <r>
    <x v="4"/>
    <x v="58"/>
    <n v="0"/>
    <n v="0"/>
    <n v="0"/>
    <n v="0"/>
    <n v="0"/>
    <n v="0"/>
    <n v="0"/>
    <n v="0"/>
    <n v="0"/>
    <n v="0"/>
    <m/>
    <n v="0"/>
    <n v="0"/>
    <n v="0"/>
    <n v="0"/>
    <n v="0"/>
    <n v="0"/>
  </r>
  <r>
    <x v="4"/>
    <x v="59"/>
    <n v="0"/>
    <n v="0"/>
    <n v="0"/>
    <n v="0"/>
    <n v="124950"/>
    <n v="0"/>
    <n v="0"/>
    <n v="124950"/>
    <n v="0"/>
    <n v="404600"/>
    <n v="95200"/>
    <n v="499800"/>
    <n v="0"/>
    <n v="0"/>
    <n v="0"/>
    <n v="0"/>
    <n v="624750"/>
  </r>
  <r>
    <x v="4"/>
    <x v="60"/>
    <n v="1754301"/>
    <n v="1652469"/>
    <n v="1813994"/>
    <n v="5220764"/>
    <n v="1676574"/>
    <n v="1717382"/>
    <n v="1711419"/>
    <n v="5105375"/>
    <n v="1709439"/>
    <n v="1478329"/>
    <n v="1735716"/>
    <n v="4923484"/>
    <n v="2524551"/>
    <n v="1676488"/>
    <n v="1570052"/>
    <n v="5771091"/>
    <n v="21020714"/>
  </r>
  <r>
    <x v="4"/>
    <x v="61"/>
    <n v="131701"/>
    <n v="127908"/>
    <n v="126280"/>
    <n v="385889"/>
    <n v="76818"/>
    <n v="19583"/>
    <n v="0"/>
    <n v="96401"/>
    <n v="29080"/>
    <n v="0"/>
    <m/>
    <n v="29080"/>
    <n v="0"/>
    <n v="0"/>
    <n v="2525323.4468"/>
    <n v="2525323.4468"/>
    <n v="3036693.4468"/>
  </r>
  <r>
    <x v="4"/>
    <x v="62"/>
    <n v="785849"/>
    <n v="876918"/>
    <n v="876918"/>
    <n v="2539685"/>
    <n v="876918"/>
    <n v="814281"/>
    <n v="814281"/>
    <n v="2505480"/>
    <n v="751644"/>
    <n v="876918"/>
    <n v="814281"/>
    <n v="2442843"/>
    <n v="1064829"/>
    <n v="1127466"/>
    <n v="689007"/>
    <n v="2881302"/>
    <n v="10369310"/>
  </r>
  <r>
    <x v="4"/>
    <x v="63"/>
    <n v="2629900"/>
    <n v="2629900"/>
    <n v="2832200"/>
    <n v="8092000"/>
    <n v="2629900"/>
    <n v="2629900"/>
    <n v="2629900"/>
    <n v="7889700"/>
    <n v="2629900"/>
    <n v="2665600"/>
    <n v="2427600"/>
    <n v="7723100"/>
    <n v="3439100"/>
    <n v="2225300"/>
    <n v="2225300"/>
    <n v="7889700"/>
    <n v="31594500"/>
  </r>
  <r>
    <x v="5"/>
    <x v="64"/>
    <n v="202300"/>
    <n v="0"/>
    <n v="404600"/>
    <n v="606900"/>
    <n v="404600"/>
    <n v="202300"/>
    <n v="404600"/>
    <n v="1011500"/>
    <n v="606900"/>
    <n v="606900"/>
    <m/>
    <n v="1213800"/>
    <n v="404600"/>
    <n v="404600"/>
    <n v="0"/>
    <n v="809200"/>
    <n v="3641400"/>
  </r>
  <r>
    <x v="5"/>
    <x v="65"/>
    <n v="0"/>
    <n v="0"/>
    <n v="0"/>
    <n v="0"/>
    <n v="238000"/>
    <n v="0"/>
    <n v="214200"/>
    <n v="452200"/>
    <n v="0"/>
    <n v="309400"/>
    <m/>
    <n v="309400"/>
    <n v="190400"/>
    <n v="0"/>
    <n v="0"/>
    <n v="190400"/>
    <n v="952000"/>
  </r>
  <r>
    <x v="5"/>
    <x v="66"/>
    <n v="0"/>
    <n v="0"/>
    <n v="347796"/>
    <n v="347796"/>
    <n v="353067"/>
    <n v="252806"/>
    <n v="491473"/>
    <n v="1097346"/>
    <n v="622546"/>
    <n v="689477"/>
    <n v="766537"/>
    <n v="2078560"/>
    <n v="396295"/>
    <n v="505501"/>
    <n v="0"/>
    <n v="901796"/>
    <n v="4425498"/>
  </r>
  <r>
    <x v="5"/>
    <x v="67"/>
    <n v="135599"/>
    <n v="0"/>
    <n v="0"/>
    <n v="135599"/>
    <n v="350399"/>
    <n v="49347"/>
    <n v="362498"/>
    <n v="762244"/>
    <n v="416556"/>
    <n v="735520"/>
    <n v="152120"/>
    <n v="1304196"/>
    <n v="496474"/>
    <n v="69989"/>
    <n v="0"/>
    <n v="566463"/>
    <n v="2768502"/>
  </r>
  <r>
    <x v="5"/>
    <x v="68"/>
    <n v="209735"/>
    <n v="0"/>
    <n v="318372"/>
    <n v="528107"/>
    <n v="1974992"/>
    <n v="876511.34550000005"/>
    <n v="1736192"/>
    <n v="4587695.3454999998"/>
    <n v="677762"/>
    <n v="1845446.7616999999"/>
    <m/>
    <n v="2523208.7616999997"/>
    <n v="2254756"/>
    <n v="1134795.5429999998"/>
    <n v="0"/>
    <n v="3389551.5429999996"/>
    <n v="11028562.650199998"/>
  </r>
  <r>
    <x v="5"/>
    <x v="69"/>
    <n v="55529"/>
    <n v="0"/>
    <n v="125274"/>
    <n v="180803"/>
    <n v="125274"/>
    <n v="62637"/>
    <n v="125274"/>
    <n v="313185"/>
    <n v="187911"/>
    <n v="187911"/>
    <m/>
    <n v="375822"/>
    <n v="125274"/>
    <n v="125274"/>
    <n v="0"/>
    <n v="250548"/>
    <n v="1120358"/>
  </r>
  <r>
    <x v="6"/>
    <x v="70"/>
    <n v="2105886"/>
    <n v="256534"/>
    <n v="0"/>
    <n v="2362420"/>
    <n v="81633"/>
    <n v="0"/>
    <n v="1556129"/>
    <n v="1637762"/>
    <n v="0"/>
    <n v="283968"/>
    <n v="701680"/>
    <n v="985648"/>
    <n v="1246648"/>
    <n v="1481578"/>
    <n v="1559117"/>
    <n v="4287343"/>
    <n v="9273173"/>
  </r>
  <r>
    <x v="6"/>
    <x v="71"/>
    <n v="0"/>
    <n v="0"/>
    <n v="0"/>
    <n v="0"/>
    <n v="0"/>
    <n v="0"/>
    <n v="239428"/>
    <n v="239428"/>
    <n v="0"/>
    <n v="0"/>
    <n v="0"/>
    <n v="0"/>
    <n v="0"/>
    <n v="0"/>
    <n v="0"/>
    <n v="0"/>
    <n v="239428"/>
  </r>
  <r>
    <x v="6"/>
    <x v="72"/>
    <n v="0"/>
    <n v="0"/>
    <n v="0"/>
    <n v="0"/>
    <n v="0"/>
    <n v="0"/>
    <n v="232050"/>
    <n v="232050"/>
    <n v="0"/>
    <n v="0"/>
    <n v="0"/>
    <n v="0"/>
    <n v="0"/>
    <n v="250548"/>
    <n v="0"/>
    <n v="250548"/>
    <n v="482598"/>
  </r>
  <r>
    <x v="6"/>
    <x v="73"/>
    <n v="0"/>
    <n v="0"/>
    <n v="0"/>
    <n v="0"/>
    <n v="0"/>
    <n v="0"/>
    <n v="606907"/>
    <n v="606907"/>
    <n v="0"/>
    <n v="0"/>
    <n v="0"/>
    <n v="0"/>
    <n v="0"/>
    <n v="1741084"/>
    <n v="0"/>
    <n v="1741084"/>
    <n v="2347991"/>
  </r>
  <r>
    <x v="6"/>
    <x v="74"/>
    <n v="4039479.0136000002"/>
    <n v="4039704"/>
    <n v="3289505"/>
    <n v="11368688.013599999"/>
    <n v="3263589"/>
    <n v="3390065"/>
    <n v="3452660"/>
    <n v="10106314"/>
    <n v="3440192"/>
    <n v="4261203.760400001"/>
    <n v="6272534.517"/>
    <n v="13973930.277400002"/>
    <n v="6291267.517"/>
    <n v="6325531.7171999998"/>
    <n v="6340726.0404000003"/>
    <n v="18957525.274599999"/>
    <n v="54406457.5656"/>
  </r>
  <r>
    <x v="6"/>
    <x v="75"/>
    <n v="58569881"/>
    <n v="67420824"/>
    <n v="24342789"/>
    <n v="150333494"/>
    <n v="47353484"/>
    <n v="38946156"/>
    <n v="12546857"/>
    <n v="98846497"/>
    <n v="37979581"/>
    <n v="22826698"/>
    <n v="27210785"/>
    <n v="88017064"/>
    <n v="24848543"/>
    <n v="14223027"/>
    <n v="137958420"/>
    <n v="177029990"/>
    <n v="514227045"/>
  </r>
  <r>
    <x v="6"/>
    <x v="76"/>
    <n v="18585"/>
    <n v="22337"/>
    <n v="21832"/>
    <n v="62754"/>
    <n v="21884"/>
    <n v="21832"/>
    <n v="22493"/>
    <n v="66209"/>
    <n v="28361"/>
    <n v="23842"/>
    <n v="22084"/>
    <n v="74287"/>
    <n v="21924"/>
    <n v="21832"/>
    <n v="21832"/>
    <n v="65588"/>
    <n v="268838"/>
  </r>
  <r>
    <x v="6"/>
    <x v="77"/>
    <n v="47214"/>
    <n v="47456"/>
    <n v="47763"/>
    <n v="142433"/>
    <n v="47837"/>
    <n v="48210"/>
    <n v="48458"/>
    <n v="144505"/>
    <n v="48531"/>
    <n v="48469"/>
    <n v="48591"/>
    <n v="145591"/>
    <n v="48676"/>
    <n v="48942"/>
    <n v="49174"/>
    <n v="146792"/>
    <n v="579321"/>
  </r>
  <r>
    <x v="6"/>
    <x v="78"/>
    <n v="100095"/>
    <n v="41301"/>
    <n v="228626"/>
    <n v="370022"/>
    <n v="136991"/>
    <n v="59200"/>
    <n v="93744"/>
    <n v="289935"/>
    <n v="56375"/>
    <n v="130693"/>
    <n v="314897"/>
    <n v="501965"/>
    <n v="104016"/>
    <n v="334467"/>
    <n v="247895"/>
    <n v="686378"/>
    <n v="1848300"/>
  </r>
  <r>
    <x v="6"/>
    <x v="79"/>
    <n v="180000"/>
    <n v="257632"/>
    <n v="26000"/>
    <n v="463632"/>
    <n v="0"/>
    <n v="280000"/>
    <n v="237000"/>
    <n v="517000"/>
    <n v="534882"/>
    <n v="0"/>
    <n v="0"/>
    <n v="534882"/>
    <n v="407026"/>
    <n v="0"/>
    <n v="926600"/>
    <n v="1333626"/>
    <n v="2849140"/>
  </r>
  <r>
    <x v="6"/>
    <x v="80"/>
    <n v="0"/>
    <n v="0"/>
    <n v="1379310"/>
    <n v="1379310"/>
    <n v="2631975"/>
    <n v="1111543"/>
    <n v="1200000"/>
    <n v="4943518"/>
    <n v="1111543"/>
    <n v="150091"/>
    <n v="0"/>
    <n v="1261634"/>
    <n v="0"/>
    <n v="0"/>
    <n v="320000"/>
    <n v="320000"/>
    <n v="7904462"/>
  </r>
  <r>
    <x v="6"/>
    <x v="81"/>
    <n v="1521095"/>
    <n v="6107971"/>
    <n v="1681157"/>
    <n v="9310223"/>
    <n v="2773748"/>
    <n v="4031092"/>
    <n v="991569"/>
    <n v="7796409"/>
    <n v="7891815"/>
    <n v="8343605.3300000001"/>
    <n v="962410"/>
    <n v="17197830.329999998"/>
    <n v="106376"/>
    <n v="271183.16800000001"/>
    <n v="1225440"/>
    <n v="1602999.1680000001"/>
    <n v="35907461.497999996"/>
  </r>
  <r>
    <x v="6"/>
    <x v="82"/>
    <n v="24353"/>
    <n v="25193"/>
    <n v="25193"/>
    <n v="74739"/>
    <n v="25193"/>
    <n v="25193"/>
    <n v="25193"/>
    <n v="75579"/>
    <n v="25193"/>
    <n v="25193"/>
    <n v="25193"/>
    <n v="75579"/>
    <n v="25193"/>
    <n v="25193"/>
    <n v="25193"/>
    <n v="75579"/>
    <n v="301476"/>
  </r>
  <r>
    <x v="6"/>
    <x v="83"/>
    <n v="4500000"/>
    <n v="4500000"/>
    <n v="4500000"/>
    <n v="13500000"/>
    <n v="4500000"/>
    <n v="4500000"/>
    <n v="5600000"/>
    <n v="14600000"/>
    <n v="5600000"/>
    <n v="5600000"/>
    <n v="5600000"/>
    <n v="16800000"/>
    <n v="5600000"/>
    <n v="5600000"/>
    <n v="5600000"/>
    <n v="16800000"/>
    <n v="61700000"/>
  </r>
  <r>
    <x v="6"/>
    <x v="84"/>
    <n v="740520"/>
    <n v="15312925"/>
    <n v="3780510"/>
    <n v="19833955"/>
    <n v="358775"/>
    <n v="7180565"/>
    <n v="9565768"/>
    <n v="17105108"/>
    <n v="17564001"/>
    <n v="1942663"/>
    <n v="322653"/>
    <n v="19829317"/>
    <n v="0"/>
    <n v="11899943"/>
    <n v="5200943"/>
    <n v="17100886"/>
    <n v="73869266"/>
  </r>
  <r>
    <x v="6"/>
    <x v="85"/>
    <n v="3060000"/>
    <n v="0"/>
    <n v="0"/>
    <n v="3060000"/>
    <n v="0"/>
    <n v="0"/>
    <n v="0"/>
    <n v="0"/>
    <n v="0"/>
    <n v="0"/>
    <n v="0"/>
    <n v="0"/>
    <n v="0"/>
    <n v="0"/>
    <n v="0"/>
    <n v="0"/>
    <n v="3060000"/>
  </r>
  <r>
    <x v="6"/>
    <x v="86"/>
    <n v="1447169.6856"/>
    <n v="1620649.2435999999"/>
    <n v="1755447.0663999999"/>
    <n v="4823265.9956"/>
    <n v="1767633.0663999999"/>
    <n v="1712796.0663999999"/>
    <n v="1679792.3163999999"/>
    <n v="5160221.4491999997"/>
    <n v="1581395.6524"/>
    <n v="1631048.3163999999"/>
    <n v="1820269.2748"/>
    <n v="5032713.2435999997"/>
    <n v="0"/>
    <n v="0"/>
    <n v="0"/>
    <n v="0"/>
    <n v="15016200.6884"/>
  </r>
  <r>
    <x v="6"/>
    <x v="87"/>
    <n v="147886.70952"/>
    <n v="128422.76584000001"/>
    <n v="150113.10952"/>
    <n v="426422.58488000004"/>
    <n v="149370.90951999999"/>
    <n v="150113.10952"/>
    <n v="150113.10952"/>
    <n v="449597.12855999998"/>
    <n v="150273.03416000001"/>
    <n v="130769.11343999999"/>
    <n v="167554.50951999999"/>
    <n v="448596.65711999999"/>
    <n v="129993.30952"/>
    <n v="123757.59496"/>
    <n v="176759.25951999999"/>
    <n v="430510.16399999999"/>
    <n v="1755126.5345600001"/>
  </r>
  <r>
    <x v="6"/>
    <x v="88"/>
    <n v="746248.24945800006"/>
    <n v="765918.76364600018"/>
    <n v="765759.97364600014"/>
    <n v="2277926.9867500002"/>
    <n v="1026845.083876"/>
    <n v="764657.1536460002"/>
    <n v="1069134.0473960002"/>
    <n v="2860636.2849180005"/>
    <n v="376386.94176000007"/>
    <n v="296910.09176000004"/>
    <n v="337794.86600000004"/>
    <n v="1011091.8995200001"/>
    <n v="294241.86600000004"/>
    <n v="298004.06600000005"/>
    <n v="345470.21600000001"/>
    <n v="937716.14800000004"/>
    <n v="7087371.3191880006"/>
  </r>
  <r>
    <x v="6"/>
    <x v="89"/>
    <n v="568119.63760400005"/>
    <n v="552014.87827600003"/>
    <n v="547622.37026800006"/>
    <n v="1667756.8861480001"/>
    <n v="547622.37026800006"/>
    <n v="547622.37026800006"/>
    <n v="554040.66192400001"/>
    <n v="1649285.40246"/>
    <n v="598478.25644000003"/>
    <n v="552210.72609600006"/>
    <n v="817297.92565600004"/>
    <n v="1967986.9081920004"/>
    <n v="572085.69388000004"/>
    <n v="552210.72609600006"/>
    <n v="714692.69777600013"/>
    <n v="1838989.1177520002"/>
    <n v="7124018.3145520017"/>
  </r>
  <r>
    <x v="6"/>
    <x v="90"/>
    <n v="867233.33400000003"/>
    <n v="867233.33400000003"/>
    <n v="499999.76319999999"/>
    <n v="2234466.4312"/>
    <n v="499999.76319999999"/>
    <n v="491603.76319999999"/>
    <n v="513349.52619999996"/>
    <n v="1504953.0526000001"/>
    <n v="510019.90480000002"/>
    <n v="477469.43459999998"/>
    <n v="603980.8702"/>
    <n v="1591470.2095999999"/>
    <n v="536703.76679999998"/>
    <n v="517939.79580000002"/>
    <n v="642087.03520000004"/>
    <n v="1696730.5978000001"/>
    <n v="7027620.2912000008"/>
  </r>
  <r>
    <x v="6"/>
    <x v="91"/>
    <n v="4073608.9530000002"/>
    <n v="4070359.2464999999"/>
    <n v="4069396.8600300006"/>
    <n v="12213365.059530001"/>
    <n v="4065548.8804200003"/>
    <n v="4062706.4890800002"/>
    <n v="4058631.9"/>
    <n v="12186887.2695"/>
    <n v="4069913.4"/>
    <n v="4068717.3000000003"/>
    <n v="4277352.6000000006"/>
    <n v="12415983.300000001"/>
    <n v="4072048.2"/>
    <n v="4069461.6"/>
    <n v="4319267.4000000004"/>
    <n v="12460777.200000001"/>
    <n v="49277012.829030007"/>
  </r>
  <r>
    <x v="6"/>
    <x v="92"/>
    <m/>
    <m/>
    <m/>
    <m/>
    <m/>
    <m/>
    <m/>
    <n v="0"/>
    <n v="1009788"/>
    <n v="1009788.0388"/>
    <n v="1016312.406"/>
    <n v="3035888.4447999997"/>
    <n v="1016312.406"/>
    <n v="1010369.826"/>
    <n v="1010369.826"/>
    <n v="3037052.0579999997"/>
    <n v="6072940.502799999"/>
  </r>
  <r>
    <x v="6"/>
    <x v="93"/>
    <m/>
    <m/>
    <m/>
    <m/>
    <m/>
    <m/>
    <n v="2975463"/>
    <n v="2975463"/>
    <n v="0"/>
    <n v="0"/>
    <n v="0"/>
    <n v="0"/>
    <n v="0"/>
    <n v="0"/>
    <n v="0"/>
    <n v="0"/>
    <n v="2975463"/>
  </r>
  <r>
    <x v="6"/>
    <x v="94"/>
    <m/>
    <m/>
    <m/>
    <m/>
    <m/>
    <m/>
    <n v="0"/>
    <n v="0"/>
    <n v="850168.57068"/>
    <n v="724333.0748399999"/>
    <n v="1004656.8589200001"/>
    <n v="2579158.5044399998"/>
    <n v="683015.28960000002"/>
    <n v="840184.55891999998"/>
    <n v="1057858.0178399999"/>
    <n v="2581057.8663599999"/>
    <n v="5160216.3707999997"/>
  </r>
  <r>
    <x v="6"/>
    <x v="95"/>
    <n v="0"/>
    <n v="0"/>
    <n v="0"/>
    <n v="0"/>
    <n v="0"/>
    <n v="0"/>
    <n v="0"/>
    <n v="0"/>
    <n v="0"/>
    <n v="0"/>
    <n v="775510"/>
    <n v="775510"/>
    <n v="775510"/>
    <n v="775510"/>
    <n v="816250.42999999993"/>
    <n v="2367270.4299999997"/>
    <n v="3142780.4299999997"/>
  </r>
  <r>
    <x v="6"/>
    <x v="96"/>
    <n v="0"/>
    <n v="0"/>
    <n v="0"/>
    <n v="0"/>
    <n v="0"/>
    <n v="0"/>
    <n v="0"/>
    <n v="0"/>
    <n v="0"/>
    <n v="0"/>
    <m/>
    <n v="0"/>
    <n v="1712057.3106"/>
    <n v="1439419.8692000001"/>
    <n v="51137.5"/>
    <n v="3202614.6798"/>
    <n v="3202614.6798"/>
  </r>
  <r>
    <x v="6"/>
    <x v="97"/>
    <n v="0"/>
    <n v="0"/>
    <n v="0"/>
    <n v="0"/>
    <n v="0"/>
    <n v="0"/>
    <n v="0"/>
    <n v="0"/>
    <n v="0"/>
    <n v="0"/>
    <m/>
    <n v="0"/>
    <n v="1919817.0444999998"/>
    <n v="1985863.0444999998"/>
    <n v="1985863.0444999998"/>
    <n v="5891543.1334999995"/>
    <n v="5891543.1334999995"/>
  </r>
  <r>
    <x v="6"/>
    <x v="98"/>
    <n v="629821"/>
    <n v="632406"/>
    <n v="635042"/>
    <n v="1897269"/>
    <n v="637622"/>
    <n v="642380"/>
    <n v="643833"/>
    <n v="1923835"/>
    <n v="1500733"/>
    <n v="644014"/>
    <n v="645911"/>
    <n v="2790658"/>
    <n v="7326535"/>
    <n v="651798"/>
    <n v="7319066"/>
    <n v="15297399"/>
    <n v="21909161"/>
  </r>
  <r>
    <x v="6"/>
    <x v="99"/>
    <n v="1883324"/>
    <n v="718345"/>
    <n v="762045"/>
    <n v="3363714"/>
    <n v="1336763"/>
    <n v="198400"/>
    <n v="561526"/>
    <n v="2096689"/>
    <n v="1517575"/>
    <n v="595200"/>
    <n v="396800"/>
    <n v="2509575"/>
    <n v="985510"/>
    <n v="1032070"/>
    <n v="1583356"/>
    <n v="3600936"/>
    <n v="11570914"/>
  </r>
  <r>
    <x v="6"/>
    <x v="100"/>
    <n v="0"/>
    <n v="149112"/>
    <n v="0"/>
    <n v="149112"/>
    <n v="0"/>
    <n v="0"/>
    <n v="0"/>
    <n v="0"/>
    <n v="0"/>
    <n v="0"/>
    <n v="0"/>
    <n v="0"/>
    <n v="0"/>
    <n v="0"/>
    <n v="0"/>
    <n v="0"/>
    <n v="149112"/>
  </r>
  <r>
    <x v="6"/>
    <x v="101"/>
    <n v="0"/>
    <n v="2051440"/>
    <n v="1155094"/>
    <n v="3206534"/>
    <n v="0"/>
    <n v="264937"/>
    <n v="0"/>
    <n v="264937"/>
    <n v="0"/>
    <n v="0"/>
    <n v="0"/>
    <n v="0"/>
    <n v="0"/>
    <n v="264937"/>
    <n v="0"/>
    <n v="264937"/>
    <n v="3736408"/>
  </r>
  <r>
    <x v="6"/>
    <x v="102"/>
    <n v="0"/>
    <n v="0"/>
    <n v="0"/>
    <n v="0"/>
    <n v="0"/>
    <n v="0"/>
    <n v="0"/>
    <n v="0"/>
    <n v="0"/>
    <n v="0"/>
    <n v="758242"/>
    <n v="758242"/>
    <n v="0"/>
    <n v="0"/>
    <n v="0"/>
    <n v="0"/>
    <n v="758242"/>
  </r>
  <r>
    <x v="6"/>
    <x v="103"/>
    <n v="0"/>
    <n v="0"/>
    <n v="0"/>
    <n v="0"/>
    <n v="0"/>
    <n v="0"/>
    <n v="0"/>
    <n v="0"/>
    <n v="0"/>
    <n v="2431676"/>
    <n v="0"/>
    <n v="2431676"/>
    <n v="148503"/>
    <n v="0"/>
    <n v="0"/>
    <n v="148503"/>
    <n v="2580179"/>
  </r>
  <r>
    <x v="6"/>
    <x v="104"/>
    <n v="0"/>
    <n v="0"/>
    <n v="0"/>
    <n v="0"/>
    <n v="0"/>
    <n v="0"/>
    <n v="0"/>
    <n v="0"/>
    <n v="0"/>
    <n v="5734512"/>
    <n v="4597684"/>
    <n v="10332196"/>
    <n v="2673816"/>
    <n v="0"/>
    <n v="4348432"/>
    <n v="7022248"/>
    <n v="17354444"/>
  </r>
  <r>
    <x v="6"/>
    <x v="105"/>
    <n v="12586943"/>
    <n v="2217831"/>
    <n v="34125775"/>
    <n v="48930549"/>
    <n v="21405654"/>
    <n v="11951748"/>
    <n v="13760307"/>
    <n v="47117709"/>
    <n v="0"/>
    <n v="11994620"/>
    <n v="2439223"/>
    <n v="14433843"/>
    <n v="0"/>
    <n v="0"/>
    <n v="0"/>
    <n v="0"/>
    <n v="110482101"/>
  </r>
  <r>
    <x v="6"/>
    <x v="106"/>
    <n v="10793157"/>
    <n v="2831136"/>
    <n v="13302722"/>
    <n v="26927015"/>
    <n v="1320315"/>
    <n v="12051421"/>
    <n v="13081099"/>
    <n v="26452835"/>
    <n v="12242032"/>
    <n v="19115896"/>
    <n v="17833394"/>
    <n v="49191322"/>
    <n v="12571890"/>
    <n v="1599218"/>
    <n v="2024627"/>
    <n v="16195735"/>
    <n v="118766907"/>
  </r>
  <r>
    <x v="6"/>
    <x v="107"/>
    <n v="0"/>
    <n v="23062.221000000001"/>
    <n v="160289"/>
    <n v="183351.22099999999"/>
    <n v="106056"/>
    <n v="188369.78160000007"/>
    <n v="143011"/>
    <n v="437436.7816000001"/>
    <n v="0"/>
    <n v="17617"/>
    <n v="0"/>
    <n v="17617"/>
    <n v="54848"/>
    <n v="0"/>
    <n v="0"/>
    <n v="54848"/>
    <n v="693253.00260000012"/>
  </r>
  <r>
    <x v="6"/>
    <x v="108"/>
    <n v="0"/>
    <n v="0"/>
    <n v="0"/>
    <n v="0"/>
    <n v="0"/>
    <n v="0"/>
    <n v="0"/>
    <n v="0"/>
    <n v="0"/>
    <n v="3709860"/>
    <n v="0"/>
    <n v="3709860"/>
    <n v="0"/>
    <n v="0"/>
    <n v="0"/>
    <n v="0"/>
    <n v="3709860"/>
  </r>
  <r>
    <x v="6"/>
    <x v="109"/>
    <n v="0"/>
    <n v="0"/>
    <n v="0"/>
    <n v="0"/>
    <n v="0"/>
    <n v="0"/>
    <n v="0"/>
    <n v="0"/>
    <n v="0"/>
    <n v="0"/>
    <m/>
    <n v="0"/>
    <n v="4201962"/>
    <n v="0"/>
    <n v="128000"/>
    <n v="4329962"/>
    <n v="4329962"/>
  </r>
  <r>
    <x v="6"/>
    <x v="110"/>
    <n v="0"/>
    <n v="0"/>
    <n v="0"/>
    <n v="0"/>
    <n v="0"/>
    <n v="0"/>
    <n v="0"/>
    <n v="0"/>
    <n v="0"/>
    <n v="0"/>
    <m/>
    <n v="0"/>
    <n v="1277406"/>
    <n v="0"/>
    <n v="4765955"/>
    <n v="6043361"/>
    <n v="6043361"/>
  </r>
  <r>
    <x v="6"/>
    <x v="11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112"/>
    <n v="359537"/>
    <n v="361801"/>
    <n v="362471"/>
    <n v="1083809"/>
    <n v="394152"/>
    <n v="420301"/>
    <n v="431698"/>
    <n v="1246151"/>
    <n v="403758"/>
    <n v="412075"/>
    <n v="405423"/>
    <n v="1221256"/>
    <n v="407556"/>
    <n v="413016"/>
    <n v="476577"/>
    <n v="1297149"/>
    <n v="4848365"/>
  </r>
  <r>
    <x v="7"/>
    <x v="113"/>
    <n v="42546"/>
    <n v="43165"/>
    <n v="42696"/>
    <n v="128407"/>
    <n v="42928"/>
    <n v="43215"/>
    <n v="43303"/>
    <n v="129446"/>
    <n v="43276"/>
    <n v="43323"/>
    <n v="43430"/>
    <n v="130029"/>
    <n v="60237"/>
    <n v="6581"/>
    <n v="6616"/>
    <n v="73434"/>
    <n v="461316"/>
  </r>
  <r>
    <x v="7"/>
    <x v="114"/>
    <n v="8795"/>
    <n v="8824"/>
    <n v="8900"/>
    <n v="26519"/>
    <n v="8181"/>
    <n v="8973"/>
    <n v="9014"/>
    <n v="26168"/>
    <n v="9024"/>
    <n v="9009"/>
    <n v="9038"/>
    <n v="27071"/>
    <n v="9058"/>
    <n v="9109"/>
    <n v="9147"/>
    <n v="27314"/>
    <n v="107072"/>
  </r>
  <r>
    <x v="7"/>
    <x v="115"/>
    <n v="19270629"/>
    <n v="13623843"/>
    <n v="20793901"/>
    <n v="53688373"/>
    <n v="19945908"/>
    <n v="23443075"/>
    <n v="19303172"/>
    <n v="62692155"/>
    <n v="21075059"/>
    <n v="20290600"/>
    <n v="19253544"/>
    <n v="60619203"/>
    <n v="20642716"/>
    <n v="19501014"/>
    <n v="25923078"/>
    <n v="66066808"/>
    <n v="243066539"/>
  </r>
  <r>
    <x v="7"/>
    <x v="116"/>
    <n v="52795"/>
    <n v="50892"/>
    <n v="34262"/>
    <n v="137949"/>
    <n v="34326"/>
    <n v="0"/>
    <n v="34084"/>
    <n v="68410"/>
    <n v="70754"/>
    <n v="36350"/>
    <n v="0"/>
    <n v="107104"/>
    <n v="0"/>
    <n v="0"/>
    <n v="0"/>
    <n v="0"/>
    <n v="313463"/>
  </r>
  <r>
    <x v="7"/>
    <x v="117"/>
    <n v="1595459"/>
    <n v="302103"/>
    <n v="669740"/>
    <n v="2567302"/>
    <n v="832282"/>
    <n v="1051590"/>
    <n v="1034429"/>
    <n v="2918301"/>
    <n v="720723"/>
    <n v="1020186"/>
    <n v="756867"/>
    <n v="2497776"/>
    <n v="490931"/>
    <n v="968989"/>
    <n v="1012321"/>
    <n v="2472241"/>
    <n v="10455620"/>
  </r>
  <r>
    <x v="7"/>
    <x v="118"/>
    <n v="0"/>
    <n v="47467"/>
    <n v="0"/>
    <n v="47467"/>
    <n v="0"/>
    <n v="0"/>
    <n v="0"/>
    <n v="0"/>
    <n v="97670"/>
    <n v="0"/>
    <n v="53059"/>
    <n v="150729"/>
    <n v="410282"/>
    <n v="262099"/>
    <n v="155235"/>
    <n v="827616"/>
    <n v="1025812"/>
  </r>
  <r>
    <x v="7"/>
    <x v="119"/>
    <n v="0"/>
    <n v="0"/>
    <n v="0"/>
    <n v="0"/>
    <n v="0"/>
    <n v="0"/>
    <n v="0"/>
    <n v="0"/>
    <n v="25728"/>
    <n v="25768"/>
    <n v="28742"/>
    <n v="80238"/>
    <n v="28806"/>
    <n v="28860"/>
    <n v="29012"/>
    <n v="86678"/>
    <n v="166916"/>
  </r>
  <r>
    <x v="7"/>
    <x v="120"/>
    <n v="38477"/>
    <n v="3353"/>
    <n v="336798"/>
    <n v="378628"/>
    <n v="400098"/>
    <n v="0"/>
    <n v="251030"/>
    <n v="651128"/>
    <n v="208644"/>
    <n v="129601"/>
    <n v="90229"/>
    <n v="428474"/>
    <n v="21539"/>
    <n v="36186"/>
    <n v="71193"/>
    <n v="128918"/>
    <n v="1587148"/>
  </r>
  <r>
    <x v="7"/>
    <x v="121"/>
    <n v="0"/>
    <n v="0"/>
    <n v="0"/>
    <n v="0"/>
    <n v="0"/>
    <n v="0"/>
    <n v="82237"/>
    <n v="82237"/>
    <n v="0"/>
    <n v="0"/>
    <n v="0"/>
    <n v="0"/>
    <n v="0"/>
    <n v="0"/>
    <n v="0"/>
    <n v="0"/>
    <n v="82237"/>
  </r>
  <r>
    <x v="7"/>
    <x v="122"/>
    <n v="78144"/>
    <n v="293605"/>
    <n v="202489"/>
    <n v="574238"/>
    <n v="1770852"/>
    <n v="1756165"/>
    <n v="3255752"/>
    <n v="6782769"/>
    <n v="1780206"/>
    <n v="1833241"/>
    <n v="236204"/>
    <n v="3849651"/>
    <n v="1713059"/>
    <n v="1666994"/>
    <n v="1734260"/>
    <n v="5114313"/>
    <n v="16320971"/>
  </r>
  <r>
    <x v="8"/>
    <x v="123"/>
    <n v="807522.00520000001"/>
    <n v="803240.36459999997"/>
    <n v="813467.86459999997"/>
    <n v="2424230.2344"/>
    <n v="900045"/>
    <n v="830855"/>
    <n v="809159"/>
    <n v="2540059"/>
    <n v="877532.10639999993"/>
    <n v="876904.94940000004"/>
    <n v="1032743.0348"/>
    <n v="2787180.0905999998"/>
    <n v="532999.44200000004"/>
    <n v="805275.10820000002"/>
    <n v="1048888.5506"/>
    <n v="2387163.1008000001"/>
    <n v="10138632.425799999"/>
  </r>
  <r>
    <x v="8"/>
    <x v="124"/>
    <n v="1087385.9545"/>
    <n v="1483488.497"/>
    <n v="1782414.6014999999"/>
    <n v="4353289.0529999994"/>
    <n v="1905740"/>
    <n v="1842331"/>
    <n v="1772370"/>
    <n v="5520441"/>
    <n v="1826006.0425"/>
    <n v="1856629.0425"/>
    <n v="1656754.3495"/>
    <n v="5339389.4344999995"/>
    <n v="0"/>
    <n v="0"/>
    <n v="0"/>
    <n v="0"/>
    <n v="15213119.487499999"/>
  </r>
  <r>
    <x v="8"/>
    <x v="125"/>
    <n v="907700.77679999999"/>
    <n v="676667.45900000003"/>
    <n v="6011006.5615999997"/>
    <n v="7595374.7973999996"/>
    <n v="0"/>
    <n v="0"/>
    <n v="0"/>
    <n v="0"/>
    <n v="0"/>
    <n v="0"/>
    <n v="0"/>
    <n v="0"/>
    <n v="0"/>
    <n v="0"/>
    <n v="0"/>
    <n v="0"/>
    <n v="7595374.7973999996"/>
  </r>
  <r>
    <x v="8"/>
    <x v="126"/>
    <n v="0"/>
    <n v="0"/>
    <n v="1755447.0663999999"/>
    <n v="1755447.0663999999"/>
    <n v="0"/>
    <n v="0"/>
    <n v="0"/>
    <n v="0"/>
    <n v="0"/>
    <n v="0"/>
    <n v="0"/>
    <n v="0"/>
    <n v="0"/>
    <n v="0"/>
    <n v="0"/>
    <n v="0"/>
    <n v="1755447.0663999999"/>
  </r>
  <r>
    <x v="8"/>
    <x v="127"/>
    <n v="4240485.4440000001"/>
    <n v="4237056.7560000001"/>
    <n v="4236042.4837999996"/>
    <n v="12713584.683799999"/>
    <n v="4231983"/>
    <n v="4246484"/>
    <n v="4252253"/>
    <n v="12730720"/>
    <n v="4253011"/>
    <n v="4251486"/>
    <n v="4573138"/>
    <n v="13077635"/>
    <n v="4344560"/>
    <n v="4341260"/>
    <n v="4672907"/>
    <n v="13358727"/>
    <n v="51880666.683799997"/>
  </r>
  <r>
    <x v="8"/>
    <x v="128"/>
    <n v="517603"/>
    <n v="449479.68044000003"/>
    <n v="525395.88331999991"/>
    <n v="1492478.5637599998"/>
    <n v="522798"/>
    <n v="525395.88331999991"/>
    <n v="525396"/>
    <n v="1573589.88332"/>
    <n v="525955.6195599999"/>
    <n v="457691.89703999995"/>
    <n v="586440.78331999993"/>
    <n v="1570088.2999199997"/>
    <n v="454976.58331999992"/>
    <n v="433151.58235999994"/>
    <n v="618657.40831999993"/>
    <n v="1506785.5739999998"/>
    <n v="6142942.3209999995"/>
  </r>
  <r>
    <x v="8"/>
    <x v="129"/>
    <n v="789094.74820000003"/>
    <n v="768263.60080000001"/>
    <n v="768263.60080000001"/>
    <n v="2325621.9498000001"/>
    <n v="800212"/>
    <n v="768264"/>
    <n v="769569"/>
    <n v="2338045"/>
    <n v="839249.16330000001"/>
    <n v="769568.50949999993"/>
    <n v="953416.00949999993"/>
    <n v="2562233.6822999995"/>
    <n v="786868.59149999998"/>
    <n v="771207.39949999994"/>
    <n v="999667.27449999994"/>
    <n v="2557743.2654999997"/>
    <n v="9783643.8975999989"/>
  </r>
  <r>
    <x v="8"/>
    <x v="130"/>
    <n v="367555"/>
    <n v="377243.57015400007"/>
    <n v="377165.36015400005"/>
    <n v="1121963.9303080002"/>
    <n v="505760"/>
    <n v="376622.18015400006"/>
    <n v="526588"/>
    <n v="1408970.1801539999"/>
    <n v="1505547.7670400003"/>
    <n v="1187640.3670400002"/>
    <n v="1351179.4640000002"/>
    <n v="4044367.5980800004"/>
    <n v="1176967.4640000002"/>
    <n v="1192016.2640000002"/>
    <n v="1381880.8640000001"/>
    <n v="3750864.5920000002"/>
    <n v="10326166.300542001"/>
  </r>
  <r>
    <x v="8"/>
    <x v="131"/>
    <n v="267350"/>
    <n v="259771.70742399999"/>
    <n v="257705"/>
    <n v="784826.70742400002"/>
    <n v="257705"/>
    <n v="257704.64483199999"/>
    <n v="260725"/>
    <n v="776134.64483200002"/>
    <n v="281636.82656000002"/>
    <n v="259863.87110399999"/>
    <n v="384610.78854400001"/>
    <n v="926111.48620799999"/>
    <n v="269216.79712"/>
    <n v="259863.87110399999"/>
    <n v="336325.975424"/>
    <n v="865406.64364799997"/>
    <n v="3352479.4821120002"/>
  </r>
  <r>
    <x v="8"/>
    <x v="132"/>
    <n v="835100.91099999996"/>
    <n v="901547.22640000004"/>
    <n v="853933.14099999995"/>
    <n v="2590581.2783999997"/>
    <n v="818657"/>
    <n v="877558"/>
    <n v="984093"/>
    <n v="2680308"/>
    <n v="94463.17452"/>
    <n v="80481.45276"/>
    <n v="111628.53988000001"/>
    <n v="286573.16716000001"/>
    <n v="0"/>
    <n v="93353.83988"/>
    <n v="117539.77976"/>
    <n v="210893.61963999999"/>
    <n v="5768356.0652000001"/>
  </r>
  <r>
    <x v="8"/>
    <x v="133"/>
    <n v="0"/>
    <n v="0"/>
    <n v="500000"/>
    <n v="500000"/>
    <n v="500000"/>
    <n v="491603.76319999999"/>
    <n v="513350"/>
    <n v="1504953.7631999999"/>
    <n v="510019.90480000002"/>
    <n v="477469.43459999998"/>
    <n v="603980.8702"/>
    <n v="1591470.2095999999"/>
    <n v="536703.76679999998"/>
    <n v="517939.79580000002"/>
    <n v="642087.03520000004"/>
    <n v="1696730.5978000001"/>
    <n v="5293154.5705999993"/>
  </r>
  <r>
    <x v="8"/>
    <x v="134"/>
    <n v="959280.02399999998"/>
    <n v="1004578.4121999999"/>
    <n v="903239.0514"/>
    <n v="2867097.4875999996"/>
    <n v="903239"/>
    <n v="903239"/>
    <n v="912955"/>
    <n v="2719433"/>
    <n v="927665.59419999993"/>
    <n v="912955.1764"/>
    <n v="1072063.0475999999"/>
    <n v="2912683.8181999996"/>
    <n v="930710.11639999994"/>
    <n v="921548.52020000003"/>
    <n v="1139976.7975999999"/>
    <n v="2992235.4342"/>
    <n v="11491449.739999998"/>
  </r>
  <r>
    <x v="8"/>
    <x v="135"/>
    <n v="611544.25719999999"/>
    <n v="599569.25719999999"/>
    <n v="609980.25719999999"/>
    <n v="1821093.7716000001"/>
    <n v="581001"/>
    <n v="634775"/>
    <n v="661323"/>
    <n v="1877099"/>
    <n v="634711.24560000002"/>
    <n v="650395.25719999999"/>
    <n v="863931.777"/>
    <n v="2149038.2797999997"/>
    <n v="662364.95819999999"/>
    <n v="660512.20900000003"/>
    <n v="943533.60860000004"/>
    <n v="2266410.7757999999"/>
    <n v="8113641.8272000002"/>
  </r>
  <r>
    <x v="8"/>
    <x v="136"/>
    <n v="486689.51360000001"/>
    <n v="486689.51360000001"/>
    <n v="486689.51360000001"/>
    <n v="1460068.5408000001"/>
    <n v="486690"/>
    <n v="470466"/>
    <n v="486690"/>
    <n v="1443846"/>
    <n v="534681.5"/>
    <n v="534681.5"/>
    <n v="780731.76"/>
    <n v="1850094.76"/>
    <n v="419098.38"/>
    <n v="544858.62"/>
    <n v="835119.5"/>
    <n v="1799076.5"/>
    <n v="6553085.8008000003"/>
  </r>
  <r>
    <x v="8"/>
    <x v="137"/>
    <n v="452623"/>
    <n v="452262.1385"/>
    <n v="452155"/>
    <n v="1357040.1384999999"/>
    <n v="451728"/>
    <n v="451411.83212000004"/>
    <n v="450959"/>
    <n v="1354098.8321199999"/>
    <n v="452212.60000000003"/>
    <n v="452079.7"/>
    <n v="475261.4"/>
    <n v="1379553.7000000002"/>
    <n v="452449.80000000005"/>
    <n v="452162.4"/>
    <n v="479918.60000000003"/>
    <n v="1384530.8"/>
    <n v="5475223.4706199998"/>
  </r>
  <r>
    <x v="8"/>
    <x v="138"/>
    <n v="699999.15119999996"/>
    <n v="699999.15119999996"/>
    <n v="699999.15119999996"/>
    <n v="2099997.4535999997"/>
    <n v="697167"/>
    <n v="686002"/>
    <n v="1541453"/>
    <n v="2924622"/>
    <n v="0"/>
    <n v="0"/>
    <n v="0"/>
    <n v="0"/>
    <n v="0"/>
    <n v="0"/>
    <n v="0"/>
    <n v="0"/>
    <n v="5024619.4535999997"/>
  </r>
  <r>
    <x v="8"/>
    <x v="139"/>
    <n v="711805.77720000001"/>
    <n v="626523.973"/>
    <n v="727182.20979999995"/>
    <n v="2065511.96"/>
    <n v="612932"/>
    <n v="639007"/>
    <n v="682679"/>
    <n v="1934618"/>
    <n v="608270.74919999996"/>
    <n v="608270.74919999996"/>
    <n v="905729.8138"/>
    <n v="2122271.3122"/>
    <n v="756297.33920000005"/>
    <n v="759954.69239999994"/>
    <n v="1007517.1666"/>
    <n v="2523769.1982"/>
    <n v="8646170.4704"/>
  </r>
  <r>
    <x v="8"/>
    <x v="140"/>
    <n v="595334.28819999995"/>
    <n v="600000.38359999994"/>
    <n v="582889.38359999994"/>
    <n v="1778224.0554"/>
    <n v="420001"/>
    <n v="39999"/>
    <n v="1585155"/>
    <n v="2045155"/>
    <n v="0"/>
    <n v="0"/>
    <n v="0"/>
    <n v="0"/>
    <n v="0"/>
    <n v="0"/>
    <n v="0"/>
    <n v="0"/>
    <n v="3823379.0554"/>
  </r>
  <r>
    <x v="8"/>
    <x v="141"/>
    <n v="634922.45700000005"/>
    <n v="600181.14549999998"/>
    <n v="703750.19449999998"/>
    <n v="1938853.797"/>
    <n v="642643"/>
    <n v="318428"/>
    <n v="1899067"/>
    <n v="2860138"/>
    <n v="0"/>
    <n v="0"/>
    <n v="0"/>
    <n v="0"/>
    <n v="0"/>
    <n v="0"/>
    <n v="0"/>
    <n v="0"/>
    <n v="4798991.7970000003"/>
  </r>
  <r>
    <x v="8"/>
    <x v="142"/>
    <n v="711922.77980000002"/>
    <n v="650406.41279999993"/>
    <n v="618007.79180000001"/>
    <n v="1980336.9844"/>
    <n v="631778"/>
    <n v="472652"/>
    <n v="1252462"/>
    <n v="2356892"/>
    <n v="0"/>
    <n v="0"/>
    <n v="0"/>
    <n v="0"/>
    <n v="0"/>
    <n v="0"/>
    <n v="0"/>
    <n v="0"/>
    <n v="4337228.9844000004"/>
  </r>
  <r>
    <x v="8"/>
    <x v="143"/>
    <n v="579999.6496"/>
    <n v="600000.38359999994"/>
    <n v="267046.19180000003"/>
    <n v="1447046.2250000001"/>
    <n v="593663"/>
    <n v="340000"/>
    <n v="1375713"/>
    <n v="2309376"/>
    <n v="0"/>
    <n v="0"/>
    <n v="0"/>
    <n v="0"/>
    <n v="0"/>
    <n v="0"/>
    <n v="0"/>
    <n v="0"/>
    <n v="3756422.2250000001"/>
  </r>
  <r>
    <x v="8"/>
    <x v="144"/>
    <n v="579999.6496"/>
    <n v="600000.38359999994"/>
    <n v="600000.38359999994"/>
    <n v="1780000.4167999998"/>
    <n v="600000"/>
    <n v="600000"/>
    <n v="580000"/>
    <n v="1780000"/>
    <n v="600000.38359999994"/>
    <n v="596755.38359999994"/>
    <n v="860762.39299999992"/>
    <n v="2057518.1601999998"/>
    <n v="676667.39300000004"/>
    <n v="691482.80780000007"/>
    <n v="930118.55779999995"/>
    <n v="2298268.7586000003"/>
    <n v="7915787.3355999999"/>
  </r>
  <r>
    <x v="8"/>
    <x v="145"/>
    <n v="1051657.3739999998"/>
    <n v="1048695.3739999998"/>
    <n v="1047818.374"/>
    <n v="3148171.1219999995"/>
    <n v="1044310"/>
    <n v="1041720"/>
    <n v="1051410"/>
    <n v="3137440"/>
    <n v="1315799.1864999998"/>
    <n v="1050866.1864999998"/>
    <n v="1254819.6884999999"/>
    <n v="3621485.0614999998"/>
    <n v="1169355.7519999999"/>
    <n v="1213769.1884999999"/>
    <n v="1459120.0634999999"/>
    <n v="3842245.0039999997"/>
    <n v="13749341.1875"/>
  </r>
  <r>
    <x v="8"/>
    <x v="146"/>
    <n v="723151.54879999999"/>
    <n v="666465.77600000007"/>
    <n v="636981.77279999992"/>
    <n v="2026599.0976"/>
    <n v="765233"/>
    <n v="831113"/>
    <n v="717421"/>
    <n v="2313767"/>
    <n v="694281.21279999998"/>
    <n v="694281.21279999998"/>
    <n v="1018886.2848"/>
    <n v="2407448.7104000002"/>
    <n v="934084.7328"/>
    <n v="739717.58400000003"/>
    <n v="1249195.3856000002"/>
    <n v="2922997.7024000003"/>
    <n v="9670812.510400001"/>
  </r>
  <r>
    <x v="8"/>
    <x v="147"/>
    <n v="653016.69200000004"/>
    <n v="669436.69200000004"/>
    <n v="691696.4412"/>
    <n v="2014149.8252000001"/>
    <n v="705719"/>
    <n v="635732"/>
    <n v="660400"/>
    <n v="2001851"/>
    <n v="678662.2452"/>
    <n v="642436.4412"/>
    <n v="832670.16200000001"/>
    <n v="2153768.8484"/>
    <n v="664844.16200000001"/>
    <n v="672357.4412"/>
    <n v="888843.66200000001"/>
    <n v="2226045.2652000003"/>
    <n v="8395814.9387999997"/>
  </r>
  <r>
    <x v="8"/>
    <x v="148"/>
    <n v="0"/>
    <n v="0"/>
    <n v="0"/>
    <n v="0"/>
    <n v="0"/>
    <n v="529714.84"/>
    <n v="565488"/>
    <n v="1095202.8399999999"/>
    <n v="575611.75679999997"/>
    <n v="14243.772000000001"/>
    <n v="0"/>
    <n v="589855.52879999997"/>
    <n v="0"/>
    <n v="0"/>
    <n v="0"/>
    <n v="0"/>
    <n v="1685058.3687999998"/>
  </r>
  <r>
    <x v="8"/>
    <x v="149"/>
    <n v="0"/>
    <n v="0"/>
    <n v="0"/>
    <n v="0"/>
    <n v="0"/>
    <n v="326666.4558"/>
    <n v="699999"/>
    <n v="1026665.4558"/>
    <n v="707693.97019999998"/>
    <n v="705167.62880000006"/>
    <n v="801954.64520000003"/>
    <n v="2214816.2442000001"/>
    <n v="750414.06260000006"/>
    <n v="721293.88119999995"/>
    <n v="950778.04559999995"/>
    <n v="2422485.9893999998"/>
    <n v="5663967.6894000005"/>
  </r>
  <r>
    <x v="8"/>
    <x v="150"/>
    <n v="0"/>
    <n v="0"/>
    <n v="0"/>
    <n v="0"/>
    <n v="0"/>
    <n v="197675.12599999999"/>
    <n v="623836"/>
    <n v="821511.12599999993"/>
    <n v="720072.94959999993"/>
    <n v="732425.21160000004"/>
    <n v="755806.01679999998"/>
    <n v="2208304.1779999998"/>
    <n v="787062.25560000003"/>
    <n v="756090.93440000003"/>
    <n v="856783.59840000002"/>
    <n v="2399936.7884"/>
    <n v="5429752.0923999995"/>
  </r>
  <r>
    <x v="8"/>
    <x v="151"/>
    <n v="0"/>
    <n v="0"/>
    <n v="0"/>
    <n v="0"/>
    <n v="0"/>
    <n v="20001.198899999999"/>
    <n v="492977"/>
    <n v="512978.19890000002"/>
    <n v="0"/>
    <n v="0"/>
    <n v="0"/>
    <n v="0"/>
    <n v="0"/>
    <n v="0"/>
    <n v="0"/>
    <n v="0"/>
    <n v="512978.19890000002"/>
  </r>
  <r>
    <x v="8"/>
    <x v="152"/>
    <n v="0"/>
    <n v="0"/>
    <n v="0"/>
    <n v="0"/>
    <n v="0"/>
    <n v="0"/>
    <n v="699342"/>
    <n v="699342"/>
    <n v="713325.62170000002"/>
    <n v="705541.65650000004"/>
    <n v="807560.75089999998"/>
    <n v="2226428.0290999999"/>
    <n v="767178.31719999993"/>
    <n v="676029.53749999998"/>
    <n v="953545.60629999998"/>
    <n v="2396753.4610000001"/>
    <n v="5322523.4901000001"/>
  </r>
  <r>
    <x v="8"/>
    <x v="153"/>
    <n v="0"/>
    <n v="0"/>
    <n v="0"/>
    <n v="0"/>
    <n v="0"/>
    <n v="0"/>
    <n v="330607"/>
    <n v="330607"/>
    <n v="0"/>
    <n v="0"/>
    <n v="0"/>
    <n v="0"/>
    <n v="0"/>
    <n v="0"/>
    <n v="0"/>
    <n v="0"/>
    <n v="330607"/>
  </r>
  <r>
    <x v="8"/>
    <x v="154"/>
    <n v="0"/>
    <n v="0"/>
    <n v="0"/>
    <n v="0"/>
    <n v="0"/>
    <n v="0"/>
    <n v="0"/>
    <n v="0"/>
    <n v="0"/>
    <n v="533319.10959999997"/>
    <n v="655179.47160000005"/>
    <n v="1188498.5811999999"/>
    <n v="608454.64720000001"/>
    <n v="594351.97160000005"/>
    <n v="705297.97160000005"/>
    <n v="1908104.5904000001"/>
    <n v="3096603.1716"/>
  </r>
  <r>
    <x v="8"/>
    <x v="155"/>
    <n v="0"/>
    <n v="0"/>
    <n v="0"/>
    <n v="0"/>
    <n v="0"/>
    <n v="0"/>
    <n v="0"/>
    <n v="0"/>
    <n v="0"/>
    <n v="585378"/>
    <n v="80000.058399999994"/>
    <n v="665378.05839999998"/>
    <n v="0"/>
    <n v="0"/>
    <n v="0"/>
    <n v="0"/>
    <n v="665378.05839999998"/>
  </r>
  <r>
    <x v="8"/>
    <x v="156"/>
    <n v="0"/>
    <n v="0"/>
    <n v="0"/>
    <n v="0"/>
    <n v="0"/>
    <n v="0"/>
    <n v="0"/>
    <n v="0"/>
    <n v="0"/>
    <n v="0"/>
    <n v="478114.17879999999"/>
    <n v="478114.17879999999"/>
    <n v="679448.86479999998"/>
    <n v="624251.15260000003"/>
    <n v="743677.94660000002"/>
    <n v="2047377.9640000002"/>
    <n v="2525492.1428"/>
  </r>
  <r>
    <x v="8"/>
    <x v="157"/>
    <n v="0"/>
    <n v="0"/>
    <n v="0"/>
    <n v="0"/>
    <n v="0"/>
    <n v="0"/>
    <n v="0"/>
    <n v="0"/>
    <n v="0"/>
    <n v="0"/>
    <n v="0"/>
    <n v="0"/>
    <n v="0"/>
    <n v="390092.1"/>
    <n v="0"/>
    <n v="390092.1"/>
    <n v="390092.1"/>
  </r>
  <r>
    <x v="8"/>
    <x v="158"/>
    <n v="0"/>
    <n v="0"/>
    <n v="0"/>
    <n v="0"/>
    <n v="0"/>
    <n v="0"/>
    <n v="0"/>
    <n v="0"/>
    <n v="0"/>
    <n v="0"/>
    <n v="0"/>
    <n v="0"/>
    <n v="0"/>
    <n v="370282.49900000001"/>
    <n v="737568.77749999997"/>
    <n v="1107851.2764999999"/>
    <n v="1107851.2764999999"/>
  </r>
  <r>
    <x v="8"/>
    <x v="159"/>
    <n v="6000000"/>
    <n v="6000000"/>
    <n v="6000000"/>
    <n v="18000000"/>
    <n v="6000000"/>
    <n v="6000000"/>
    <n v="6000000"/>
    <n v="18000000"/>
    <n v="6000000"/>
    <n v="6000000"/>
    <n v="6000000"/>
    <n v="18000000"/>
    <n v="6000000"/>
    <n v="6000000"/>
    <n v="6000000"/>
    <n v="18000000"/>
    <n v="72000000"/>
  </r>
  <r>
    <x v="8"/>
    <x v="160"/>
    <n v="6738628.6013999982"/>
    <n v="6815213"/>
    <n v="6788146.8963000011"/>
    <n v="20341988.497699998"/>
    <n v="6945537"/>
    <n v="6870407"/>
    <n v="7804331"/>
    <n v="21620275"/>
    <n v="7115324"/>
    <n v="7083931.9673999995"/>
    <n v="8138993.4890000001"/>
    <n v="22338249.4564"/>
    <n v="7189378.6808000002"/>
    <n v="7189611.5761999991"/>
    <n v="6345732.2846000018"/>
    <n v="20724722.5416"/>
    <n v="85025235.495700002"/>
  </r>
  <r>
    <x v="8"/>
    <x v="161"/>
    <n v="678237"/>
    <n v="680272"/>
    <n v="621739"/>
    <n v="1980248"/>
    <n v="685029"/>
    <n v="798049"/>
    <n v="710646"/>
    <n v="2193724"/>
    <n v="690923"/>
    <n v="689649"/>
    <n v="712517"/>
    <n v="2093089"/>
    <n v="664486"/>
    <n v="669136"/>
    <n v="700641"/>
    <n v="2034263"/>
    <n v="8301324"/>
  </r>
  <r>
    <x v="9"/>
    <x v="162"/>
    <n v="13810361"/>
    <n v="8785167"/>
    <n v="12679987"/>
    <n v="35275515"/>
    <n v="13081655"/>
    <n v="14789863"/>
    <n v="13981688"/>
    <n v="41853206"/>
    <n v="12481688"/>
    <n v="13743420"/>
    <n v="14014073"/>
    <n v="40239181"/>
    <n v="13916392"/>
    <n v="14759811"/>
    <n v="13590588"/>
    <n v="42266791"/>
    <n v="15963469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x v="0"/>
    <n v="31878058.399999999"/>
    <x v="0"/>
  </r>
  <r>
    <x v="0"/>
    <x v="1"/>
    <n v="18498122"/>
    <x v="0"/>
  </r>
  <r>
    <x v="0"/>
    <x v="2"/>
    <n v="589436"/>
    <x v="0"/>
  </r>
  <r>
    <x v="0"/>
    <x v="3"/>
    <n v="46073406.209321924"/>
    <x v="0"/>
  </r>
  <r>
    <x v="0"/>
    <x v="4"/>
    <n v="41949615"/>
    <x v="0"/>
  </r>
  <r>
    <x v="0"/>
    <x v="5"/>
    <n v="91520005.371466339"/>
    <x v="0"/>
  </r>
  <r>
    <x v="0"/>
    <x v="6"/>
    <n v="145676664.51335129"/>
    <x v="0"/>
  </r>
  <r>
    <x v="0"/>
    <x v="7"/>
    <m/>
    <x v="0"/>
  </r>
  <r>
    <x v="0"/>
    <x v="0"/>
    <n v="41617779.5"/>
    <x v="1"/>
  </r>
  <r>
    <x v="0"/>
    <x v="1"/>
    <n v="32614841"/>
    <x v="1"/>
  </r>
  <r>
    <x v="0"/>
    <x v="2"/>
    <n v="911167"/>
    <x v="1"/>
  </r>
  <r>
    <x v="0"/>
    <x v="3"/>
    <n v="59560197.201399997"/>
    <x v="1"/>
  </r>
  <r>
    <x v="0"/>
    <x v="4"/>
    <n v="53043142"/>
    <x v="1"/>
  </r>
  <r>
    <x v="0"/>
    <x v="5"/>
    <n v="85141216.144959196"/>
    <x v="1"/>
  </r>
  <r>
    <x v="0"/>
    <x v="6"/>
    <n v="143914372.52121806"/>
    <x v="1"/>
  </r>
  <r>
    <x v="0"/>
    <x v="7"/>
    <n v="43286434.840000004"/>
    <x v="1"/>
  </r>
  <r>
    <x v="0"/>
    <x v="0"/>
    <n v="28667274"/>
    <x v="2"/>
  </r>
  <r>
    <x v="0"/>
    <x v="1"/>
    <n v="31407638"/>
    <x v="2"/>
  </r>
  <r>
    <x v="0"/>
    <x v="2"/>
    <n v="668827"/>
    <x v="2"/>
  </r>
  <r>
    <x v="0"/>
    <x v="3"/>
    <n v="36824033"/>
    <x v="2"/>
  </r>
  <r>
    <x v="0"/>
    <x v="4"/>
    <n v="45504378"/>
    <x v="2"/>
  </r>
  <r>
    <x v="0"/>
    <x v="5"/>
    <n v="66117646"/>
    <x v="2"/>
  </r>
  <r>
    <x v="0"/>
    <x v="6"/>
    <n v="113020419.513422"/>
    <x v="2"/>
  </r>
  <r>
    <x v="0"/>
    <x v="7"/>
    <n v="30049505.199999999"/>
    <x v="2"/>
  </r>
  <r>
    <x v="0"/>
    <x v="0"/>
    <n v="32296785.5"/>
    <x v="3"/>
  </r>
  <r>
    <x v="0"/>
    <x v="1"/>
    <n v="41457713"/>
    <x v="3"/>
  </r>
  <r>
    <x v="0"/>
    <x v="2"/>
    <n v="247775"/>
    <x v="3"/>
  </r>
  <r>
    <x v="0"/>
    <x v="3"/>
    <n v="40349454"/>
    <x v="3"/>
  </r>
  <r>
    <x v="0"/>
    <x v="4"/>
    <n v="70146271"/>
    <x v="3"/>
  </r>
  <r>
    <x v="0"/>
    <x v="5"/>
    <n v="107758913.3"/>
    <x v="3"/>
  </r>
  <r>
    <x v="0"/>
    <x v="6"/>
    <n v="222370669.74321601"/>
    <x v="3"/>
  </r>
  <r>
    <x v="0"/>
    <x v="7"/>
    <n v="42439903.359999999"/>
    <x v="3"/>
  </r>
  <r>
    <x v="1"/>
    <x v="0"/>
    <n v="25923832"/>
    <x v="0"/>
  </r>
  <r>
    <x v="1"/>
    <x v="1"/>
    <n v="57771765"/>
    <x v="0"/>
  </r>
  <r>
    <x v="1"/>
    <x v="2"/>
    <n v="557138"/>
    <x v="0"/>
  </r>
  <r>
    <x v="1"/>
    <x v="3"/>
    <n v="9799265"/>
    <x v="0"/>
  </r>
  <r>
    <x v="1"/>
    <x v="4"/>
    <n v="58632692"/>
    <x v="0"/>
  </r>
  <r>
    <x v="1"/>
    <x v="5"/>
    <n v="105763825.63789199"/>
    <x v="0"/>
  </r>
  <r>
    <x v="1"/>
    <x v="6"/>
    <n v="320562418.17870802"/>
    <x v="0"/>
  </r>
  <r>
    <x v="1"/>
    <x v="7"/>
    <n v="35275515"/>
    <x v="0"/>
  </r>
  <r>
    <x v="1"/>
    <x v="0"/>
    <n v="31550234.965793412"/>
    <x v="1"/>
  </r>
  <r>
    <x v="1"/>
    <x v="1"/>
    <n v="60692034"/>
    <x v="1"/>
  </r>
  <r>
    <x v="1"/>
    <x v="2"/>
    <n v="3849235"/>
    <x v="1"/>
  </r>
  <r>
    <x v="1"/>
    <x v="3"/>
    <n v="4404905"/>
    <x v="1"/>
  </r>
  <r>
    <x v="1"/>
    <x v="4"/>
    <n v="74596765"/>
    <x v="1"/>
  </r>
  <r>
    <x v="1"/>
    <x v="5"/>
    <n v="108431862.924326"/>
    <x v="1"/>
  </r>
  <r>
    <x v="1"/>
    <x v="6"/>
    <n v="262287706.36883801"/>
    <x v="1"/>
  </r>
  <r>
    <x v="1"/>
    <x v="7"/>
    <n v="41853206"/>
    <x v="1"/>
  </r>
  <r>
    <x v="1"/>
    <x v="0"/>
    <n v="37764131.780000001"/>
    <x v="2"/>
  </r>
  <r>
    <x v="1"/>
    <x v="1"/>
    <n v="58744192.479999997"/>
    <x v="2"/>
  </r>
  <r>
    <x v="1"/>
    <x v="2"/>
    <n v="1447983"/>
    <x v="2"/>
  </r>
  <r>
    <x v="1"/>
    <x v="3"/>
    <n v="4094372"/>
    <x v="2"/>
  </r>
  <r>
    <x v="1"/>
    <x v="4"/>
    <n v="69111531"/>
    <x v="2"/>
  </r>
  <r>
    <x v="1"/>
    <x v="5"/>
    <n v="104841644.87396799"/>
    <x v="2"/>
  </r>
  <r>
    <x v="1"/>
    <x v="6"/>
    <n v="274431115.77467203"/>
    <x v="2"/>
  </r>
  <r>
    <x v="1"/>
    <x v="7"/>
    <n v="40239181"/>
    <x v="2"/>
  </r>
  <r>
    <x v="1"/>
    <x v="0"/>
    <n v="34622949.549999997"/>
    <x v="3"/>
  </r>
  <r>
    <x v="1"/>
    <x v="1"/>
    <n v="47009436.809999995"/>
    <x v="3"/>
  </r>
  <r>
    <x v="1"/>
    <x v="2"/>
    <n v="548602"/>
    <x v="3"/>
  </r>
  <r>
    <x v="1"/>
    <x v="3"/>
    <n v="4415570"/>
    <x v="3"/>
  </r>
  <r>
    <x v="1"/>
    <x v="4"/>
    <n v="76094471"/>
    <x v="3"/>
  </r>
  <r>
    <x v="1"/>
    <x v="5"/>
    <n v="102021481.543088"/>
    <x v="3"/>
  </r>
  <r>
    <x v="1"/>
    <x v="6"/>
    <n v="327800528.83781195"/>
    <x v="3"/>
  </r>
  <r>
    <x v="1"/>
    <x v="7"/>
    <n v="42266791"/>
    <x v="3"/>
  </r>
  <r>
    <x v="2"/>
    <x v="0"/>
    <n v="27503870.5"/>
    <x v="0"/>
  </r>
  <r>
    <x v="2"/>
    <x v="1"/>
    <n v="38326904.548166662"/>
    <x v="0"/>
  </r>
  <r>
    <x v="2"/>
    <x v="2"/>
    <n v="0"/>
    <x v="0"/>
  </r>
  <r>
    <x v="2"/>
    <x v="3"/>
    <n v="4359326"/>
    <x v="0"/>
  </r>
  <r>
    <x v="2"/>
    <x v="4"/>
    <n v="53158374"/>
    <x v="0"/>
  </r>
  <r>
    <x v="2"/>
    <x v="5"/>
    <n v="96773223.746794"/>
    <x v="0"/>
  </r>
  <r>
    <x v="2"/>
    <x v="8"/>
    <n v="10326030"/>
    <x v="0"/>
  </r>
  <r>
    <x v="2"/>
    <x v="6"/>
    <n v="222365956.64179432"/>
    <x v="0"/>
  </r>
  <r>
    <x v="2"/>
    <x v="7"/>
    <n v="25441796"/>
    <x v="0"/>
  </r>
  <r>
    <x v="2"/>
    <x v="0"/>
    <n v="27152063.140000001"/>
    <x v="1"/>
  </r>
  <r>
    <x v="2"/>
    <x v="1"/>
    <n v="35888513.606333338"/>
    <x v="1"/>
  </r>
  <r>
    <x v="2"/>
    <x v="2"/>
    <n v="275428"/>
    <x v="1"/>
  </r>
  <r>
    <x v="2"/>
    <x v="3"/>
    <n v="4318237"/>
    <x v="1"/>
  </r>
  <r>
    <x v="2"/>
    <x v="4"/>
    <n v="54585023"/>
    <x v="1"/>
  </r>
  <r>
    <x v="2"/>
    <x v="5"/>
    <n v="101993137.32963999"/>
    <x v="1"/>
  </r>
  <r>
    <x v="2"/>
    <x v="8"/>
    <n v="375000"/>
    <x v="1"/>
  </r>
  <r>
    <x v="2"/>
    <x v="6"/>
    <n v="262955295.49182168"/>
    <x v="1"/>
  </r>
  <r>
    <x v="2"/>
    <x v="7"/>
    <n v="14760439"/>
    <x v="1"/>
  </r>
  <r>
    <x v="2"/>
    <x v="0"/>
    <n v="22234572"/>
    <x v="2"/>
  </r>
  <r>
    <x v="2"/>
    <x v="1"/>
    <n v="35582526.483166665"/>
    <x v="2"/>
  </r>
  <r>
    <x v="2"/>
    <x v="2"/>
    <n v="12000"/>
    <x v="2"/>
  </r>
  <r>
    <x v="2"/>
    <x v="3"/>
    <n v="4346056"/>
    <x v="2"/>
  </r>
  <r>
    <x v="2"/>
    <x v="4"/>
    <n v="43700189"/>
    <x v="2"/>
  </r>
  <r>
    <x v="2"/>
    <x v="5"/>
    <n v="114863473.82726"/>
    <x v="2"/>
  </r>
  <r>
    <x v="2"/>
    <x v="8"/>
    <n v="1088820"/>
    <x v="2"/>
  </r>
  <r>
    <x v="2"/>
    <x v="6"/>
    <n v="144698827.19749331"/>
    <x v="2"/>
  </r>
  <r>
    <x v="2"/>
    <x v="7"/>
    <n v="9742776"/>
    <x v="2"/>
  </r>
  <r>
    <x v="2"/>
    <x v="0"/>
    <n v="23639180.5"/>
    <x v="3"/>
  </r>
  <r>
    <x v="2"/>
    <x v="1"/>
    <n v="36454115.82683333"/>
    <x v="3"/>
  </r>
  <r>
    <x v="2"/>
    <x v="2"/>
    <n v="0"/>
    <x v="3"/>
  </r>
  <r>
    <x v="2"/>
    <x v="3"/>
    <n v="4463227"/>
    <x v="3"/>
  </r>
  <r>
    <x v="2"/>
    <x v="4"/>
    <n v="39983421"/>
    <x v="3"/>
  </r>
  <r>
    <x v="2"/>
    <x v="5"/>
    <n v="102109483.76650999"/>
    <x v="3"/>
  </r>
  <r>
    <x v="2"/>
    <x v="8"/>
    <n v="0"/>
    <x v="3"/>
  </r>
  <r>
    <x v="2"/>
    <x v="6"/>
    <n v="344517893.45156664"/>
    <x v="3"/>
  </r>
  <r>
    <x v="2"/>
    <x v="7"/>
    <n v="5506789"/>
    <x v="3"/>
  </r>
  <r>
    <x v="3"/>
    <x v="0"/>
    <n v="39542991.308500007"/>
    <x v="0"/>
  </r>
  <r>
    <x v="3"/>
    <x v="1"/>
    <n v="0"/>
    <x v="0"/>
  </r>
  <r>
    <x v="3"/>
    <x v="2"/>
    <n v="0"/>
    <x v="0"/>
  </r>
  <r>
    <x v="3"/>
    <x v="3"/>
    <n v="0"/>
    <x v="0"/>
  </r>
  <r>
    <x v="3"/>
    <x v="4"/>
    <n v="0"/>
    <x v="0"/>
  </r>
  <r>
    <x v="3"/>
    <x v="5"/>
    <n v="0"/>
    <x v="0"/>
  </r>
  <r>
    <x v="3"/>
    <x v="8"/>
    <n v="0"/>
    <x v="0"/>
  </r>
  <r>
    <x v="3"/>
    <x v="6"/>
    <n v="0"/>
    <x v="0"/>
  </r>
  <r>
    <x v="3"/>
    <x v="7"/>
    <n v="0"/>
    <x v="0"/>
  </r>
  <r>
    <x v="3"/>
    <x v="0"/>
    <n v="59196947.773000002"/>
    <x v="1"/>
  </r>
  <r>
    <x v="3"/>
    <x v="1"/>
    <n v="0"/>
    <x v="1"/>
  </r>
  <r>
    <x v="3"/>
    <x v="2"/>
    <n v="0"/>
    <x v="1"/>
  </r>
  <r>
    <x v="3"/>
    <x v="3"/>
    <n v="0"/>
    <x v="1"/>
  </r>
  <r>
    <x v="3"/>
    <x v="4"/>
    <n v="0"/>
    <x v="1"/>
  </r>
  <r>
    <x v="3"/>
    <x v="5"/>
    <n v="0"/>
    <x v="1"/>
  </r>
  <r>
    <x v="3"/>
    <x v="8"/>
    <n v="0"/>
    <x v="1"/>
  </r>
  <r>
    <x v="3"/>
    <x v="6"/>
    <n v="0"/>
    <x v="1"/>
  </r>
  <r>
    <x v="3"/>
    <x v="7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6DD08-BA88-44B6-B41F-30CA5F169B1C}" name="TablaDinámica1" cacheId="20" applyNumberFormats="0" applyBorderFormats="0" applyFontFormats="0" applyPatternFormats="0" applyAlignmentFormats="0" applyWidthHeightFormats="1" dataCaption="Valores" updatedVersion="8" minRefreshableVersion="5" colGrandTotals="0" itemPrintTitles="1" createdVersion="8" indent="0" outline="1" outlineData="1" multipleFieldFilters="0" rowHeaderCaption="Rendiciones" colHeaderCaption="CL">
  <location ref="B7:F12" firstHeaderRow="1" firstDataRow="3" firstDataCol="1"/>
  <pivotFields count="22">
    <pivotField showAll="0"/>
    <pivotField showAll="0"/>
    <pivotField showAll="0">
      <items count="113">
        <item x="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53"/>
        <item x="55"/>
        <item x="5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6"/>
        <item x="97"/>
        <item x="98"/>
        <item x="95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showAll="0"/>
    <pivotField axis="axisCol" showAll="0">
      <items count="30">
        <item x="0"/>
        <item x="5"/>
        <item x="8"/>
        <item x="7"/>
        <item m="1" x="28"/>
        <item m="1" x="27"/>
        <item x="10"/>
        <item m="1" x="26"/>
        <item m="1" x="12"/>
        <item m="1" x="11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5"/>
        <item m="1" x="24"/>
        <item m="1" x="23"/>
        <item x="1"/>
        <item x="2"/>
        <item x="3"/>
        <item x="4"/>
        <item x="6"/>
        <item x="9"/>
        <item t="default"/>
      </items>
    </pivotField>
    <pivotField axis="axisRow" showAll="0">
      <items count="12">
        <item h="1" m="1" x="6"/>
        <item h="1" sd="0" x="4"/>
        <item h="1" m="1" x="10"/>
        <item h="1" m="1" x="9"/>
        <item h="1" x="2"/>
        <item h="1" x="0"/>
        <item h="1" m="1" x="8"/>
        <item h="1" x="3"/>
        <item h="1" m="1" x="7"/>
        <item h="1" sd="0" x="1"/>
        <item x="5"/>
        <item t="default"/>
      </items>
    </pivotField>
    <pivotField axis="axisRow" showAll="0">
      <items count="12">
        <item x="1"/>
        <item x="2"/>
        <item x="6"/>
        <item x="4"/>
        <item sd="0" x="7"/>
        <item sd="0" x="0"/>
        <item x="5"/>
        <item m="1" x="10"/>
        <item m="1" x="8"/>
        <item x="3"/>
        <item m="1" x="9"/>
        <item t="default"/>
      </items>
    </pivotField>
    <pivotField showAll="0"/>
    <pivotField showAll="0"/>
    <pivotField showAll="0"/>
    <pivotField dataField="1" showAll="0"/>
    <pivotField dataField="1" showAll="0"/>
    <pivotField numFmtId="165" showAll="0"/>
    <pivotField numFmtId="165" showAll="0"/>
    <pivotField showAll="0"/>
    <pivotField showAll="0"/>
    <pivotField showAll="0"/>
    <pivotField numFmtId="165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2">
    <field x="5"/>
    <field x="6"/>
  </rowFields>
  <rowItems count="3">
    <i>
      <x v="10"/>
    </i>
    <i r="1">
      <x v="1"/>
    </i>
    <i t="grand">
      <x/>
    </i>
  </rowItems>
  <colFields count="2">
    <field x="4"/>
    <field x="-2"/>
  </colFields>
  <colItems count="4">
    <i>
      <x v="3"/>
      <x/>
    </i>
    <i r="1" i="1">
      <x v="1"/>
    </i>
    <i>
      <x v="27"/>
      <x/>
    </i>
    <i r="1" i="1">
      <x v="1"/>
    </i>
  </colItems>
  <dataFields count="2">
    <dataField name="Neto " fld="10" baseField="6" baseItem="0" numFmtId="3"/>
    <dataField name=" Exento " fld="11" baseField="6" baseItem="0" numFmtId="3"/>
  </dataFields>
  <formats count="4">
    <format dxfId="298">
      <pivotArea dataOnly="0" labelOnly="1" fieldPosition="0">
        <references count="1">
          <reference field="4" count="1">
            <x v="14"/>
          </reference>
        </references>
      </pivotArea>
    </format>
    <format dxfId="297">
      <pivotArea dataOnly="0" labelOnly="1" fieldPosition="0">
        <references count="1">
          <reference field="4" count="1">
            <x v="15"/>
          </reference>
        </references>
      </pivotArea>
    </format>
    <format dxfId="296">
      <pivotArea outline="0" fieldPosition="0">
        <references count="1">
          <reference field="4294967294" count="1">
            <x v="0"/>
          </reference>
        </references>
      </pivotArea>
    </format>
    <format dxfId="295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Dark14" showRowHeaders="1" showColHeaders="1" showRowStripes="0" showColStripes="0" showLastColumn="1"/>
  <filters count="1">
    <filter fld="2" type="dateBetween" evalOrder="-1" id="61" name="Fecha 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D0994-9380-4E8C-933C-326A8EEC3591}" name="TablaDinámica1" cacheId="20" applyNumberFormats="0" applyBorderFormats="0" applyFontFormats="0" applyPatternFormats="0" applyAlignmentFormats="0" applyWidthHeightFormats="1" dataCaption="Valores" updatedVersion="8" minRefreshableVersion="3" preserveFormatting="0" itemPrintTitles="1" createdVersion="8" indent="0" outline="1" outlineData="1" multipleFieldFilters="0" rowHeaderCaption="" colHeaderCaption=" ">
  <location ref="B3:E16" firstHeaderRow="1" firstDataRow="3" firstDataCol="1" rowPageCount="1" colPageCount="1"/>
  <pivotFields count="22">
    <pivotField showAll="0">
      <items count="41">
        <item m="1" x="19"/>
        <item x="11"/>
        <item x="12"/>
        <item m="1" x="36"/>
        <item x="2"/>
        <item m="1" x="34"/>
        <item m="1" x="38"/>
        <item m="1" x="31"/>
        <item m="1" x="30"/>
        <item m="1" x="32"/>
        <item m="1" x="29"/>
        <item x="0"/>
        <item m="1" x="20"/>
        <item m="1" x="23"/>
        <item x="8"/>
        <item m="1" x="35"/>
        <item x="4"/>
        <item x="7"/>
        <item x="13"/>
        <item x="6"/>
        <item x="17"/>
        <item m="1" x="24"/>
        <item m="1" x="26"/>
        <item m="1" x="37"/>
        <item m="1" x="39"/>
        <item x="3"/>
        <item m="1" x="22"/>
        <item x="10"/>
        <item m="1" x="27"/>
        <item x="9"/>
        <item m="1" x="33"/>
        <item x="15"/>
        <item x="1"/>
        <item x="14"/>
        <item m="1" x="28"/>
        <item m="1" x="25"/>
        <item x="5"/>
        <item m="1" x="21"/>
        <item x="16"/>
        <item x="18"/>
        <item t="default"/>
      </items>
    </pivotField>
    <pivotField showAll="0"/>
    <pivotField axis="axisPage" multipleItemSelectionAllowed="1" showAll="0">
      <items count="113">
        <item x="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53"/>
        <item x="55"/>
        <item x="5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6"/>
        <item x="97"/>
        <item x="98"/>
        <item x="95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axis="axisCol" showAll="0">
      <items count="63">
        <item m="1" x="61"/>
        <item x="7"/>
        <item m="1" x="46"/>
        <item x="20"/>
        <item m="1" x="35"/>
        <item m="1" x="34"/>
        <item x="4"/>
        <item x="28"/>
        <item x="17"/>
        <item x="0"/>
        <item x="10"/>
        <item x="32"/>
        <item x="23"/>
        <item x="5"/>
        <item x="30"/>
        <item x="13"/>
        <item m="1" x="49"/>
        <item x="1"/>
        <item x="12"/>
        <item m="1" x="45"/>
        <item x="22"/>
        <item x="6"/>
        <item m="1" x="59"/>
        <item x="29"/>
        <item x="18"/>
        <item x="2"/>
        <item m="1" x="60"/>
        <item x="14"/>
        <item m="1" x="41"/>
        <item m="1" x="44"/>
        <item x="25"/>
        <item x="8"/>
        <item x="31"/>
        <item m="1" x="40"/>
        <item x="19"/>
        <item m="1" x="38"/>
        <item m="1" x="37"/>
        <item m="1" x="39"/>
        <item x="3"/>
        <item m="1" x="58"/>
        <item x="27"/>
        <item m="1" x="43"/>
        <item x="33"/>
        <item m="1" x="47"/>
        <item m="1" x="48"/>
        <item m="1" x="53"/>
        <item m="1" x="36"/>
        <item x="24"/>
        <item m="1" x="50"/>
        <item m="1" x="42"/>
        <item m="1" x="56"/>
        <item m="1" x="51"/>
        <item m="1" x="54"/>
        <item m="1" x="55"/>
        <item m="1" x="57"/>
        <item m="1" x="52"/>
        <item h="1" x="16"/>
        <item x="9"/>
        <item x="11"/>
        <item x="15"/>
        <item h="1" x="21"/>
        <item h="1" x="26"/>
        <item t="default"/>
      </items>
    </pivotField>
    <pivotField axis="axisCol" showAll="0">
      <items count="30">
        <item h="1" x="5"/>
        <item h="1" x="8"/>
        <item sd="0" x="7"/>
        <item h="1" m="1" x="28"/>
        <item h="1" m="1" x="27"/>
        <item h="1" m="1" x="19"/>
        <item h="1" m="1" x="20"/>
        <item h="1" x="10"/>
        <item h="1" m="1" x="21"/>
        <item h="1" m="1" x="22"/>
        <item h="1" m="1" x="26"/>
        <item h="1" sd="0" m="1" x="12"/>
        <item h="1" sd="0" m="1" x="11"/>
        <item h="1" sd="0" m="1" x="13"/>
        <item h="1" m="1" x="14"/>
        <item h="1" m="1" x="15"/>
        <item h="1" m="1" x="16"/>
        <item h="1" m="1" x="17"/>
        <item h="1" m="1" x="18"/>
        <item h="1" m="1" x="25"/>
        <item h="1" m="1" x="24"/>
        <item h="1" m="1" x="23"/>
        <item h="1" sd="0" x="0"/>
        <item h="1" sd="0" x="1"/>
        <item h="1" sd="0" x="2"/>
        <item h="1" sd="0" x="3"/>
        <item h="1" sd="0" x="4"/>
        <item sd="0" x="6"/>
        <item h="1" x="9"/>
        <item t="default"/>
      </items>
    </pivotField>
    <pivotField showAll="0">
      <items count="12">
        <item x="5"/>
        <item h="1" m="1" x="6"/>
        <item h="1" x="4"/>
        <item h="1" m="1" x="10"/>
        <item h="1" m="1" x="9"/>
        <item h="1" x="2"/>
        <item h="1" x="0"/>
        <item h="1" m="1" x="8"/>
        <item h="1" x="3"/>
        <item h="1" m="1" x="7"/>
        <item h="1" x="1"/>
        <item t="default"/>
      </items>
    </pivotField>
    <pivotField axis="axisRow" showAll="0">
      <items count="12">
        <item x="1"/>
        <item x="2"/>
        <item x="6"/>
        <item x="4"/>
        <item x="7"/>
        <item x="0"/>
        <item x="5"/>
        <item m="1" x="10"/>
        <item sd="0" m="1" x="8"/>
        <item x="3"/>
        <item sd="0" m="1" x="9"/>
        <item t="default"/>
      </items>
    </pivotField>
    <pivotField axis="axisRow" showAll="0">
      <items count="53">
        <item x="2"/>
        <item x="8"/>
        <item x="15"/>
        <item x="5"/>
        <item m="1" x="46"/>
        <item x="34"/>
        <item x="12"/>
        <item x="30"/>
        <item x="16"/>
        <item m="1" x="48"/>
        <item m="1" x="40"/>
        <item x="28"/>
        <item x="20"/>
        <item x="36"/>
        <item x="23"/>
        <item x="29"/>
        <item x="19"/>
        <item x="14"/>
        <item x="24"/>
        <item x="31"/>
        <item x="35"/>
        <item m="1" x="41"/>
        <item x="25"/>
        <item x="10"/>
        <item x="17"/>
        <item m="1" x="47"/>
        <item x="21"/>
        <item m="1" x="37"/>
        <item x="13"/>
        <item x="4"/>
        <item x="22"/>
        <item m="1" x="39"/>
        <item m="1" x="42"/>
        <item x="33"/>
        <item x="9"/>
        <item m="1" x="44"/>
        <item m="1" x="49"/>
        <item m="1" x="45"/>
        <item x="11"/>
        <item m="1" x="43"/>
        <item x="0"/>
        <item m="1" x="50"/>
        <item x="18"/>
        <item m="1" x="51"/>
        <item x="7"/>
        <item x="1"/>
        <item x="3"/>
        <item x="6"/>
        <item x="26"/>
        <item m="1" x="38"/>
        <item x="27"/>
        <item x="32"/>
        <item t="default"/>
      </items>
    </pivotField>
    <pivotField showAll="0"/>
    <pivotField showAll="0"/>
    <pivotField showAll="0"/>
    <pivotField showAll="0"/>
    <pivotField numFmtId="165" showAll="0"/>
    <pivotField dataField="1" numFmtId="165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2">
    <field x="6"/>
    <field x="7"/>
  </rowFields>
  <rowItems count="11">
    <i>
      <x v="1"/>
    </i>
    <i r="1">
      <x v="1"/>
    </i>
    <i r="1">
      <x v="3"/>
    </i>
    <i r="1">
      <x v="6"/>
    </i>
    <i r="1">
      <x v="11"/>
    </i>
    <i r="1">
      <x v="15"/>
    </i>
    <i r="1">
      <x v="17"/>
    </i>
    <i r="1">
      <x v="29"/>
    </i>
    <i r="1">
      <x v="38"/>
    </i>
    <i r="1">
      <x v="50"/>
    </i>
    <i t="grand">
      <x/>
    </i>
  </rowItems>
  <colFields count="2">
    <field x="4"/>
    <field x="3"/>
  </colFields>
  <colItems count="3">
    <i>
      <x v="2"/>
    </i>
    <i>
      <x v="27"/>
    </i>
    <i t="grand">
      <x/>
    </i>
  </colItems>
  <pageFields count="1">
    <pageField fld="2" hier="-1"/>
  </pageFields>
  <dataFields count="1">
    <dataField name="Suma de Total " fld="13" baseField="3" baseItem="0" numFmtId="3"/>
  </dataFields>
  <pivotTableStyleInfo name="PivotStyleDark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717F2-D61F-4921-8FF4-00AF221EC502}" name="TablaDinámica1" cacheId="2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rowHeaderCaption="Chile" colHeaderCaption="Rendiciones">
  <location ref="B4:N42" firstHeaderRow="1" firstDataRow="4" firstDataCol="1"/>
  <pivotFields count="22">
    <pivotField axis="axisRow" showAll="0">
      <items count="41">
        <item sd="0" m="1" x="19"/>
        <item sd="0" x="12"/>
        <item m="1" x="36"/>
        <item sd="0" x="2"/>
        <item m="1" x="34"/>
        <item m="1" x="38"/>
        <item sd="0" m="1" x="31"/>
        <item sd="0" m="1" x="30"/>
        <item sd="0" m="1" x="32"/>
        <item sd="0" m="1" x="29"/>
        <item sd="0" x="0"/>
        <item sd="0" m="1" x="20"/>
        <item sd="0" m="1" x="23"/>
        <item sd="0" x="8"/>
        <item m="1" x="35"/>
        <item sd="0" x="4"/>
        <item sd="0" x="7"/>
        <item sd="0" m="1" x="24"/>
        <item sd="0" m="1" x="26"/>
        <item m="1" x="37"/>
        <item m="1" x="39"/>
        <item sd="0" x="3"/>
        <item sd="0" m="1" x="22"/>
        <item sd="0" x="10"/>
        <item sd="0" m="1" x="27"/>
        <item sd="0" x="9"/>
        <item sd="0" x="1"/>
        <item sd="0" m="1" x="28"/>
        <item sd="0" m="1" x="25"/>
        <item sd="0" x="5"/>
        <item sd="0" m="1" x="21"/>
        <item x="18"/>
        <item sd="0" x="13"/>
        <item sd="0" m="1" x="33"/>
        <item sd="0" x="6"/>
        <item sd="0" x="11"/>
        <item x="14"/>
        <item x="15"/>
        <item sd="0" x="16"/>
        <item x="17"/>
        <item t="default"/>
      </items>
    </pivotField>
    <pivotField axis="axisRow" showAll="0">
      <items count="58"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6"/>
        <item x="27"/>
        <item x="21"/>
        <item x="22"/>
        <item x="23"/>
        <item x="24"/>
        <item x="25"/>
        <item x="32"/>
        <item x="33"/>
        <item x="28"/>
        <item x="29"/>
        <item x="30"/>
        <item x="31"/>
        <item x="34"/>
        <item x="35"/>
        <item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x="0"/>
        <item x="7"/>
        <item t="default"/>
      </items>
    </pivotField>
    <pivotField axis="axisCol" showAll="0">
      <items count="113">
        <item x="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53"/>
        <item x="55"/>
        <item x="5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6"/>
        <item x="97"/>
        <item x="98"/>
        <item x="95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m="1" x="4"/>
        <item x="0"/>
        <item m="1" x="5"/>
        <item h="1" sd="0" x="2"/>
        <item x="3"/>
        <item h="1" sd="0" x="1"/>
        <item t="default"/>
      </items>
    </pivotField>
    <pivotField showAll="0"/>
    <pivotField dataField="1" showAll="0"/>
    <pivotField numFmtId="165"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Col" showAll="0">
      <items count="4">
        <item x="1"/>
        <item x="0"/>
        <item x="2"/>
        <item t="default"/>
      </items>
    </pivotField>
  </pivotFields>
  <rowFields count="3">
    <field x="14"/>
    <field x="0"/>
    <field x="1"/>
  </rowFields>
  <rowItems count="35">
    <i>
      <x v="1"/>
    </i>
    <i r="1">
      <x v="1"/>
    </i>
    <i r="1">
      <x v="3"/>
    </i>
    <i r="1">
      <x v="10"/>
    </i>
    <i r="1">
      <x v="13"/>
    </i>
    <i r="1">
      <x v="15"/>
    </i>
    <i r="1">
      <x v="16"/>
    </i>
    <i r="1">
      <x v="21"/>
    </i>
    <i r="1">
      <x v="23"/>
    </i>
    <i r="1">
      <x v="25"/>
    </i>
    <i r="1">
      <x v="26"/>
    </i>
    <i r="1">
      <x v="29"/>
    </i>
    <i r="1">
      <x v="32"/>
    </i>
    <i r="1">
      <x v="34"/>
    </i>
    <i r="1">
      <x v="35"/>
    </i>
    <i r="1">
      <x v="37"/>
    </i>
    <i r="2">
      <x v="55"/>
    </i>
    <i r="1">
      <x v="38"/>
    </i>
    <i>
      <x v="4"/>
    </i>
    <i r="1">
      <x v="3"/>
    </i>
    <i r="1">
      <x v="10"/>
    </i>
    <i r="1">
      <x v="13"/>
    </i>
    <i r="1">
      <x v="15"/>
    </i>
    <i r="1">
      <x v="25"/>
    </i>
    <i r="1">
      <x v="26"/>
    </i>
    <i r="1">
      <x v="29"/>
    </i>
    <i r="1">
      <x v="34"/>
    </i>
    <i r="1">
      <x v="35"/>
    </i>
    <i r="1">
      <x v="36"/>
    </i>
    <i r="2">
      <x/>
    </i>
    <i r="2">
      <x v="1"/>
    </i>
    <i r="2">
      <x v="2"/>
    </i>
    <i r="1">
      <x v="39"/>
    </i>
    <i r="2">
      <x/>
    </i>
    <i t="grand">
      <x/>
    </i>
  </rowItems>
  <colFields count="3">
    <field x="21"/>
    <field x="19"/>
    <field x="2"/>
  </colFields>
  <colItems count="12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/>
    </i>
    <i t="grand">
      <x/>
    </i>
  </colItems>
  <dataFields count="1">
    <dataField name="Bancos " fld="16" baseField="5" baseItem="0" numFmtId="3"/>
  </dataFields>
  <pivotTableStyleInfo name="PivotStyleLight1" showRowHeaders="1" showColHeaders="1" showRowStripes="0" showColStripes="0" showLastColumn="1"/>
  <filters count="1">
    <filter fld="2" type="dateBetween" evalOrder="-1" id="57" name="Fecha 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C2CA4-2DC6-4D52-BB6D-9635986CD8E0}" name="TablaDinámica1" cacheId="2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Rendiciones" colHeaderCaption="CL">
  <location ref="B7:L27" firstHeaderRow="1" firstDataRow="2" firstDataCol="1"/>
  <pivotFields count="22">
    <pivotField axis="axisRow" showAll="0">
      <items count="41">
        <item m="1" x="19"/>
        <item sd="0" x="12"/>
        <item m="1" x="36"/>
        <item sd="0" x="2"/>
        <item m="1" x="34"/>
        <item m="1" x="38"/>
        <item m="1" x="31"/>
        <item m="1" x="30"/>
        <item m="1" x="32"/>
        <item m="1" x="29"/>
        <item sd="0" x="0"/>
        <item m="1" x="20"/>
        <item m="1" x="23"/>
        <item sd="0" x="8"/>
        <item m="1" x="35"/>
        <item sd="0" x="4"/>
        <item sd="0" x="7"/>
        <item m="1" x="24"/>
        <item m="1" x="26"/>
        <item m="1" x="37"/>
        <item m="1" x="39"/>
        <item sd="0" x="3"/>
        <item m="1" x="22"/>
        <item sd="0" x="10"/>
        <item m="1" x="27"/>
        <item sd="0" x="9"/>
        <item sd="0" x="1"/>
        <item m="1" x="28"/>
        <item m="1" x="25"/>
        <item sd="0" x="5"/>
        <item m="1" x="21"/>
        <item x="18"/>
        <item sd="0" x="13"/>
        <item m="1" x="33"/>
        <item sd="0" x="6"/>
        <item sd="0" x="11"/>
        <item sd="0" x="14"/>
        <item sd="0" x="15"/>
        <item sd="0" x="16"/>
        <item sd="0" x="17"/>
        <item t="default"/>
      </items>
    </pivotField>
    <pivotField showAll="0"/>
    <pivotField multipleItemSelectionAllowed="1" showAll="0">
      <items count="113">
        <item x="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53"/>
        <item x="55"/>
        <item x="5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6"/>
        <item x="97"/>
        <item x="98"/>
        <item x="95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showAll="0"/>
    <pivotField axis="axisCol" showAll="0">
      <items count="30">
        <item h="1" sd="0" x="5"/>
        <item m="1" x="28"/>
        <item m="1" x="27"/>
        <item x="10"/>
        <item m="1" x="26"/>
        <item sd="0" m="1" x="12"/>
        <item sd="0" m="1" x="11"/>
        <item sd="0" m="1" x="13"/>
        <item sd="0" m="1" x="14"/>
        <item sd="0" m="1" x="15"/>
        <item sd="0" m="1" x="16"/>
        <item sd="0" m="1" x="17"/>
        <item sd="0" m="1" x="18"/>
        <item sd="0" m="1" x="19"/>
        <item sd="0" m="1" x="20"/>
        <item sd="0" m="1" x="21"/>
        <item sd="0" m="1" x="22"/>
        <item m="1" x="25"/>
        <item m="1" x="24"/>
        <item m="1" x="23"/>
        <item x="0"/>
        <item x="1"/>
        <item x="2"/>
        <item x="3"/>
        <item x="4"/>
        <item x="6"/>
        <item x="7"/>
        <item x="8"/>
        <item h="1" x="9"/>
        <item t="default"/>
      </items>
    </pivotField>
    <pivotField showAll="0"/>
    <pivotField showAll="0"/>
    <pivotField axis="axisRow" showAll="0">
      <items count="53">
        <item x="7"/>
        <item x="2"/>
        <item x="8"/>
        <item x="3"/>
        <item m="1" x="50"/>
        <item x="15"/>
        <item m="1" x="38"/>
        <item x="5"/>
        <item m="1" x="46"/>
        <item x="34"/>
        <item x="12"/>
        <item x="30"/>
        <item x="6"/>
        <item x="16"/>
        <item m="1" x="48"/>
        <item m="1" x="40"/>
        <item x="18"/>
        <item x="27"/>
        <item x="28"/>
        <item x="20"/>
        <item x="26"/>
        <item x="36"/>
        <item x="23"/>
        <item x="29"/>
        <item x="19"/>
        <item x="14"/>
        <item x="24"/>
        <item x="32"/>
        <item x="31"/>
        <item x="35"/>
        <item m="1" x="41"/>
        <item x="1"/>
        <item x="25"/>
        <item x="10"/>
        <item x="17"/>
        <item m="1" x="47"/>
        <item x="21"/>
        <item m="1" x="37"/>
        <item x="13"/>
        <item x="4"/>
        <item x="22"/>
        <item m="1" x="39"/>
        <item m="1" x="42"/>
        <item x="33"/>
        <item x="9"/>
        <item m="1" x="44"/>
        <item m="1" x="49"/>
        <item m="1" x="51"/>
        <item m="1" x="45"/>
        <item x="11"/>
        <item m="1" x="43"/>
        <item h="1" x="0"/>
        <item t="default"/>
      </items>
    </pivotField>
    <pivotField showAll="0"/>
    <pivotField showAll="0"/>
    <pivotField showAll="0"/>
    <pivotField showAll="0"/>
    <pivotField numFmtId="165" showAll="0"/>
    <pivotField dataField="1" numFmtId="165" showAll="0"/>
    <pivotField showAll="0"/>
    <pivotField showAll="0"/>
    <pivotField showAll="0"/>
    <pivotField numFmtId="165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2">
    <field x="0"/>
    <field x="7"/>
  </rowFields>
  <rowItems count="19">
    <i>
      <x v="1"/>
    </i>
    <i>
      <x v="3"/>
    </i>
    <i>
      <x v="10"/>
    </i>
    <i>
      <x v="13"/>
    </i>
    <i>
      <x v="15"/>
    </i>
    <i>
      <x v="16"/>
    </i>
    <i>
      <x v="21"/>
    </i>
    <i>
      <x v="23"/>
    </i>
    <i>
      <x v="25"/>
    </i>
    <i>
      <x v="26"/>
    </i>
    <i>
      <x v="29"/>
    </i>
    <i>
      <x v="32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4"/>
  </colFields>
  <colItems count="10">
    <i>
      <x v="3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Insumos medicos" fld="13" baseField="7" baseItem="40" numFmtId="3"/>
  </dataFields>
  <formats count="14">
    <format dxfId="294">
      <pivotArea outline="0" fieldPosition="0">
        <references count="1">
          <reference field="4294967294" count="1">
            <x v="0"/>
          </reference>
        </references>
      </pivotArea>
    </format>
    <format dxfId="293">
      <pivotArea type="all" dataOnly="0" outline="0" fieldPosition="0"/>
    </format>
    <format dxfId="292">
      <pivotArea outline="0" collapsedLevelsAreSubtotals="1" fieldPosition="0"/>
    </format>
    <format dxfId="291">
      <pivotArea type="origin" dataOnly="0" labelOnly="1" outline="0" fieldPosition="0"/>
    </format>
    <format dxfId="290">
      <pivotArea field="4" type="button" dataOnly="0" labelOnly="1" outline="0" axis="axisCol" fieldPosition="0"/>
    </format>
    <format dxfId="289">
      <pivotArea type="topRight" dataOnly="0" labelOnly="1" outline="0" fieldPosition="0"/>
    </format>
    <format dxfId="288">
      <pivotArea field="0" type="button" dataOnly="0" labelOnly="1" outline="0" axis="axisRow" fieldPosition="0"/>
    </format>
    <format dxfId="287">
      <pivotArea dataOnly="0" labelOnly="1" grandRow="1" outline="0" fieldPosition="0"/>
    </format>
    <format dxfId="286">
      <pivotArea dataOnly="0" labelOnly="1" fieldPosition="0">
        <references count="1">
          <reference field="4" count="0"/>
        </references>
      </pivotArea>
    </format>
    <format dxfId="285">
      <pivotArea dataOnly="0" labelOnly="1" fieldPosition="0">
        <references count="1">
          <reference field="7" count="0"/>
        </references>
      </pivotArea>
    </format>
    <format dxfId="284">
      <pivotArea outline="0" collapsedLevelsAreSubtotals="1" fieldPosition="0"/>
    </format>
    <format dxfId="283">
      <pivotArea field="4" type="button" dataOnly="0" labelOnly="1" outline="0" axis="axisCol" fieldPosition="0"/>
    </format>
    <format dxfId="282">
      <pivotArea type="topRight" dataOnly="0" labelOnly="1" outline="0" fieldPosition="0"/>
    </format>
    <format dxfId="28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227373-C8AA-4DF2-94E4-7FD9E6A50C9D}" name="2022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hile 2022">
  <location ref="B40:F48" firstHeaderRow="0" firstDataRow="1" firstDataCol="1"/>
  <pivotFields count="19">
    <pivotField axis="axisRow" showAll="0">
      <items count="11">
        <item sd="0" x="0"/>
        <item sd="0" x="1"/>
        <item sd="0" x="3"/>
        <item h="1" sd="0" x="4"/>
        <item h="1" sd="0" x="5"/>
        <item sd="0" x="2"/>
        <item sd="0" x="7"/>
        <item sd="0" x="8"/>
        <item h="1" sd="0" x="6"/>
        <item sd="0" x="9"/>
        <item t="default"/>
      </items>
    </pivotField>
    <pivotField axis="axisRow" showAll="0">
      <items count="161">
        <item x="100"/>
        <item x="112"/>
        <item x="53"/>
        <item x="93"/>
        <item x="84"/>
        <item x="85"/>
        <item x="105"/>
        <item x="120"/>
        <item x="3"/>
        <item x="61"/>
        <item x="60"/>
        <item x="148"/>
        <item x="70"/>
        <item x="107"/>
        <item x="88"/>
        <item x="92"/>
        <item x="76"/>
        <item x="136"/>
        <item x="153"/>
        <item x="2"/>
        <item x="27"/>
        <item x="41"/>
        <item x="134"/>
        <item x="28"/>
        <item x="39"/>
        <item x="129"/>
        <item x="132"/>
        <item x="124"/>
        <item x="135"/>
        <item x="128"/>
        <item x="55"/>
        <item x="151"/>
        <item x="69"/>
        <item x="40"/>
        <item x="36"/>
        <item x="150"/>
        <item x="59"/>
        <item x="65"/>
        <item x="31"/>
        <item x="23"/>
        <item x="138"/>
        <item x="68"/>
        <item x="158"/>
        <item x="110"/>
        <item x="157"/>
        <item x="108"/>
        <item x="44"/>
        <item x="87"/>
        <item x="50"/>
        <item x="106"/>
        <item x="97"/>
        <item x="103"/>
        <item x="123"/>
        <item x="1"/>
        <item x="21"/>
        <item x="51"/>
        <item x="91"/>
        <item x="66"/>
        <item x="67"/>
        <item x="140"/>
        <item x="86"/>
        <item x="80"/>
        <item x="42"/>
        <item x="152"/>
        <item x="0"/>
        <item x="109"/>
        <item x="48"/>
        <item x="49"/>
        <item x="96"/>
        <item x="114"/>
        <item x="115"/>
        <item x="118"/>
        <item x="117"/>
        <item x="116"/>
        <item x="62"/>
        <item x="26"/>
        <item x="78"/>
        <item x="102"/>
        <item x="47"/>
        <item x="25"/>
        <item x="101"/>
        <item x="52"/>
        <item x="35"/>
        <item x="145"/>
        <item x="95"/>
        <item x="75"/>
        <item x="90"/>
        <item x="83"/>
        <item x="131"/>
        <item x="133"/>
        <item x="156"/>
        <item x="147"/>
        <item x="141"/>
        <item x="72"/>
        <item x="45"/>
        <item x="43"/>
        <item x="7"/>
        <item x="6"/>
        <item x="5"/>
        <item x="111"/>
        <item x="146"/>
        <item x="54"/>
        <item x="4"/>
        <item x="139"/>
        <item x="125"/>
        <item x="137"/>
        <item x="56"/>
        <item x="22"/>
        <item x="143"/>
        <item x="119"/>
        <item x="64"/>
        <item x="71"/>
        <item x="38"/>
        <item x="18"/>
        <item x="63"/>
        <item x="17"/>
        <item x="11"/>
        <item x="12"/>
        <item x="10"/>
        <item x="8"/>
        <item x="9"/>
        <item x="20"/>
        <item x="19"/>
        <item x="13"/>
        <item x="16"/>
        <item x="15"/>
        <item x="14"/>
        <item x="37"/>
        <item x="113"/>
        <item x="77"/>
        <item x="144"/>
        <item x="24"/>
        <item x="46"/>
        <item x="142"/>
        <item x="154"/>
        <item x="58"/>
        <item x="149"/>
        <item x="32"/>
        <item x="33"/>
        <item x="130"/>
        <item x="73"/>
        <item x="57"/>
        <item x="74"/>
        <item x="99"/>
        <item x="104"/>
        <item x="94"/>
        <item x="82"/>
        <item x="89"/>
        <item x="79"/>
        <item x="155"/>
        <item x="127"/>
        <item x="81"/>
        <item x="121"/>
        <item x="126"/>
        <item x="122"/>
        <item x="98"/>
        <item x="29"/>
        <item x="34"/>
        <item x="30"/>
        <item x="159"/>
        <item t="default"/>
      </items>
    </pivotField>
    <pivotField showAll="0"/>
    <pivotField showAll="0"/>
    <pivotField showAll="0"/>
    <pivotField dataField="1" numFmtId="165" showAll="0"/>
    <pivotField showAll="0"/>
    <pivotField showAll="0"/>
    <pivotField showAll="0"/>
    <pivotField dataField="1" numFmtId="165" showAll="0"/>
    <pivotField showAll="0"/>
    <pivotField showAll="0"/>
    <pivotField showAll="0"/>
    <pivotField dataField="1" numFmtId="165" showAll="0"/>
    <pivotField showAll="0"/>
    <pivotField showAll="0"/>
    <pivotField showAll="0"/>
    <pivotField dataField="1" numFmtId="165" showAll="0"/>
    <pivotField numFmtId="167" showAll="0"/>
  </pivotFields>
  <rowFields count="2">
    <field x="0"/>
    <field x="1"/>
  </rowFields>
  <rowItems count="8">
    <i>
      <x/>
    </i>
    <i>
      <x v="1"/>
    </i>
    <i>
      <x v="2"/>
    </i>
    <i>
      <x v="5"/>
    </i>
    <i>
      <x v="6"/>
    </i>
    <i>
      <x v="7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arter 1 " fld="5" baseField="0" baseItem="0" numFmtId="3"/>
    <dataField name="Cuarter 2 " fld="9" baseField="0" baseItem="0" numFmtId="3"/>
    <dataField name="Cuarter 3 " fld="13" baseField="0" baseItem="0" numFmtId="3"/>
    <dataField name=" cuarter 4" fld="17" baseField="0" baseItem="0" numFmtId="3"/>
  </dataFields>
  <formats count="21">
    <format dxfId="267">
      <pivotArea outline="0" fieldPosition="0">
        <references count="1">
          <reference field="4294967294" count="1">
            <x v="3"/>
          </reference>
        </references>
      </pivotArea>
    </format>
    <format dxfId="266">
      <pivotArea type="all" dataOnly="0" outline="0" fieldPosition="0"/>
    </format>
    <format dxfId="265">
      <pivotArea outline="0" collapsedLevelsAreSubtotals="1" fieldPosition="0"/>
    </format>
    <format dxfId="264">
      <pivotArea field="0" type="button" dataOnly="0" labelOnly="1" outline="0" axis="axisRow" fieldPosition="0"/>
    </format>
    <format dxfId="263">
      <pivotArea dataOnly="0" labelOnly="1" fieldPosition="0">
        <references count="1">
          <reference field="0" count="0"/>
        </references>
      </pivotArea>
    </format>
    <format dxfId="262">
      <pivotArea dataOnly="0" labelOnly="1" grandRow="1" outline="0" fieldPosition="0"/>
    </format>
    <format dxfId="26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60">
      <pivotArea type="all" dataOnly="0" outline="0" fieldPosition="0"/>
    </format>
    <format dxfId="259">
      <pivotArea outline="0" collapsedLevelsAreSubtotals="1" fieldPosition="0"/>
    </format>
    <format dxfId="258">
      <pivotArea field="0" type="button" dataOnly="0" labelOnly="1" outline="0" axis="axisRow" fieldPosition="0"/>
    </format>
    <format dxfId="257">
      <pivotArea dataOnly="0" labelOnly="1" fieldPosition="0">
        <references count="1">
          <reference field="0" count="0"/>
        </references>
      </pivotArea>
    </format>
    <format dxfId="256">
      <pivotArea dataOnly="0" labelOnly="1" grandRow="1" outline="0" fieldPosition="0"/>
    </format>
    <format dxfId="25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54">
      <pivotArea collapsedLevelsAreSubtotals="1" fieldPosition="0">
        <references count="1">
          <reference field="0" count="1">
            <x v="0"/>
          </reference>
        </references>
      </pivotArea>
    </format>
    <format dxfId="253">
      <pivotArea collapsedLevelsAreSubtotals="1" fieldPosition="0">
        <references count="1">
          <reference field="0" count="1">
            <x v="1"/>
          </reference>
        </references>
      </pivotArea>
    </format>
    <format dxfId="252">
      <pivotArea collapsedLevelsAreSubtotals="1" fieldPosition="0">
        <references count="1">
          <reference field="0" count="1">
            <x v="2"/>
          </reference>
        </references>
      </pivotArea>
    </format>
    <format dxfId="251">
      <pivotArea collapsedLevelsAreSubtotals="1" fieldPosition="0">
        <references count="1">
          <reference field="0" count="1">
            <x v="5"/>
          </reference>
        </references>
      </pivotArea>
    </format>
    <format dxfId="250">
      <pivotArea collapsedLevelsAreSubtotals="1" fieldPosition="0">
        <references count="1">
          <reference field="0" count="1">
            <x v="6"/>
          </reference>
        </references>
      </pivotArea>
    </format>
    <format dxfId="249">
      <pivotArea collapsedLevelsAreSubtotals="1" fieldPosition="0">
        <references count="1">
          <reference field="0" count="1">
            <x v="7"/>
          </reference>
        </references>
      </pivotArea>
    </format>
    <format dxfId="248">
      <pivotArea collapsedLevelsAreSubtotals="1" fieldPosition="0">
        <references count="1">
          <reference field="0" count="1">
            <x v="8"/>
          </reference>
        </references>
      </pivotArea>
    </format>
    <format dxfId="247">
      <pivotArea collapsedLevelsAreSubtotals="1" fieldPosition="0">
        <references count="1">
          <reference field="0" count="1">
            <x v="9"/>
          </reference>
        </references>
      </pivotArea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D8AE6E-D71F-4813-A177-C6CA5533B942}" name="2023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Chile 2023">
  <location ref="B25:F33" firstHeaderRow="0" firstDataRow="1" firstDataCol="1"/>
  <pivotFields count="19">
    <pivotField axis="axisRow" showAll="0">
      <items count="11">
        <item sd="0" x="0"/>
        <item sd="0" x="1"/>
        <item sd="0" x="3"/>
        <item h="1" sd="0" x="4"/>
        <item h="1" sd="0" x="5"/>
        <item sd="0" x="2"/>
        <item sd="0" x="7"/>
        <item sd="0" x="8"/>
        <item h="1" sd="0" x="6"/>
        <item sd="0" x="9"/>
        <item t="default"/>
      </items>
    </pivotField>
    <pivotField axis="axisRow" showAll="0">
      <items count="164">
        <item x="79"/>
        <item x="137"/>
        <item x="91"/>
        <item x="72"/>
        <item x="63"/>
        <item x="64"/>
        <item x="84"/>
        <item x="106"/>
        <item x="3"/>
        <item x="48"/>
        <item x="132"/>
        <item x="94"/>
        <item x="152"/>
        <item x="126"/>
        <item x="86"/>
        <item x="153"/>
        <item x="93"/>
        <item x="67"/>
        <item x="71"/>
        <item x="55"/>
        <item x="139"/>
        <item x="144"/>
        <item x="2"/>
        <item x="23"/>
        <item x="37"/>
        <item x="124"/>
        <item x="24"/>
        <item x="119"/>
        <item x="122"/>
        <item x="113"/>
        <item x="41"/>
        <item x="125"/>
        <item x="118"/>
        <item x="142"/>
        <item x="36"/>
        <item x="154"/>
        <item x="33"/>
        <item x="149"/>
        <item x="140"/>
        <item x="47"/>
        <item x="46"/>
        <item x="51"/>
        <item x="27"/>
        <item x="159"/>
        <item x="128"/>
        <item x="87"/>
        <item x="147"/>
        <item x="130"/>
        <item x="88"/>
        <item x="66"/>
        <item x="40"/>
        <item x="131"/>
        <item x="89"/>
        <item x="0"/>
        <item x="76"/>
        <item x="82"/>
        <item x="112"/>
        <item x="1"/>
        <item x="17"/>
        <item x="70"/>
        <item x="65"/>
        <item x="59"/>
        <item x="38"/>
        <item x="143"/>
        <item x="133"/>
        <item x="90"/>
        <item x="45"/>
        <item x="75"/>
        <item x="99"/>
        <item x="100"/>
        <item x="103"/>
        <item x="102"/>
        <item x="101"/>
        <item x="22"/>
        <item x="57"/>
        <item x="81"/>
        <item x="35"/>
        <item x="44"/>
        <item x="21"/>
        <item x="80"/>
        <item x="31"/>
        <item x="155"/>
        <item x="134"/>
        <item x="160"/>
        <item x="69"/>
        <item x="62"/>
        <item x="5"/>
        <item x="121"/>
        <item x="123"/>
        <item x="150"/>
        <item x="138"/>
        <item x="53"/>
        <item x="19"/>
        <item x="39"/>
        <item x="92"/>
        <item x="145"/>
        <item x="43"/>
        <item x="4"/>
        <item x="127"/>
        <item x="114"/>
        <item x="148"/>
        <item x="129"/>
        <item x="18"/>
        <item x="136"/>
        <item x="105"/>
        <item x="115"/>
        <item x="34"/>
        <item x="50"/>
        <item x="49"/>
        <item x="9"/>
        <item x="10"/>
        <item x="8"/>
        <item x="6"/>
        <item x="7"/>
        <item x="16"/>
        <item x="15"/>
        <item x="11"/>
        <item x="14"/>
        <item x="13"/>
        <item x="12"/>
        <item x="98"/>
        <item x="151"/>
        <item x="56"/>
        <item x="135"/>
        <item x="20"/>
        <item x="42"/>
        <item x="146"/>
        <item x="85"/>
        <item x="141"/>
        <item x="32"/>
        <item x="28"/>
        <item x="29"/>
        <item x="120"/>
        <item x="54"/>
        <item x="161"/>
        <item x="78"/>
        <item x="74"/>
        <item x="83"/>
        <item x="73"/>
        <item x="61"/>
        <item x="68"/>
        <item x="58"/>
        <item x="117"/>
        <item x="60"/>
        <item x="107"/>
        <item x="116"/>
        <item x="111"/>
        <item x="77"/>
        <item x="25"/>
        <item x="30"/>
        <item x="26"/>
        <item x="162"/>
        <item x="52"/>
        <item x="95"/>
        <item x="96"/>
        <item x="97"/>
        <item x="104"/>
        <item x="108"/>
        <item x="109"/>
        <item x="110"/>
        <item x="156"/>
        <item x="157"/>
        <item x="15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dataField="1" numFmtId="167" showAll="0"/>
    <pivotField showAll="0"/>
    <pivotField numFmtId="167" showAll="0"/>
    <pivotField showAll="0"/>
    <pivotField dataField="1" showAll="0"/>
    <pivotField showAll="0"/>
    <pivotField showAll="0"/>
    <pivotField showAll="0"/>
    <pivotField dataField="1" showAll="0"/>
    <pivotField numFmtId="167" showAll="0"/>
  </pivotFields>
  <rowFields count="2">
    <field x="0"/>
    <field x="1"/>
  </rowFields>
  <rowItems count="8">
    <i>
      <x/>
    </i>
    <i>
      <x v="1"/>
    </i>
    <i>
      <x v="2"/>
    </i>
    <i>
      <x v="5"/>
    </i>
    <i>
      <x v="6"/>
    </i>
    <i>
      <x v="7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arter 1 " fld="5" baseField="0" baseItem="0" numFmtId="3"/>
    <dataField name="Cuarter 2 " fld="9" baseField="0" baseItem="0" numFmtId="3"/>
    <dataField name="Cuarter 3 " fld="13" baseField="0" baseItem="0" numFmtId="3"/>
    <dataField name="Cuarter 4 " fld="17" baseField="0" baseItem="0" numFmtId="3"/>
  </dataFields>
  <formats count="13">
    <format dxfId="280">
      <pivotArea outline="0" fieldPosition="0">
        <references count="1">
          <reference field="4294967294" count="1">
            <x v="3"/>
          </reference>
        </references>
      </pivotArea>
    </format>
    <format dxfId="279">
      <pivotArea type="all" dataOnly="0" outline="0" fieldPosition="0"/>
    </format>
    <format dxfId="278">
      <pivotArea field="0" type="button" dataOnly="0" labelOnly="1" outline="0" axis="axisRow" fieldPosition="0"/>
    </format>
    <format dxfId="277">
      <pivotArea dataOnly="0" labelOnly="1" fieldPosition="0">
        <references count="1">
          <reference field="0" count="0"/>
        </references>
      </pivotArea>
    </format>
    <format dxfId="276">
      <pivotArea dataOnly="0" labelOnly="1" grandRow="1" outline="0" fieldPosition="0"/>
    </format>
    <format dxfId="27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74">
      <pivotArea type="all" dataOnly="0" outline="0" fieldPosition="0"/>
    </format>
    <format dxfId="273">
      <pivotArea outline="0" collapsedLevelsAreSubtotals="1" fieldPosition="0"/>
    </format>
    <format dxfId="272">
      <pivotArea field="0" type="button" dataOnly="0" labelOnly="1" outline="0" axis="axisRow" fieldPosition="0"/>
    </format>
    <format dxfId="271">
      <pivotArea dataOnly="0" labelOnly="1" fieldPosition="0">
        <references count="1">
          <reference field="0" count="0"/>
        </references>
      </pivotArea>
    </format>
    <format dxfId="270">
      <pivotArea dataOnly="0" labelOnly="1" grandRow="1" outline="0" fieldPosition="0"/>
    </format>
    <format dxfId="26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68">
      <pivotArea outline="0" collapsedLevelsAreSubtotals="1" fieldPosition="0"/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57F27-504A-4ECB-AD55-DA925FF89665}" name="2023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Chile 2023">
  <location ref="B40:F49" firstHeaderRow="0" firstDataRow="1" firstDataCol="1"/>
  <pivotFields count="19">
    <pivotField axis="axisRow" showAll="0">
      <items count="11">
        <item sd="0" x="0"/>
        <item sd="0" x="1"/>
        <item sd="0" x="3"/>
        <item h="1" sd="0" x="4"/>
        <item h="1" sd="0" x="5"/>
        <item sd="0" x="2"/>
        <item sd="0" x="7"/>
        <item sd="0" x="8"/>
        <item sd="0" x="6"/>
        <item sd="0" x="9"/>
        <item t="default"/>
      </items>
    </pivotField>
    <pivotField axis="axisRow" showAll="0">
      <items count="164">
        <item x="79"/>
        <item x="137"/>
        <item x="91"/>
        <item x="72"/>
        <item x="63"/>
        <item x="64"/>
        <item x="84"/>
        <item x="106"/>
        <item x="3"/>
        <item x="48"/>
        <item x="132"/>
        <item x="94"/>
        <item x="152"/>
        <item x="126"/>
        <item x="86"/>
        <item x="153"/>
        <item x="93"/>
        <item x="67"/>
        <item x="71"/>
        <item x="55"/>
        <item x="139"/>
        <item x="144"/>
        <item x="2"/>
        <item x="23"/>
        <item x="37"/>
        <item x="124"/>
        <item x="24"/>
        <item x="119"/>
        <item x="122"/>
        <item x="113"/>
        <item x="41"/>
        <item x="125"/>
        <item x="118"/>
        <item x="142"/>
        <item x="36"/>
        <item x="154"/>
        <item x="33"/>
        <item x="149"/>
        <item x="140"/>
        <item x="47"/>
        <item x="46"/>
        <item x="51"/>
        <item x="27"/>
        <item x="159"/>
        <item x="128"/>
        <item x="87"/>
        <item x="147"/>
        <item x="130"/>
        <item x="88"/>
        <item x="66"/>
        <item x="40"/>
        <item x="131"/>
        <item x="89"/>
        <item x="0"/>
        <item x="76"/>
        <item x="82"/>
        <item x="112"/>
        <item x="1"/>
        <item x="17"/>
        <item x="70"/>
        <item x="65"/>
        <item x="59"/>
        <item x="38"/>
        <item x="143"/>
        <item x="133"/>
        <item x="90"/>
        <item x="45"/>
        <item x="75"/>
        <item x="99"/>
        <item x="100"/>
        <item x="103"/>
        <item x="102"/>
        <item x="101"/>
        <item x="22"/>
        <item x="57"/>
        <item x="81"/>
        <item x="35"/>
        <item x="44"/>
        <item x="21"/>
        <item x="80"/>
        <item x="31"/>
        <item x="155"/>
        <item x="134"/>
        <item x="160"/>
        <item x="69"/>
        <item x="62"/>
        <item x="5"/>
        <item x="121"/>
        <item x="123"/>
        <item x="150"/>
        <item x="138"/>
        <item x="53"/>
        <item x="19"/>
        <item x="39"/>
        <item x="92"/>
        <item x="145"/>
        <item x="43"/>
        <item x="4"/>
        <item x="127"/>
        <item x="114"/>
        <item x="148"/>
        <item x="129"/>
        <item x="18"/>
        <item x="136"/>
        <item x="105"/>
        <item x="115"/>
        <item x="34"/>
        <item x="50"/>
        <item x="49"/>
        <item x="9"/>
        <item x="10"/>
        <item x="8"/>
        <item x="6"/>
        <item x="7"/>
        <item x="16"/>
        <item x="15"/>
        <item x="11"/>
        <item x="14"/>
        <item x="13"/>
        <item x="12"/>
        <item x="98"/>
        <item x="151"/>
        <item x="56"/>
        <item x="135"/>
        <item x="20"/>
        <item x="42"/>
        <item x="146"/>
        <item x="85"/>
        <item x="141"/>
        <item x="32"/>
        <item x="28"/>
        <item x="29"/>
        <item x="120"/>
        <item x="54"/>
        <item x="161"/>
        <item x="78"/>
        <item x="74"/>
        <item x="83"/>
        <item x="73"/>
        <item x="61"/>
        <item x="68"/>
        <item x="58"/>
        <item x="117"/>
        <item x="60"/>
        <item x="107"/>
        <item x="116"/>
        <item x="111"/>
        <item x="77"/>
        <item x="25"/>
        <item x="30"/>
        <item x="26"/>
        <item x="162"/>
        <item x="52"/>
        <item x="95"/>
        <item x="96"/>
        <item x="97"/>
        <item x="104"/>
        <item x="108"/>
        <item x="109"/>
        <item x="110"/>
        <item x="156"/>
        <item x="157"/>
        <item x="15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dataField="1" numFmtId="167" showAll="0"/>
    <pivotField showAll="0"/>
    <pivotField numFmtId="167" showAll="0"/>
    <pivotField showAll="0"/>
    <pivotField dataField="1" showAll="0"/>
    <pivotField showAll="0"/>
    <pivotField showAll="0"/>
    <pivotField showAll="0"/>
    <pivotField dataField="1" showAll="0"/>
    <pivotField numFmtId="167" showAll="0"/>
  </pivotFields>
  <rowFields count="2">
    <field x="0"/>
    <field x="1"/>
  </rowFields>
  <rowItems count="9">
    <i>
      <x/>
    </i>
    <i>
      <x v="1"/>
    </i>
    <i>
      <x v="2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arter 1 " fld="5" baseField="0" baseItem="0" numFmtId="3"/>
    <dataField name="Cuarter 2 " fld="9" baseField="0" baseItem="0" numFmtId="3"/>
    <dataField name="Cuarter 3 " fld="13" baseField="0" baseItem="0" numFmtId="3"/>
    <dataField name="Cuarter 4 " fld="17" baseField="0" baseItem="0" numFmtId="3"/>
  </dataFields>
  <formats count="13">
    <format dxfId="225">
      <pivotArea outline="0" fieldPosition="0">
        <references count="1">
          <reference field="4294967294" count="1">
            <x v="3"/>
          </reference>
        </references>
      </pivotArea>
    </format>
    <format dxfId="224">
      <pivotArea type="all" dataOnly="0" outline="0" fieldPosition="0"/>
    </format>
    <format dxfId="223">
      <pivotArea field="0" type="button" dataOnly="0" labelOnly="1" outline="0" axis="axisRow" fieldPosition="0"/>
    </format>
    <format dxfId="222">
      <pivotArea dataOnly="0" labelOnly="1" fieldPosition="0">
        <references count="1">
          <reference field="0" count="0"/>
        </references>
      </pivotArea>
    </format>
    <format dxfId="221">
      <pivotArea dataOnly="0" labelOnly="1" grandRow="1" outline="0" fieldPosition="0"/>
    </format>
    <format dxfId="22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9">
      <pivotArea type="all" dataOnly="0" outline="0" fieldPosition="0"/>
    </format>
    <format dxfId="218">
      <pivotArea outline="0" collapsedLevelsAreSubtotals="1" fieldPosition="0"/>
    </format>
    <format dxfId="217">
      <pivotArea field="0" type="button" dataOnly="0" labelOnly="1" outline="0" axis="axisRow" fieldPosition="0"/>
    </format>
    <format dxfId="216">
      <pivotArea dataOnly="0" labelOnly="1" fieldPosition="0">
        <references count="1">
          <reference field="0" count="0"/>
        </references>
      </pivotArea>
    </format>
    <format dxfId="215">
      <pivotArea dataOnly="0" labelOnly="1" grandRow="1" outline="0" fieldPosition="0"/>
    </format>
    <format dxfId="21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3">
      <pivotArea outline="0" collapsedLevelsAreSubtotals="1" fieldPosition="0"/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B1D386-09FC-4C53-94B8-B68A6A36BEE9}" name="2022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hile 2022">
  <location ref="B55:F64" firstHeaderRow="0" firstDataRow="1" firstDataCol="1"/>
  <pivotFields count="19">
    <pivotField axis="axisRow" showAll="0">
      <items count="11">
        <item sd="0" x="0"/>
        <item sd="0" x="1"/>
        <item sd="0" x="3"/>
        <item h="1" sd="0" x="4"/>
        <item h="1" sd="0" x="5"/>
        <item sd="0" x="2"/>
        <item sd="0" x="7"/>
        <item sd="0" x="8"/>
        <item sd="0" x="6"/>
        <item sd="0" x="9"/>
        <item t="default"/>
      </items>
    </pivotField>
    <pivotField axis="axisRow" showAll="0">
      <items count="161">
        <item x="100"/>
        <item x="112"/>
        <item x="53"/>
        <item x="93"/>
        <item x="84"/>
        <item x="85"/>
        <item x="105"/>
        <item x="120"/>
        <item x="3"/>
        <item x="61"/>
        <item x="60"/>
        <item x="148"/>
        <item x="70"/>
        <item x="107"/>
        <item x="88"/>
        <item x="92"/>
        <item x="76"/>
        <item x="136"/>
        <item x="153"/>
        <item x="2"/>
        <item x="27"/>
        <item x="41"/>
        <item x="134"/>
        <item x="28"/>
        <item x="39"/>
        <item x="129"/>
        <item x="132"/>
        <item x="124"/>
        <item x="135"/>
        <item x="128"/>
        <item x="55"/>
        <item x="151"/>
        <item x="69"/>
        <item x="40"/>
        <item x="36"/>
        <item x="150"/>
        <item x="59"/>
        <item x="65"/>
        <item x="31"/>
        <item x="23"/>
        <item x="138"/>
        <item x="68"/>
        <item x="158"/>
        <item x="110"/>
        <item x="157"/>
        <item x="108"/>
        <item x="44"/>
        <item x="87"/>
        <item x="50"/>
        <item x="106"/>
        <item x="97"/>
        <item x="103"/>
        <item x="123"/>
        <item x="1"/>
        <item x="21"/>
        <item x="51"/>
        <item x="91"/>
        <item x="66"/>
        <item x="67"/>
        <item x="140"/>
        <item x="86"/>
        <item x="80"/>
        <item x="42"/>
        <item x="152"/>
        <item x="0"/>
        <item x="109"/>
        <item x="48"/>
        <item x="49"/>
        <item x="96"/>
        <item x="114"/>
        <item x="115"/>
        <item x="118"/>
        <item x="117"/>
        <item x="116"/>
        <item x="62"/>
        <item x="26"/>
        <item x="78"/>
        <item x="102"/>
        <item x="47"/>
        <item x="25"/>
        <item x="101"/>
        <item x="52"/>
        <item x="35"/>
        <item x="145"/>
        <item x="95"/>
        <item x="75"/>
        <item x="90"/>
        <item x="83"/>
        <item x="131"/>
        <item x="133"/>
        <item x="156"/>
        <item x="147"/>
        <item x="141"/>
        <item x="72"/>
        <item x="45"/>
        <item x="43"/>
        <item x="7"/>
        <item x="6"/>
        <item x="5"/>
        <item x="111"/>
        <item x="146"/>
        <item x="54"/>
        <item x="4"/>
        <item x="139"/>
        <item x="125"/>
        <item x="137"/>
        <item x="56"/>
        <item x="22"/>
        <item x="143"/>
        <item x="119"/>
        <item x="64"/>
        <item x="71"/>
        <item x="38"/>
        <item x="18"/>
        <item x="63"/>
        <item x="17"/>
        <item x="11"/>
        <item x="12"/>
        <item x="10"/>
        <item x="8"/>
        <item x="9"/>
        <item x="20"/>
        <item x="19"/>
        <item x="13"/>
        <item x="16"/>
        <item x="15"/>
        <item x="14"/>
        <item x="37"/>
        <item x="113"/>
        <item x="77"/>
        <item x="144"/>
        <item x="24"/>
        <item x="46"/>
        <item x="142"/>
        <item x="154"/>
        <item x="58"/>
        <item x="149"/>
        <item x="32"/>
        <item x="33"/>
        <item x="130"/>
        <item x="73"/>
        <item x="57"/>
        <item x="74"/>
        <item x="99"/>
        <item x="104"/>
        <item x="94"/>
        <item x="82"/>
        <item x="89"/>
        <item x="79"/>
        <item x="155"/>
        <item x="127"/>
        <item x="81"/>
        <item x="121"/>
        <item x="126"/>
        <item x="122"/>
        <item x="98"/>
        <item x="29"/>
        <item x="34"/>
        <item x="30"/>
        <item x="159"/>
        <item t="default"/>
      </items>
    </pivotField>
    <pivotField showAll="0"/>
    <pivotField showAll="0"/>
    <pivotField showAll="0"/>
    <pivotField dataField="1" numFmtId="165" showAll="0"/>
    <pivotField showAll="0"/>
    <pivotField showAll="0"/>
    <pivotField showAll="0"/>
    <pivotField dataField="1" numFmtId="165" showAll="0"/>
    <pivotField showAll="0"/>
    <pivotField showAll="0"/>
    <pivotField showAll="0"/>
    <pivotField dataField="1" numFmtId="165" showAll="0"/>
    <pivotField showAll="0"/>
    <pivotField showAll="0"/>
    <pivotField showAll="0"/>
    <pivotField dataField="1" numFmtId="165" showAll="0"/>
    <pivotField numFmtId="167" showAll="0"/>
  </pivotFields>
  <rowFields count="2">
    <field x="0"/>
    <field x="1"/>
  </rowFields>
  <rowItems count="9">
    <i>
      <x/>
    </i>
    <i>
      <x v="1"/>
    </i>
    <i>
      <x v="2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arter 1 " fld="5" baseField="0" baseItem="0" numFmtId="3"/>
    <dataField name="Cuarter 2 " fld="9" baseField="0" baseItem="0" numFmtId="3"/>
    <dataField name="Cuarter 3 " fld="13" baseField="0" baseItem="0" numFmtId="3"/>
    <dataField name=" cuarter 4" fld="17" baseField="0" baseItem="0" numFmtId="3"/>
  </dataFields>
  <formats count="21">
    <format dxfId="246">
      <pivotArea outline="0" fieldPosition="0">
        <references count="1">
          <reference field="4294967294" count="1">
            <x v="3"/>
          </reference>
        </references>
      </pivotArea>
    </format>
    <format dxfId="245">
      <pivotArea type="all" dataOnly="0" outline="0" fieldPosition="0"/>
    </format>
    <format dxfId="244">
      <pivotArea outline="0" collapsedLevelsAreSubtotals="1" fieldPosition="0"/>
    </format>
    <format dxfId="243">
      <pivotArea field="0" type="button" dataOnly="0" labelOnly="1" outline="0" axis="axisRow" fieldPosition="0"/>
    </format>
    <format dxfId="242">
      <pivotArea dataOnly="0" labelOnly="1" fieldPosition="0">
        <references count="1">
          <reference field="0" count="0"/>
        </references>
      </pivotArea>
    </format>
    <format dxfId="241">
      <pivotArea dataOnly="0" labelOnly="1" grandRow="1" outline="0" fieldPosition="0"/>
    </format>
    <format dxfId="24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39">
      <pivotArea type="all" dataOnly="0" outline="0" fieldPosition="0"/>
    </format>
    <format dxfId="238">
      <pivotArea outline="0" collapsedLevelsAreSubtotals="1" fieldPosition="0"/>
    </format>
    <format dxfId="237">
      <pivotArea field="0" type="button" dataOnly="0" labelOnly="1" outline="0" axis="axisRow" fieldPosition="0"/>
    </format>
    <format dxfId="236">
      <pivotArea dataOnly="0" labelOnly="1" fieldPosition="0">
        <references count="1">
          <reference field="0" count="0"/>
        </references>
      </pivotArea>
    </format>
    <format dxfId="235">
      <pivotArea dataOnly="0" labelOnly="1" grandRow="1" outline="0" fieldPosition="0"/>
    </format>
    <format dxfId="23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33">
      <pivotArea collapsedLevelsAreSubtotals="1" fieldPosition="0">
        <references count="1">
          <reference field="0" count="1">
            <x v="0"/>
          </reference>
        </references>
      </pivotArea>
    </format>
    <format dxfId="232">
      <pivotArea collapsedLevelsAreSubtotals="1" fieldPosition="0">
        <references count="1">
          <reference field="0" count="1">
            <x v="1"/>
          </reference>
        </references>
      </pivotArea>
    </format>
    <format dxfId="231">
      <pivotArea collapsedLevelsAreSubtotals="1" fieldPosition="0">
        <references count="1">
          <reference field="0" count="1">
            <x v="2"/>
          </reference>
        </references>
      </pivotArea>
    </format>
    <format dxfId="230">
      <pivotArea collapsedLevelsAreSubtotals="1" fieldPosition="0">
        <references count="1">
          <reference field="0" count="1">
            <x v="5"/>
          </reference>
        </references>
      </pivotArea>
    </format>
    <format dxfId="229">
      <pivotArea collapsedLevelsAreSubtotals="1" fieldPosition="0">
        <references count="1">
          <reference field="0" count="1">
            <x v="6"/>
          </reference>
        </references>
      </pivotArea>
    </format>
    <format dxfId="228">
      <pivotArea collapsedLevelsAreSubtotals="1" fieldPosition="0">
        <references count="1">
          <reference field="0" count="1">
            <x v="7"/>
          </reference>
        </references>
      </pivotArea>
    </format>
    <format dxfId="227">
      <pivotArea collapsedLevelsAreSubtotals="1" fieldPosition="0">
        <references count="1">
          <reference field="0" count="1">
            <x v="8"/>
          </reference>
        </references>
      </pivotArea>
    </format>
    <format dxfId="226">
      <pivotArea collapsedLevelsAreSubtotals="1" fieldPosition="0">
        <references count="1">
          <reference field="0" count="1">
            <x v="9"/>
          </reference>
        </references>
      </pivotArea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A099C-5A81-49CA-9B6E-823487BB5C15}" name="TablaDinámica29" cacheId="3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">
  <location ref="Y8:AE15" firstHeaderRow="1" firstDataRow="3" firstDataCol="1"/>
  <pivotFields count="4">
    <pivotField axis="axisCol" showAll="0">
      <items count="5">
        <item x="0"/>
        <item x="1"/>
        <item x="2"/>
        <item x="3"/>
        <item t="default"/>
      </items>
    </pivotField>
    <pivotField axis="axisCol" showAll="0">
      <items count="13">
        <item h="1" m="1" x="9"/>
        <item h="1" x="8"/>
        <item h="1" x="0"/>
        <item h="1" m="1" x="10"/>
        <item h="1" x="5"/>
        <item h="1" x="2"/>
        <item h="1" x="6"/>
        <item h="1" m="1" x="11"/>
        <item x="4"/>
        <item h="1" x="1"/>
        <item h="1" x="7"/>
        <item h="1" x="3"/>
        <item t="default"/>
      </items>
    </pivotField>
    <pivotField dataField="1" numFmtId="167" showAll="0"/>
    <pivotField axis="axisRow" showAll="0">
      <items count="9">
        <item m="1" x="4"/>
        <item m="1" x="5"/>
        <item m="1" x="6"/>
        <item m="1" x="7"/>
        <item x="0"/>
        <item x="1"/>
        <item x="2"/>
        <item x="3"/>
        <item t="default"/>
      </items>
    </pivotField>
  </pivotFields>
  <rowFields count="1">
    <field x="3"/>
  </rowFields>
  <rowItems count="5">
    <i>
      <x v="4"/>
    </i>
    <i>
      <x v="5"/>
    </i>
    <i>
      <x v="6"/>
    </i>
    <i>
      <x v="7"/>
    </i>
    <i t="grand">
      <x/>
    </i>
  </rowItems>
  <colFields count="2">
    <field x="1"/>
    <field x="0"/>
  </colFields>
  <colItems count="6">
    <i>
      <x v="8"/>
      <x/>
    </i>
    <i r="1">
      <x v="1"/>
    </i>
    <i r="1">
      <x v="2"/>
    </i>
    <i r="1">
      <x v="3"/>
    </i>
    <i t="default">
      <x v="8"/>
    </i>
    <i t="grand">
      <x/>
    </i>
  </colItems>
  <dataFields count="1">
    <dataField name="Suma de Monto" fld="2" baseField="0" baseItem="0" numFmtId="167"/>
  </dataField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AFF2665-A7BF-4A6E-86DA-13E2362FB2A8}" sourceName="Mes">
  <pivotTables>
    <pivotTable tabId="4" name="TablaDinámica1"/>
  </pivotTables>
  <data>
    <tabular pivotCacheId="650711066">
      <items count="29">
        <i x="6" s="1"/>
        <i x="7" s="1"/>
        <i x="12" nd="1"/>
        <i x="0" nd="1"/>
        <i x="1" nd="1"/>
        <i x="2" nd="1"/>
        <i x="3" nd="1"/>
        <i x="4" nd="1"/>
        <i x="11" nd="1"/>
        <i x="13" nd="1"/>
        <i x="8" nd="1"/>
        <i x="9" nd="1"/>
        <i x="10" nd="1"/>
        <i x="26" nd="1"/>
        <i x="14" nd="1"/>
        <i x="15" nd="1"/>
        <i x="16" nd="1"/>
        <i x="17" nd="1"/>
        <i x="18" nd="1"/>
        <i x="19" nd="1"/>
        <i x="20" nd="1"/>
        <i x="21" nd="1"/>
        <i x="22" nd="1"/>
        <i x="5" nd="1"/>
        <i x="24" nd="1"/>
        <i x="25" nd="1"/>
        <i x="23" nd="1"/>
        <i x="28" nd="1"/>
        <i x="2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Solicitante" xr10:uid="{137354C9-96D7-4ACC-8DA2-BB800D705062}" sourceName="Nombre Solicitante">
  <pivotTables>
    <pivotTable tabId="4" name="TablaDinámica1"/>
  </pivotTables>
  <data>
    <tabular pivotCacheId="650711066">
      <items count="40">
        <i x="14" s="1"/>
        <i x="19" s="1" nd="1"/>
        <i x="11" s="1" nd="1"/>
        <i x="12" s="1" nd="1"/>
        <i x="36" s="1" nd="1"/>
        <i x="2" s="1" nd="1"/>
        <i x="34" s="1" nd="1"/>
        <i x="38" s="1" nd="1"/>
        <i x="31" s="1" nd="1"/>
        <i x="30" s="1" nd="1"/>
        <i x="32" s="1" nd="1"/>
        <i x="29" s="1" nd="1"/>
        <i x="0" s="1" nd="1"/>
        <i x="20" s="1" nd="1"/>
        <i x="23" s="1" nd="1"/>
        <i x="8" s="1" nd="1"/>
        <i x="35" s="1" nd="1"/>
        <i x="4" s="1" nd="1"/>
        <i x="7" s="1" nd="1"/>
        <i x="13" s="1" nd="1"/>
        <i x="6" s="1" nd="1"/>
        <i x="17" s="1" nd="1"/>
        <i x="24" s="1" nd="1"/>
        <i x="26" s="1" nd="1"/>
        <i x="37" s="1" nd="1"/>
        <i x="39" s="1" nd="1"/>
        <i x="3" s="1" nd="1"/>
        <i x="22" s="1" nd="1"/>
        <i x="10" s="1" nd="1"/>
        <i x="27" s="1" nd="1"/>
        <i x="9" s="1" nd="1"/>
        <i x="33" s="1" nd="1"/>
        <i x="15" s="1" nd="1"/>
        <i x="1" s="1" nd="1"/>
        <i x="28" s="1" nd="1"/>
        <i x="25" s="1" nd="1"/>
        <i x="5" s="1" nd="1"/>
        <i x="21" s="1" nd="1"/>
        <i x="1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.C." xr10:uid="{6EDE77CE-2A88-4035-B68B-8838BDF64DC8}" sourceName="C.C.">
  <pivotTables>
    <pivotTable tabId="4" name="TablaDinámica1"/>
  </pivotTables>
  <data>
    <tabular pivotCacheId="650711066">
      <items count="11">
        <i x="5" s="1"/>
        <i x="4"/>
        <i x="2"/>
        <i x="0"/>
        <i x="6" nd="1"/>
        <i x="10" nd="1"/>
        <i x="9" nd="1"/>
        <i x="8" nd="1"/>
        <i x="3" nd="1"/>
        <i x="7" nd="1"/>
        <i x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.C.1" xr10:uid="{BEEFA969-3689-4207-83E3-A21437BFC1A4}" sourceName="C.C.">
  <pivotTables>
    <pivotTable tabId="5" name="TablaDinámica1"/>
  </pivotTables>
  <data>
    <tabular pivotCacheId="650711066">
      <items count="11">
        <i x="5" s="1"/>
        <i x="4"/>
        <i x="2"/>
        <i x="0"/>
        <i x="3"/>
        <i x="1"/>
        <i x="6" nd="1"/>
        <i x="10" nd="1"/>
        <i x="9" nd="1"/>
        <i x="8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talle1" xr10:uid="{FE1FA198-CD11-4CF3-8C54-CE79947903E7}" sourceName="Detalle">
  <pivotTables>
    <pivotTable tabId="21" name="TablaDinámica29"/>
  </pivotTables>
  <data>
    <tabular pivotCacheId="161331516">
      <items count="12">
        <i x="8"/>
        <i x="0"/>
        <i x="5"/>
        <i x="2"/>
        <i x="6"/>
        <i x="4" s="1"/>
        <i x="1"/>
        <i x="7"/>
        <i x="3"/>
        <i x="9" nd="1"/>
        <i x="10" nd="1"/>
        <i x="1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Solicitante1" xr10:uid="{9DF21923-1061-4206-A86C-A908B30C9123}" sourceName="Nombre Solicitante">
  <extLst>
    <x:ext xmlns:x15="http://schemas.microsoft.com/office/spreadsheetml/2010/11/main" uri="{2F2917AC-EB37-4324-AD4E-5DD8C200BD13}">
      <x15:tableSlicerCache tableId="2" column="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ro_Rend." xr10:uid="{4A1324B5-95BF-4ACA-B2CC-0892E52B5F58}" sourceName="Nro Rend.">
  <extLst>
    <x:ext xmlns:x15="http://schemas.microsoft.com/office/spreadsheetml/2010/11/main" uri="{2F2917AC-EB37-4324-AD4E-5DD8C200BD13}">
      <x15:tableSlicerCache tableId="2" column="2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uenta1" xr10:uid="{D9021EB1-7E4A-494F-B927-3371EDE2D424}" sourceName="Cuenta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uenta11" xr10:uid="{67C57708-1D74-4651-9045-1391BEE1D991}" sourceName="Cuenta">
  <extLst>
    <x:ext xmlns:x15="http://schemas.microsoft.com/office/spreadsheetml/2010/11/main" uri="{2F2917AC-EB37-4324-AD4E-5DD8C200BD13}">
      <x15:tableSlicerCache tableId="3" column="1"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talle" xr10:uid="{3147832D-F982-4575-87C3-B8BC9722424F}" sourceName="Detalle">
  <extLst>
    <x:ext xmlns:x15="http://schemas.microsoft.com/office/spreadsheetml/2010/11/main" uri="{2F2917AC-EB37-4324-AD4E-5DD8C200BD13}">
      <x15:tableSlicerCache tableId="4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.C. 1" xr10:uid="{EC4E8DC5-9B45-45F3-89B4-A51CBAB2089B}" cache="SegmentaciónDeDatos_C.C.1" caption="C.C." columnCount="2" showCaption="0" style="SlicerStyleDark6" rowHeight="36576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" xr10:uid="{6671F27D-DF43-4FA4-9AE0-D1EF32B5CE6C}" cache="SegmentaciónDeDatos_Mes" caption="Mes" columnCount="2" style="SlicerStyleDark5" rowHeight="274320"/>
  <slicer name="Mes 1" xr10:uid="{71A20BD6-79F3-49AC-8A86-6E3064AE869A}" cache="SegmentaciónDeDatos_Mes" caption="Mes" columnCount="2" style="SlicerStyleDark5" rowHeight="274320"/>
  <slicer name="Nombre Solicitante" xr10:uid="{AC9A067E-AE56-4284-AE6F-92E94AA5AD61}" cache="SegmentaciónDeDatos_Nombre_Solicitante" caption="Nombre Solicitante" style="SlicerStyleDark5" rowHeight="262466"/>
  <slicer name="C.C." xr10:uid="{B08678DD-F19F-43E7-8EFE-FCCC255C6697}" cache="SegmentaciónDeDatos_C.C." caption="C.C." columnCount="2" style="SlicerStyleDark5" rowHeight="27432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 Solicitante 3" xr10:uid="{106920BF-2DD7-4205-B783-A0768BAD3E9F}" cache="SegmentaciónDeDatos_Nombre_Solicitante1" caption="Nombre Solicitante" columnCount="7" showCaption="0" style="SlicerStyleDark2" rowHeight="365760"/>
  <slicer name="Nro Rend." xr10:uid="{9118FFFE-7975-4997-BEC9-14B0CAD1410E}" cache="SegmentaciónDeDatos_Nro_Rend." caption="Nro Rend." columnCount="10" showCaption="0" style="SlicerStyleDark2" rowHeight="2730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talle" xr10:uid="{BFE7062C-AE4E-413C-89B0-D8B8BE757801}" cache="SegmentaciónDeDatos_Detalle1" caption="Detalle" showCaption="0" style="SlicerStyleLight6" rowHeight="22225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talle 1" xr10:uid="{14E24C5A-4DDC-4519-B401-9FCD4CB4563A}" cache="SegmentaciónDeDatos_Detalle" caption="Detalle" rowHeight="22225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uenta 1" xr10:uid="{A971C37A-13CB-494A-91D0-02243B02968C}" cache="SegmentaciónDeDatos_Cuenta1" caption="Cuenta" columnCount="3" showCaption="0" style="SlicerStyleDark6" rowHeight="36576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uenta 2" xr10:uid="{87A8A9E4-4EB9-48DD-9F5C-0AB62C4617A6}" cache="SegmentaciónDeDatos_Cuenta11" caption="Cuenta" columnCount="4" showCaption="0" style="SlicerStyleDark6" rowHeight="36576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FE492A-48E3-4FB5-8486-98457543527A}" name="Rendiciones" displayName="Rendiciones" ref="B4:T660" totalsRowCount="1" headerRowDxfId="339" dataDxfId="338" totalsRowBorderDxfId="337">
  <autoFilter ref="B4:T659" xr:uid="{33FE492A-48E3-4FB5-8486-98457543527A}"/>
  <tableColumns count="19">
    <tableColumn id="1" xr3:uid="{753DF17C-6F2C-4D3E-99F2-7C241E15840A}" name="Nombre Solicitante" dataDxfId="336" totalsRowDxfId="335"/>
    <tableColumn id="2" xr3:uid="{FCA302D3-0409-4E1A-9B2E-BDEDAF48176C}" name="Nro Rend." dataDxfId="334" totalsRowDxfId="333"/>
    <tableColumn id="18" xr3:uid="{EAAB0A0C-ADA7-47DE-B010-1B74060A5F06}" name="Fecha " dataDxfId="332" totalsRowDxfId="331"/>
    <tableColumn id="3" xr3:uid="{60243F0D-000F-4CF8-A3C4-F5EACEF44591}" name="Semana" dataDxfId="330" totalsRowDxfId="329"/>
    <tableColumn id="4" xr3:uid="{E2031915-5DA0-447A-B8A2-4F3D9A63D995}" name="Mes" dataDxfId="328" totalsRowDxfId="327">
      <calculatedColumnFormula>IF(Rendiciones[[#This Row],[Fecha ]]&lt;&gt;"",TEXT(Rendiciones[[#This Row],[Fecha ]],"MMMM"),"")</calculatedColumnFormula>
    </tableColumn>
    <tableColumn id="19" xr3:uid="{3BEBFD2D-E7D4-4DCE-A694-69F36BA0A092}" name="C.C." dataDxfId="326" totalsRowDxfId="325" dataCellStyle="Normal 2"/>
    <tableColumn id="5" xr3:uid="{D188CFEF-438A-4C77-A13B-6F4C51F0D1DE}" name="Cuenta " dataDxfId="324" totalsRowDxfId="323"/>
    <tableColumn id="6" xr3:uid="{967517EC-6CB6-46AE-AF2E-F5451B1A2EA9}" name="Detalle" dataDxfId="322" totalsRowDxfId="321"/>
    <tableColumn id="7" xr3:uid="{F9F60C60-5514-44C6-9526-C828DD584BFE}" name="Concepto " dataDxfId="320" totalsRowDxfId="319">
      <calculatedColumnFormula>VLOOKUP(#REF!,Listas!G:H,2,FALSE)</calculatedColumnFormula>
    </tableColumn>
    <tableColumn id="15" xr3:uid="{EE62ADF5-3CFE-4562-80B8-927C93E28732}" name="Tipo Doc" dataDxfId="318" totalsRowDxfId="317"/>
    <tableColumn id="8" xr3:uid="{E41A1CD0-C63B-43FA-A0C9-64CE385DD601}" name="Monto Neto " dataDxfId="316" totalsRowDxfId="315" dataCellStyle="Millares [0]"/>
    <tableColumn id="9" xr3:uid="{F3900196-999C-4252-AC3E-DBA35933115E}" name="Monto Exento " dataDxfId="314" totalsRowDxfId="313" dataCellStyle="Millares [0]">
      <calculatedColumnFormula>12022</calculatedColumnFormula>
    </tableColumn>
    <tableColumn id="10" xr3:uid="{54E6F10D-C4F0-4721-AA1B-FC802C60D263}" name="Iva" dataDxfId="312" totalsRowDxfId="311" dataCellStyle="Millares [0]">
      <calculatedColumnFormula>Rendiciones[[#This Row],[Monto Neto ]]*19%</calculatedColumnFormula>
    </tableColumn>
    <tableColumn id="11" xr3:uid="{09F39008-9C44-42AC-A26A-B88B7D36B6DC}" name="Total " totalsRowFunction="sum" dataDxfId="310" totalsRowDxfId="309">
      <calculatedColumnFormula>+Rendiciones[[#This Row],[Monto Neto ]]+Rendiciones[[#This Row],[Monto Exento ]]+Rendiciones[[#This Row],[Iva]]</calculatedColumnFormula>
    </tableColumn>
    <tableColumn id="12" xr3:uid="{0BA8E223-2515-46A1-A8CC-C4E2FD910759}" name="Pagado por " dataDxfId="308" totalsRowDxfId="307"/>
    <tableColumn id="14" xr3:uid="{8F42D57B-4A2C-40A7-BF7D-525738C78807}" name="Fecha de Pago " dataDxfId="306" totalsRowDxfId="305"/>
    <tableColumn id="17" xr3:uid="{C5DB578B-DBCF-4D86-B5A5-D0B98B21DC09}" name="Monto " totalsRowLabel=" Saldo  " dataDxfId="304" totalsRowDxfId="303" dataCellStyle="Millares [0]"/>
    <tableColumn id="16" xr3:uid="{12BCD9A8-A1E5-4D22-AF3E-5BEF724E5BC7}" name="Saldo Fondo " totalsRowFunction="sum" dataDxfId="302" totalsRowDxfId="301" dataCellStyle="Millares [0]">
      <calculatedColumnFormula>Rendiciones[[#This Row],[Total ]]-Rendiciones[[#This Row],[Monto ]]</calculatedColumnFormula>
    </tableColumn>
    <tableColumn id="20" xr3:uid="{52AFC9AF-CC70-4EA1-83FB-E58ED7E5B92C}" name="Columna1" dataDxfId="300" totalsRowDxfId="29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9CE174-8962-49AF-84DC-5571ADE639ED}" name="Tabla4" displayName="Tabla4" ref="N4:Q123" totalsRowCount="1" headerRowDxfId="212">
  <autoFilter ref="N4:Q122" xr:uid="{5B9CE174-8962-49AF-84DC-5571ADE639ED}"/>
  <tableColumns count="4">
    <tableColumn id="1" xr3:uid="{A8BF34AB-8759-4780-86CB-679A2BC58582}" name="Año" dataDxfId="211" totalsRowDxfId="210"/>
    <tableColumn id="2" xr3:uid="{D0A219C2-D990-4F8F-851F-51563036FB5C}" name="Detalle"/>
    <tableColumn id="3" xr3:uid="{C36B1A8A-CF8A-477E-96D2-25D6E945E7F7}" name="Monto" dataDxfId="209" totalsRowDxfId="208" dataCellStyle="Millares" totalsRowCellStyle="Millares"/>
    <tableColumn id="4" xr3:uid="{D01F3B9E-BE5B-4D70-A9A2-90659F1DE1CD}" name="Cuarter" dataDxfId="207" totalsRowDxfId="206"/>
  </tableColumns>
  <tableStyleInfo name="TableStyleDark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A9060B-21D0-468F-B8CB-6ED1ED251232}" name="Tabla1" displayName="Tabla1" ref="B5:T169" totalsRowCount="1" headerRowDxfId="205" headerRowBorderDxfId="204" tableBorderDxfId="203" totalsRowBorderDxfId="202">
  <autoFilter ref="B5:T168" xr:uid="{63A9060B-21D0-468F-B8CB-6ED1ED251232}"/>
  <tableColumns count="19">
    <tableColumn id="1" xr3:uid="{46DEDD11-CCCF-4F78-91C1-33DE35B6DD23}" name="Cuenta" dataDxfId="201" totalsRowDxfId="200"/>
    <tableColumn id="2" xr3:uid="{E170AE46-210D-464A-8414-03FA3CDC740D}" name="Subcuenta" dataDxfId="199" totalsRowDxfId="198"/>
    <tableColumn id="3" xr3:uid="{71E669E9-79DE-4E75-A47F-8A04E271189C}" name="january" totalsRowFunction="sum" dataDxfId="197" totalsRowDxfId="196" dataCellStyle="Millares">
      <calculatedColumnFormula>_xlfn.XLOOKUP(C6,[3]Gastos!$B:$B,[3]Gastos!$G:$G)</calculatedColumnFormula>
    </tableColumn>
    <tableColumn id="4" xr3:uid="{46CBA4E0-89FF-47BA-8BFE-BDEC623CBFC7}" name="february" totalsRowFunction="sum" dataDxfId="195" totalsRowDxfId="194" dataCellStyle="Millares">
      <calculatedColumnFormula>_xlfn.XLOOKUP(C6,[3]Gastos!$B:$B,[3]Gastos!$L:$L)</calculatedColumnFormula>
    </tableColumn>
    <tableColumn id="5" xr3:uid="{0DEA7142-C99D-43CC-9F02-3628EE623252}" name="march" totalsRowFunction="sum" dataDxfId="193" totalsRowDxfId="192" dataCellStyle="Millares">
      <calculatedColumnFormula>_xlfn.XLOOKUP(C6,[3]Gastos!$B:$B,[3]Gastos!$Q:$Q)</calculatedColumnFormula>
    </tableColumn>
    <tableColumn id="17" xr3:uid="{7AFD3BE8-11FE-4A11-9E7E-90CE94827F36}" name="cuarter 1" totalsRowFunction="sum" dataDxfId="191" totalsRowDxfId="190" dataCellStyle="Millares">
      <calculatedColumnFormula>SUM(Tabla1[[#This Row],[january]:[march]])</calculatedColumnFormula>
    </tableColumn>
    <tableColumn id="6" xr3:uid="{D8C1FF54-41DB-4103-9149-C55517030825}" name="april" totalsRowFunction="sum" dataDxfId="189" totalsRowDxfId="188" dataCellStyle="Millares">
      <calculatedColumnFormula>_xlfn.XLOOKUP(C6,[3]Gastos!$B:$B,[3]Gastos!$V:$V)</calculatedColumnFormula>
    </tableColumn>
    <tableColumn id="7" xr3:uid="{98355453-58E2-4625-81CF-FA9F4C97F999}" name="may" totalsRowFunction="sum" dataDxfId="187" totalsRowDxfId="186" dataCellStyle="Millares">
      <calculatedColumnFormula>_xlfn.XLOOKUP(C6,[3]Gastos!$B:$B,[3]Gastos!$AA:$AA)</calculatedColumnFormula>
    </tableColumn>
    <tableColumn id="8" xr3:uid="{CB1CAD22-54C9-4B70-AFE9-6A94556DEAC7}" name="june" totalsRowFunction="sum" dataDxfId="185" totalsRowDxfId="184" dataCellStyle="Millares">
      <calculatedColumnFormula>_xlfn.XLOOKUP(C6,[3]Gastos!$B:$B,[3]Gastos!$AF:$AF)</calculatedColumnFormula>
    </tableColumn>
    <tableColumn id="18" xr3:uid="{03DF0892-4ED2-4B6B-BA1D-6774C99DB0A9}" name="cuarter 2" totalsRowFunction="sum" dataDxfId="183" totalsRowDxfId="182" dataCellStyle="Millares">
      <calculatedColumnFormula>SUM(Tabla1[[#This Row],[april]:[june]])</calculatedColumnFormula>
    </tableColumn>
    <tableColumn id="9" xr3:uid="{E006B9A7-A204-45D7-8180-C623FD3357EC}" name="july" totalsRowFunction="sum" dataDxfId="181" totalsRowDxfId="180" dataCellStyle="Millares">
      <calculatedColumnFormula>_xlfn.XLOOKUP(C6,[3]Gastos!$B:$B,[3]Gastos!$AK:$AK)</calculatedColumnFormula>
    </tableColumn>
    <tableColumn id="10" xr3:uid="{5E58D14E-DFA8-4ADC-9110-80A26ABC1C5B}" name="august" totalsRowFunction="sum" dataDxfId="179" totalsRowDxfId="178" dataCellStyle="Millares">
      <calculatedColumnFormula>_xlfn.XLOOKUP(C6,[3]Gastos!$B:$B,[3]Gastos!$AP:$AP)</calculatedColumnFormula>
    </tableColumn>
    <tableColumn id="11" xr3:uid="{3D8F914E-98D1-4DC2-B6C7-6F2696FF7555}" name="september" totalsRowFunction="sum" dataDxfId="177" totalsRowDxfId="176" dataCellStyle="Millares"/>
    <tableColumn id="19" xr3:uid="{A42B8428-F1AC-415F-954D-F8C8D3C62FCA}" name="cuarter 3" totalsRowFunction="sum" dataDxfId="175" totalsRowDxfId="174" dataCellStyle="Millares">
      <calculatedColumnFormula>SUM(Tabla1[[#This Row],[july]:[september]])</calculatedColumnFormula>
    </tableColumn>
    <tableColumn id="12" xr3:uid="{C0ABA465-3A3A-4C74-BDDC-F7762703736B}" name="october" totalsRowFunction="sum" dataDxfId="173" totalsRowDxfId="172" dataCellStyle="Millares"/>
    <tableColumn id="13" xr3:uid="{4FEEAE2D-C11F-469A-9687-5D65276466AE}" name="november" totalsRowFunction="sum" dataDxfId="171" totalsRowDxfId="170" dataCellStyle="Millares">
      <calculatedColumnFormula>_xlfn.XLOOKUP(Tabla1[[#This Row],[Subcuenta]],[3]Gastos!$B:$B,[3]Gastos!$BE:$BE)</calculatedColumnFormula>
    </tableColumn>
    <tableColumn id="14" xr3:uid="{3C9C7A81-8B55-4B18-BD5F-C5DC50A2B2FB}" name="december" totalsRowFunction="sum" dataDxfId="169" totalsRowDxfId="168" dataCellStyle="Millares"/>
    <tableColumn id="20" xr3:uid="{F2A8DE56-3C25-4DA5-82D5-589FE798C351}" name="cuarter 4" totalsRowFunction="sum" dataDxfId="167" totalsRowDxfId="166" dataCellStyle="Millares">
      <calculatedColumnFormula>SUM(Tabla1[[#This Row],[october]:[december]])</calculatedColumnFormula>
    </tableColumn>
    <tableColumn id="15" xr3:uid="{F5C7DD42-79B8-4945-8AD1-B7ECAE1DB6A0}" name="Total " totalsRowFunction="sum" dataDxfId="165" totalsRowDxfId="164" dataCellStyle="Millares">
      <calculatedColumnFormula>SUM(G6,K6,O6,S6)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2B5494-F669-4DEE-ADE9-BD842AFF61FA}" name="Tabla14" displayName="Tabla14" ref="B5:T174" totalsRowCount="1" headerRowDxfId="163" headerRowBorderDxfId="162" tableBorderDxfId="161" totalsRowBorderDxfId="160">
  <autoFilter ref="B5:T173" xr:uid="{63A9060B-21D0-468F-B8CB-6ED1ED251232}"/>
  <tableColumns count="19">
    <tableColumn id="1" xr3:uid="{C5822A23-FE1B-4B58-9FBA-31B8CA3DFE65}" name="Cuenta" dataDxfId="159" totalsRowDxfId="158"/>
    <tableColumn id="2" xr3:uid="{EC376B6D-4AF0-4B74-8AA7-76596A26F74B}" name="Subcuenta " dataDxfId="157" totalsRowDxfId="156"/>
    <tableColumn id="3" xr3:uid="{C3F9DBA8-4568-4951-A538-8DED7A6A24E5}" name="january" totalsRowFunction="sum" dataDxfId="155" totalsRowDxfId="154" dataCellStyle="Millares [0]"/>
    <tableColumn id="4" xr3:uid="{03F84737-F270-4E7E-88CA-9FB448AD0CC9}" name="february" totalsRowFunction="sum" dataDxfId="153" totalsRowDxfId="152" dataCellStyle="Millares [0]"/>
    <tableColumn id="5" xr3:uid="{6E459A51-5B1A-4A39-852E-2C5F0B7A0AEF}" name="march" totalsRowFunction="sum" dataDxfId="151" totalsRowDxfId="150" dataCellStyle="Millares [0]"/>
    <tableColumn id="16" xr3:uid="{A36DA974-E7F4-483B-919C-550F3D6CAF80}" name="cuarter 1" totalsRowFunction="sum" dataDxfId="149" totalsRowDxfId="148" dataCellStyle="Millares [0]">
      <calculatedColumnFormula>SUM(Tabla14[[#This Row],[january]:[march]])</calculatedColumnFormula>
    </tableColumn>
    <tableColumn id="6" xr3:uid="{0319173A-F1BE-49DE-A13B-500031F96CB8}" name="april" totalsRowFunction="sum" dataDxfId="147" totalsRowDxfId="146" dataCellStyle="Millares [0]"/>
    <tableColumn id="7" xr3:uid="{2347BF3D-48F0-4909-A2D7-EA6332979E8A}" name="may" totalsRowFunction="sum" dataDxfId="145" totalsRowDxfId="144" dataCellStyle="Millares [0]"/>
    <tableColumn id="8" xr3:uid="{3765DBEC-84D3-45BB-83E3-29B070001AF3}" name="june" totalsRowFunction="sum" dataDxfId="143" totalsRowDxfId="142" dataCellStyle="Millares [0]"/>
    <tableColumn id="17" xr3:uid="{2BA05ED7-8475-4809-9AFE-2233D4C4C4F3}" name="cuarter 2" totalsRowFunction="sum" dataDxfId="141" totalsRowDxfId="140" dataCellStyle="Millares [0]">
      <calculatedColumnFormula>SUM(Tabla14[[#This Row],[april]:[june]])</calculatedColumnFormula>
    </tableColumn>
    <tableColumn id="9" xr3:uid="{BE4297E8-22EF-45C9-801C-D9E1528094E7}" name="july" totalsRowFunction="sum" dataDxfId="139" totalsRowDxfId="138" dataCellStyle="Millares [0]"/>
    <tableColumn id="10" xr3:uid="{E2684346-7DD1-4C13-A069-64380DF76F17}" name="august" totalsRowFunction="sum" dataDxfId="137" totalsRowDxfId="136" dataCellStyle="Millares [0]"/>
    <tableColumn id="11" xr3:uid="{C02A0B21-A637-4027-AEC2-1F9F134A589C}" name="september" dataDxfId="135" totalsRowDxfId="134" dataCellStyle="Millares [0]"/>
    <tableColumn id="18" xr3:uid="{F54378F6-FFCB-486F-A49F-024D4DA72628}" name="cuarter 3" totalsRowFunction="sum" dataDxfId="133" totalsRowDxfId="132" dataCellStyle="Millares [0]">
      <calculatedColumnFormula>SUM(Tabla14[[#This Row],[july]:[august]])</calculatedColumnFormula>
    </tableColumn>
    <tableColumn id="12" xr3:uid="{74DA6E3B-A0CA-4B96-8E12-79360A2EC435}" name="october" dataDxfId="131" totalsRowDxfId="130" dataCellStyle="Millares [0]"/>
    <tableColumn id="13" xr3:uid="{13F7BFAB-0BE3-4FC7-A4F6-CC00AEA975DD}" name="november" dataDxfId="129" totalsRowDxfId="128" dataCellStyle="Millares [0]"/>
    <tableColumn id="14" xr3:uid="{5921B724-516D-4472-AB77-8A2D715034B7}" name="december" dataDxfId="127" totalsRowDxfId="126" dataCellStyle="Millares [0]"/>
    <tableColumn id="19" xr3:uid="{0FD2DAC4-6F36-424F-AB68-6087731A8D70}" name="cuarter 4" totalsRowFunction="sum" dataDxfId="125" totalsRowDxfId="124" dataCellStyle="Millares [0]">
      <calculatedColumnFormula>SUM(Tabla14[[#This Row],[october]:[december]])</calculatedColumnFormula>
    </tableColumn>
    <tableColumn id="15" xr3:uid="{5E922128-A23A-4D10-8FB0-0974A40E3C8F}" name="Total " totalsRowFunction="sum" dataDxfId="123" totalsRowDxfId="122" dataCellStyle="Millares">
      <calculatedColumnFormula>SUM(G6,K6,O6,S6)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Gota">
  <a:themeElements>
    <a:clrScheme name="Gota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Gota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ota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1" xr10:uid="{21B7A369-EBCF-434B-A550-37A6665FC477}" sourceName="Fecha ">
  <pivotTables>
    <pivotTable tabId="5" name="TablaDinámica1"/>
  </pivotTables>
  <state minimalRefreshVersion="6" lastRefreshVersion="6" pivotCacheId="650711066" filterType="dateBetween">
    <selection startDate="2026-01-01T00:00:00" endDate="2026-12-31T00:00:00"/>
    <bounds startDate="2026-01-01T00:00:00" endDate="2027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2" xr10:uid="{2C0A07C3-AC42-4FEC-81D9-12715B30E45C}" sourceName="Fecha ">
  <pivotTables>
    <pivotTable tabId="20" name="TablaDinámica1"/>
  </pivotTables>
  <state minimalRefreshVersion="6" lastRefreshVersion="6" pivotCacheId="650711066" filterType="dateBetween">
    <selection startDate="2026-01-01T00:00:00" endDate="2026-12-31T00:00:00"/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 1" xr10:uid="{B3549A78-F3A9-4C95-8051-DD1C94B49AA8}" cache="NativeTimeline_Fecha1" caption="Fecha " level="0" selectionLevel="0" scrollPosition="2026-01-01T00:00:00" style="TimeSlicerStyleLight6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 2" xr10:uid="{4B72FF3F-5147-47FF-BEB9-401C2C1D2940}" cache="NativeTimeline_Fecha2" caption="Fecha " level="0" selectionLevel="0" scrollPosition="2026-01-01T00:00:00"/>
</timeline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AB0C37-5EEF-4BFB-9C54-2D9211A25DF2}">
  <we:reference id="wa200005271" version="2.6.1.0" store="es-MX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5" Type="http://schemas.microsoft.com/office/2011/relationships/timeline" Target="../timelines/timelin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Relationship Id="rId6" Type="http://schemas.microsoft.com/office/2007/relationships/slicer" Target="../slicers/slicer5.xml"/><Relationship Id="rId5" Type="http://schemas.microsoft.com/office/2007/relationships/slicer" Target="../slicers/slicer4.xml"/><Relationship Id="rId4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table" Target="../tables/table3.x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table" Target="../tables/table4.xml"/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75CAD-F090-43EC-8A8F-648CBD180663}">
  <sheetPr codeName="Hoja1"/>
  <dimension ref="B1:O44"/>
  <sheetViews>
    <sheetView showGridLines="0" zoomScaleNormal="100" workbookViewId="0">
      <selection activeCell="H53" sqref="H53"/>
    </sheetView>
  </sheetViews>
  <sheetFormatPr baseColWidth="10" defaultRowHeight="12.5" x14ac:dyDescent="0.25"/>
  <cols>
    <col min="1" max="1" width="4.5" style="95" customWidth="1"/>
    <col min="2" max="2" width="25.9140625" style="99" customWidth="1"/>
    <col min="3" max="14" width="11.1640625" style="95" bestFit="1" customWidth="1"/>
    <col min="15" max="15" width="16" style="95" customWidth="1"/>
    <col min="16" max="16" width="11.1640625" style="95"/>
    <col min="17" max="257" width="10.4140625" style="95"/>
    <col min="258" max="258" width="18.6640625" style="95" bestFit="1" customWidth="1"/>
    <col min="259" max="260" width="10.5" style="95" bestFit="1" customWidth="1"/>
    <col min="261" max="513" width="10.4140625" style="95"/>
    <col min="514" max="514" width="18.6640625" style="95" bestFit="1" customWidth="1"/>
    <col min="515" max="516" width="10.5" style="95" bestFit="1" customWidth="1"/>
    <col min="517" max="769" width="10.4140625" style="95"/>
    <col min="770" max="770" width="18.6640625" style="95" bestFit="1" customWidth="1"/>
    <col min="771" max="772" width="10.5" style="95" bestFit="1" customWidth="1"/>
    <col min="773" max="1025" width="11.1640625" style="95"/>
    <col min="1026" max="1026" width="18.6640625" style="95" bestFit="1" customWidth="1"/>
    <col min="1027" max="1028" width="10.5" style="95" bestFit="1" customWidth="1"/>
    <col min="1029" max="1281" width="10.4140625" style="95"/>
    <col min="1282" max="1282" width="18.6640625" style="95" bestFit="1" customWidth="1"/>
    <col min="1283" max="1284" width="10.5" style="95" bestFit="1" customWidth="1"/>
    <col min="1285" max="1537" width="10.4140625" style="95"/>
    <col min="1538" max="1538" width="18.6640625" style="95" bestFit="1" customWidth="1"/>
    <col min="1539" max="1540" width="10.5" style="95" bestFit="1" customWidth="1"/>
    <col min="1541" max="1793" width="10.4140625" style="95"/>
    <col min="1794" max="1794" width="18.6640625" style="95" bestFit="1" customWidth="1"/>
    <col min="1795" max="1796" width="10.5" style="95" bestFit="1" customWidth="1"/>
    <col min="1797" max="2049" width="11.1640625" style="95"/>
    <col min="2050" max="2050" width="18.6640625" style="95" bestFit="1" customWidth="1"/>
    <col min="2051" max="2052" width="10.5" style="95" bestFit="1" customWidth="1"/>
    <col min="2053" max="2305" width="10.4140625" style="95"/>
    <col min="2306" max="2306" width="18.6640625" style="95" bestFit="1" customWidth="1"/>
    <col min="2307" max="2308" width="10.5" style="95" bestFit="1" customWidth="1"/>
    <col min="2309" max="2561" width="10.4140625" style="95"/>
    <col min="2562" max="2562" width="18.6640625" style="95" bestFit="1" customWidth="1"/>
    <col min="2563" max="2564" width="10.5" style="95" bestFit="1" customWidth="1"/>
    <col min="2565" max="2817" width="10.4140625" style="95"/>
    <col min="2818" max="2818" width="18.6640625" style="95" bestFit="1" customWidth="1"/>
    <col min="2819" max="2820" width="10.5" style="95" bestFit="1" customWidth="1"/>
    <col min="2821" max="3073" width="11.1640625" style="95"/>
    <col min="3074" max="3074" width="18.6640625" style="95" bestFit="1" customWidth="1"/>
    <col min="3075" max="3076" width="10.5" style="95" bestFit="1" customWidth="1"/>
    <col min="3077" max="3329" width="10.4140625" style="95"/>
    <col min="3330" max="3330" width="18.6640625" style="95" bestFit="1" customWidth="1"/>
    <col min="3331" max="3332" width="10.5" style="95" bestFit="1" customWidth="1"/>
    <col min="3333" max="3585" width="10.4140625" style="95"/>
    <col min="3586" max="3586" width="18.6640625" style="95" bestFit="1" customWidth="1"/>
    <col min="3587" max="3588" width="10.5" style="95" bestFit="1" customWidth="1"/>
    <col min="3589" max="3841" width="10.4140625" style="95"/>
    <col min="3842" max="3842" width="18.6640625" style="95" bestFit="1" customWidth="1"/>
    <col min="3843" max="3844" width="10.5" style="95" bestFit="1" customWidth="1"/>
    <col min="3845" max="4097" width="11.1640625" style="95"/>
    <col min="4098" max="4098" width="18.6640625" style="95" bestFit="1" customWidth="1"/>
    <col min="4099" max="4100" width="10.5" style="95" bestFit="1" customWidth="1"/>
    <col min="4101" max="4353" width="10.4140625" style="95"/>
    <col min="4354" max="4354" width="18.6640625" style="95" bestFit="1" customWidth="1"/>
    <col min="4355" max="4356" width="10.5" style="95" bestFit="1" customWidth="1"/>
    <col min="4357" max="4609" width="10.4140625" style="95"/>
    <col min="4610" max="4610" width="18.6640625" style="95" bestFit="1" customWidth="1"/>
    <col min="4611" max="4612" width="10.5" style="95" bestFit="1" customWidth="1"/>
    <col min="4613" max="4865" width="10.4140625" style="95"/>
    <col min="4866" max="4866" width="18.6640625" style="95" bestFit="1" customWidth="1"/>
    <col min="4867" max="4868" width="10.5" style="95" bestFit="1" customWidth="1"/>
    <col min="4869" max="5121" width="11.1640625" style="95"/>
    <col min="5122" max="5122" width="18.6640625" style="95" bestFit="1" customWidth="1"/>
    <col min="5123" max="5124" width="10.5" style="95" bestFit="1" customWidth="1"/>
    <col min="5125" max="5377" width="10.4140625" style="95"/>
    <col min="5378" max="5378" width="18.6640625" style="95" bestFit="1" customWidth="1"/>
    <col min="5379" max="5380" width="10.5" style="95" bestFit="1" customWidth="1"/>
    <col min="5381" max="5633" width="10.4140625" style="95"/>
    <col min="5634" max="5634" width="18.6640625" style="95" bestFit="1" customWidth="1"/>
    <col min="5635" max="5636" width="10.5" style="95" bestFit="1" customWidth="1"/>
    <col min="5637" max="5889" width="10.4140625" style="95"/>
    <col min="5890" max="5890" width="18.6640625" style="95" bestFit="1" customWidth="1"/>
    <col min="5891" max="5892" width="10.5" style="95" bestFit="1" customWidth="1"/>
    <col min="5893" max="6145" width="11.1640625" style="95"/>
    <col min="6146" max="6146" width="18.6640625" style="95" bestFit="1" customWidth="1"/>
    <col min="6147" max="6148" width="10.5" style="95" bestFit="1" customWidth="1"/>
    <col min="6149" max="6401" width="10.4140625" style="95"/>
    <col min="6402" max="6402" width="18.6640625" style="95" bestFit="1" customWidth="1"/>
    <col min="6403" max="6404" width="10.5" style="95" bestFit="1" customWidth="1"/>
    <col min="6405" max="6657" width="10.4140625" style="95"/>
    <col min="6658" max="6658" width="18.6640625" style="95" bestFit="1" customWidth="1"/>
    <col min="6659" max="6660" width="10.5" style="95" bestFit="1" customWidth="1"/>
    <col min="6661" max="6913" width="10.4140625" style="95"/>
    <col min="6914" max="6914" width="18.6640625" style="95" bestFit="1" customWidth="1"/>
    <col min="6915" max="6916" width="10.5" style="95" bestFit="1" customWidth="1"/>
    <col min="6917" max="7169" width="11.1640625" style="95"/>
    <col min="7170" max="7170" width="18.6640625" style="95" bestFit="1" customWidth="1"/>
    <col min="7171" max="7172" width="10.5" style="95" bestFit="1" customWidth="1"/>
    <col min="7173" max="7425" width="10.4140625" style="95"/>
    <col min="7426" max="7426" width="18.6640625" style="95" bestFit="1" customWidth="1"/>
    <col min="7427" max="7428" width="10.5" style="95" bestFit="1" customWidth="1"/>
    <col min="7429" max="7681" width="10.4140625" style="95"/>
    <col min="7682" max="7682" width="18.6640625" style="95" bestFit="1" customWidth="1"/>
    <col min="7683" max="7684" width="10.5" style="95" bestFit="1" customWidth="1"/>
    <col min="7685" max="7937" width="10.4140625" style="95"/>
    <col min="7938" max="7938" width="18.6640625" style="95" bestFit="1" customWidth="1"/>
    <col min="7939" max="7940" width="10.5" style="95" bestFit="1" customWidth="1"/>
    <col min="7941" max="8193" width="11.1640625" style="95"/>
    <col min="8194" max="8194" width="18.6640625" style="95" bestFit="1" customWidth="1"/>
    <col min="8195" max="8196" width="10.5" style="95" bestFit="1" customWidth="1"/>
    <col min="8197" max="8449" width="10.4140625" style="95"/>
    <col min="8450" max="8450" width="18.6640625" style="95" bestFit="1" customWidth="1"/>
    <col min="8451" max="8452" width="10.5" style="95" bestFit="1" customWidth="1"/>
    <col min="8453" max="8705" width="10.4140625" style="95"/>
    <col min="8706" max="8706" width="18.6640625" style="95" bestFit="1" customWidth="1"/>
    <col min="8707" max="8708" width="10.5" style="95" bestFit="1" customWidth="1"/>
    <col min="8709" max="8961" width="10.4140625" style="95"/>
    <col min="8962" max="8962" width="18.6640625" style="95" bestFit="1" customWidth="1"/>
    <col min="8963" max="8964" width="10.5" style="95" bestFit="1" customWidth="1"/>
    <col min="8965" max="9217" width="11.1640625" style="95"/>
    <col min="9218" max="9218" width="18.6640625" style="95" bestFit="1" customWidth="1"/>
    <col min="9219" max="9220" width="10.5" style="95" bestFit="1" customWidth="1"/>
    <col min="9221" max="9473" width="10.4140625" style="95"/>
    <col min="9474" max="9474" width="18.6640625" style="95" bestFit="1" customWidth="1"/>
    <col min="9475" max="9476" width="10.5" style="95" bestFit="1" customWidth="1"/>
    <col min="9477" max="9729" width="10.4140625" style="95"/>
    <col min="9730" max="9730" width="18.6640625" style="95" bestFit="1" customWidth="1"/>
    <col min="9731" max="9732" width="10.5" style="95" bestFit="1" customWidth="1"/>
    <col min="9733" max="9985" width="10.4140625" style="95"/>
    <col min="9986" max="9986" width="18.6640625" style="95" bestFit="1" customWidth="1"/>
    <col min="9987" max="9988" width="10.5" style="95" bestFit="1" customWidth="1"/>
    <col min="9989" max="10241" width="11.1640625" style="95"/>
    <col min="10242" max="10242" width="18.6640625" style="95" bestFit="1" customWidth="1"/>
    <col min="10243" max="10244" width="10.5" style="95" bestFit="1" customWidth="1"/>
    <col min="10245" max="10497" width="10.4140625" style="95"/>
    <col min="10498" max="10498" width="18.6640625" style="95" bestFit="1" customWidth="1"/>
    <col min="10499" max="10500" width="10.5" style="95" bestFit="1" customWidth="1"/>
    <col min="10501" max="10753" width="10.4140625" style="95"/>
    <col min="10754" max="10754" width="18.6640625" style="95" bestFit="1" customWidth="1"/>
    <col min="10755" max="10756" width="10.5" style="95" bestFit="1" customWidth="1"/>
    <col min="10757" max="11009" width="10.4140625" style="95"/>
    <col min="11010" max="11010" width="18.6640625" style="95" bestFit="1" customWidth="1"/>
    <col min="11011" max="11012" width="10.5" style="95" bestFit="1" customWidth="1"/>
    <col min="11013" max="11265" width="11.1640625" style="95"/>
    <col min="11266" max="11266" width="18.6640625" style="95" bestFit="1" customWidth="1"/>
    <col min="11267" max="11268" width="10.5" style="95" bestFit="1" customWidth="1"/>
    <col min="11269" max="11521" width="10.4140625" style="95"/>
    <col min="11522" max="11522" width="18.6640625" style="95" bestFit="1" customWidth="1"/>
    <col min="11523" max="11524" width="10.5" style="95" bestFit="1" customWidth="1"/>
    <col min="11525" max="11777" width="10.4140625" style="95"/>
    <col min="11778" max="11778" width="18.6640625" style="95" bestFit="1" customWidth="1"/>
    <col min="11779" max="11780" width="10.5" style="95" bestFit="1" customWidth="1"/>
    <col min="11781" max="12033" width="10.4140625" style="95"/>
    <col min="12034" max="12034" width="18.6640625" style="95" bestFit="1" customWidth="1"/>
    <col min="12035" max="12036" width="10.5" style="95" bestFit="1" customWidth="1"/>
    <col min="12037" max="12289" width="11.1640625" style="95"/>
    <col min="12290" max="12290" width="18.6640625" style="95" bestFit="1" customWidth="1"/>
    <col min="12291" max="12292" width="10.5" style="95" bestFit="1" customWidth="1"/>
    <col min="12293" max="12545" width="10.4140625" style="95"/>
    <col min="12546" max="12546" width="18.6640625" style="95" bestFit="1" customWidth="1"/>
    <col min="12547" max="12548" width="10.5" style="95" bestFit="1" customWidth="1"/>
    <col min="12549" max="12801" width="10.4140625" style="95"/>
    <col min="12802" max="12802" width="18.6640625" style="95" bestFit="1" customWidth="1"/>
    <col min="12803" max="12804" width="10.5" style="95" bestFit="1" customWidth="1"/>
    <col min="12805" max="13057" width="10.4140625" style="95"/>
    <col min="13058" max="13058" width="18.6640625" style="95" bestFit="1" customWidth="1"/>
    <col min="13059" max="13060" width="10.5" style="95" bestFit="1" customWidth="1"/>
    <col min="13061" max="13313" width="11.1640625" style="95"/>
    <col min="13314" max="13314" width="18.6640625" style="95" bestFit="1" customWidth="1"/>
    <col min="13315" max="13316" width="10.5" style="95" bestFit="1" customWidth="1"/>
    <col min="13317" max="13569" width="10.4140625" style="95"/>
    <col min="13570" max="13570" width="18.6640625" style="95" bestFit="1" customWidth="1"/>
    <col min="13571" max="13572" width="10.5" style="95" bestFit="1" customWidth="1"/>
    <col min="13573" max="13825" width="10.4140625" style="95"/>
    <col min="13826" max="13826" width="18.6640625" style="95" bestFit="1" customWidth="1"/>
    <col min="13827" max="13828" width="10.5" style="95" bestFit="1" customWidth="1"/>
    <col min="13829" max="14081" width="10.4140625" style="95"/>
    <col min="14082" max="14082" width="18.6640625" style="95" bestFit="1" customWidth="1"/>
    <col min="14083" max="14084" width="10.5" style="95" bestFit="1" customWidth="1"/>
    <col min="14085" max="14337" width="11.1640625" style="95"/>
    <col min="14338" max="14338" width="18.6640625" style="95" bestFit="1" customWidth="1"/>
    <col min="14339" max="14340" width="10.5" style="95" bestFit="1" customWidth="1"/>
    <col min="14341" max="14593" width="10.4140625" style="95"/>
    <col min="14594" max="14594" width="18.6640625" style="95" bestFit="1" customWidth="1"/>
    <col min="14595" max="14596" width="10.5" style="95" bestFit="1" customWidth="1"/>
    <col min="14597" max="14849" width="10.4140625" style="95"/>
    <col min="14850" max="14850" width="18.6640625" style="95" bestFit="1" customWidth="1"/>
    <col min="14851" max="14852" width="10.5" style="95" bestFit="1" customWidth="1"/>
    <col min="14853" max="15105" width="10.4140625" style="95"/>
    <col min="15106" max="15106" width="18.6640625" style="95" bestFit="1" customWidth="1"/>
    <col min="15107" max="15108" width="10.5" style="95" bestFit="1" customWidth="1"/>
    <col min="15109" max="15361" width="11.1640625" style="95"/>
    <col min="15362" max="15362" width="18.6640625" style="95" bestFit="1" customWidth="1"/>
    <col min="15363" max="15364" width="10.5" style="95" bestFit="1" customWidth="1"/>
    <col min="15365" max="15617" width="10.4140625" style="95"/>
    <col min="15618" max="15618" width="18.6640625" style="95" bestFit="1" customWidth="1"/>
    <col min="15619" max="15620" width="10.5" style="95" bestFit="1" customWidth="1"/>
    <col min="15621" max="15873" width="10.4140625" style="95"/>
    <col min="15874" max="15874" width="18.6640625" style="95" bestFit="1" customWidth="1"/>
    <col min="15875" max="15876" width="10.5" style="95" bestFit="1" customWidth="1"/>
    <col min="15877" max="16129" width="10.4140625" style="95"/>
    <col min="16130" max="16130" width="18.6640625" style="95" bestFit="1" customWidth="1"/>
    <col min="16131" max="16132" width="10.5" style="95" bestFit="1" customWidth="1"/>
    <col min="16133" max="16384" width="11.1640625" style="95"/>
  </cols>
  <sheetData>
    <row r="1" spans="2:15" ht="13" x14ac:dyDescent="0.3">
      <c r="C1" s="234" t="s">
        <v>398</v>
      </c>
      <c r="D1" s="235"/>
      <c r="E1" s="235"/>
      <c r="F1" s="235"/>
      <c r="G1" s="235"/>
    </row>
    <row r="2" spans="2:15" ht="13" x14ac:dyDescent="0.3">
      <c r="C2" s="234" t="s">
        <v>399</v>
      </c>
      <c r="D2" s="235"/>
      <c r="E2" s="235"/>
      <c r="F2" s="235"/>
      <c r="G2" s="235"/>
    </row>
    <row r="3" spans="2:15" ht="13" x14ac:dyDescent="0.3">
      <c r="C3" s="234" t="s">
        <v>464</v>
      </c>
      <c r="D3" s="235"/>
      <c r="E3" s="235"/>
      <c r="F3" s="235"/>
      <c r="G3" s="235"/>
    </row>
    <row r="4" spans="2:15" ht="13" thickBot="1" x14ac:dyDescent="0.3">
      <c r="C4" s="96"/>
    </row>
    <row r="5" spans="2:15" x14ac:dyDescent="0.25">
      <c r="C5" s="144">
        <v>45658</v>
      </c>
      <c r="D5" s="145">
        <v>45689</v>
      </c>
      <c r="E5" s="145">
        <v>45717</v>
      </c>
      <c r="F5" s="145">
        <v>45748</v>
      </c>
      <c r="G5" s="145">
        <v>45778</v>
      </c>
      <c r="H5" s="145">
        <v>45809</v>
      </c>
      <c r="I5" s="145">
        <v>45839</v>
      </c>
      <c r="J5" s="145">
        <v>45870</v>
      </c>
      <c r="K5" s="145">
        <v>45901</v>
      </c>
      <c r="L5" s="145">
        <v>45931</v>
      </c>
      <c r="M5" s="145">
        <v>45962</v>
      </c>
      <c r="N5" s="146">
        <v>45992</v>
      </c>
      <c r="O5" s="97"/>
    </row>
    <row r="6" spans="2:15" hidden="1" x14ac:dyDescent="0.25">
      <c r="B6" s="99" t="s">
        <v>390</v>
      </c>
      <c r="C6" s="147">
        <v>500000000</v>
      </c>
      <c r="D6" s="102">
        <v>650000000</v>
      </c>
      <c r="E6" s="102">
        <v>700000000</v>
      </c>
      <c r="F6" s="102">
        <f t="shared" ref="F6:N6" si="0">+E6*1.03</f>
        <v>721000000</v>
      </c>
      <c r="G6" s="102">
        <f t="shared" si="0"/>
        <v>742630000</v>
      </c>
      <c r="H6" s="102">
        <f t="shared" si="0"/>
        <v>764908900</v>
      </c>
      <c r="I6" s="102">
        <f t="shared" si="0"/>
        <v>787856167</v>
      </c>
      <c r="J6" s="102">
        <f t="shared" si="0"/>
        <v>811491852.00999999</v>
      </c>
      <c r="K6" s="102">
        <f t="shared" si="0"/>
        <v>835836607.57029998</v>
      </c>
      <c r="L6" s="102">
        <f t="shared" si="0"/>
        <v>860911705.79740906</v>
      </c>
      <c r="M6" s="102">
        <f t="shared" si="0"/>
        <v>886739056.97133136</v>
      </c>
      <c r="N6" s="148">
        <f t="shared" si="0"/>
        <v>913341228.6804713</v>
      </c>
      <c r="O6" s="97"/>
    </row>
    <row r="7" spans="2:15" ht="14" hidden="1" x14ac:dyDescent="0.3">
      <c r="B7" s="100" t="s">
        <v>391</v>
      </c>
      <c r="C7" s="147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48"/>
      <c r="O7" s="97"/>
    </row>
    <row r="8" spans="2:15" ht="13" hidden="1" thickBot="1" x14ac:dyDescent="0.3">
      <c r="B8" s="99" t="s">
        <v>392</v>
      </c>
      <c r="C8" s="149">
        <f t="shared" ref="C8:N8" si="1">+C6</f>
        <v>500000000</v>
      </c>
      <c r="D8" s="103">
        <f t="shared" si="1"/>
        <v>650000000</v>
      </c>
      <c r="E8" s="103">
        <f t="shared" si="1"/>
        <v>700000000</v>
      </c>
      <c r="F8" s="103">
        <f t="shared" si="1"/>
        <v>721000000</v>
      </c>
      <c r="G8" s="103">
        <f t="shared" si="1"/>
        <v>742630000</v>
      </c>
      <c r="H8" s="103">
        <f t="shared" si="1"/>
        <v>764908900</v>
      </c>
      <c r="I8" s="103">
        <f t="shared" si="1"/>
        <v>787856167</v>
      </c>
      <c r="J8" s="103">
        <f t="shared" si="1"/>
        <v>811491852.00999999</v>
      </c>
      <c r="K8" s="103">
        <f t="shared" si="1"/>
        <v>835836607.57029998</v>
      </c>
      <c r="L8" s="103">
        <f t="shared" si="1"/>
        <v>860911705.79740906</v>
      </c>
      <c r="M8" s="103">
        <f t="shared" si="1"/>
        <v>886739056.97133136</v>
      </c>
      <c r="N8" s="150">
        <f t="shared" si="1"/>
        <v>913341228.6804713</v>
      </c>
      <c r="O8" s="97"/>
    </row>
    <row r="9" spans="2:15" ht="14" hidden="1" x14ac:dyDescent="0.3">
      <c r="B9" s="100" t="s">
        <v>393</v>
      </c>
      <c r="C9" s="147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48"/>
      <c r="O9" s="97"/>
    </row>
    <row r="10" spans="2:15" hidden="1" x14ac:dyDescent="0.25">
      <c r="B10" s="99" t="s">
        <v>394</v>
      </c>
      <c r="C10" s="147">
        <f>+C8*50%</f>
        <v>250000000</v>
      </c>
      <c r="D10" s="102">
        <f t="shared" ref="D10:N10" si="2">+D8*50%</f>
        <v>325000000</v>
      </c>
      <c r="E10" s="102">
        <f t="shared" si="2"/>
        <v>350000000</v>
      </c>
      <c r="F10" s="102">
        <f t="shared" si="2"/>
        <v>360500000</v>
      </c>
      <c r="G10" s="102">
        <f t="shared" si="2"/>
        <v>371315000</v>
      </c>
      <c r="H10" s="102">
        <f t="shared" si="2"/>
        <v>382454450</v>
      </c>
      <c r="I10" s="102">
        <f t="shared" si="2"/>
        <v>393928083.5</v>
      </c>
      <c r="J10" s="102">
        <f t="shared" si="2"/>
        <v>405745926.005</v>
      </c>
      <c r="K10" s="102">
        <f t="shared" si="2"/>
        <v>417918303.78514999</v>
      </c>
      <c r="L10" s="102">
        <f t="shared" si="2"/>
        <v>430455852.89870453</v>
      </c>
      <c r="M10" s="102">
        <f t="shared" si="2"/>
        <v>443369528.48566568</v>
      </c>
      <c r="N10" s="148">
        <f t="shared" si="2"/>
        <v>456670614.34023565</v>
      </c>
      <c r="O10" s="97"/>
    </row>
    <row r="11" spans="2:15" hidden="1" x14ac:dyDescent="0.25">
      <c r="B11" s="99" t="s">
        <v>401</v>
      </c>
      <c r="C11" s="147">
        <f>C30</f>
        <v>127596673.23999999</v>
      </c>
      <c r="D11" s="102">
        <f t="shared" ref="D11:N11" si="3">D30</f>
        <v>91321694.200000003</v>
      </c>
      <c r="E11" s="102">
        <f t="shared" si="3"/>
        <v>99450000</v>
      </c>
      <c r="F11" s="102">
        <f t="shared" si="3"/>
        <v>86450000</v>
      </c>
      <c r="G11" s="102">
        <f t="shared" si="3"/>
        <v>86450000</v>
      </c>
      <c r="H11" s="102">
        <f t="shared" si="3"/>
        <v>82950000</v>
      </c>
      <c r="I11" s="102">
        <f t="shared" si="3"/>
        <v>82950000</v>
      </c>
      <c r="J11" s="102">
        <f t="shared" si="3"/>
        <v>82950000</v>
      </c>
      <c r="K11" s="102">
        <f t="shared" si="3"/>
        <v>82950000</v>
      </c>
      <c r="L11" s="102">
        <f t="shared" si="3"/>
        <v>82950000</v>
      </c>
      <c r="M11" s="102">
        <f t="shared" si="3"/>
        <v>82950000</v>
      </c>
      <c r="N11" s="148">
        <f t="shared" si="3"/>
        <v>82950000</v>
      </c>
      <c r="O11" s="97"/>
    </row>
    <row r="12" spans="2:15" hidden="1" x14ac:dyDescent="0.25">
      <c r="B12" s="99" t="s">
        <v>395</v>
      </c>
      <c r="C12" s="151"/>
      <c r="D12" s="106">
        <f>27152000+27254400</f>
        <v>54406400</v>
      </c>
      <c r="E12" s="106">
        <v>29924650</v>
      </c>
      <c r="F12" s="106"/>
      <c r="G12" s="106"/>
      <c r="H12" s="106"/>
      <c r="I12" s="106"/>
      <c r="J12" s="106"/>
      <c r="K12" s="106"/>
      <c r="L12" s="106"/>
      <c r="M12" s="106"/>
      <c r="N12" s="152"/>
      <c r="O12" s="97"/>
    </row>
    <row r="13" spans="2:15" ht="13.5" hidden="1" thickBot="1" x14ac:dyDescent="0.35">
      <c r="B13" s="101" t="s">
        <v>396</v>
      </c>
      <c r="C13" s="149">
        <f>+SUM(C10:C12)</f>
        <v>377596673.24000001</v>
      </c>
      <c r="D13" s="103">
        <f t="shared" ref="D13:N13" si="4">+SUM(D10:D12)</f>
        <v>470728094.19999999</v>
      </c>
      <c r="E13" s="103">
        <f t="shared" si="4"/>
        <v>479374650</v>
      </c>
      <c r="F13" s="103">
        <f t="shared" si="4"/>
        <v>446950000</v>
      </c>
      <c r="G13" s="103">
        <f t="shared" si="4"/>
        <v>457765000</v>
      </c>
      <c r="H13" s="103">
        <f t="shared" si="4"/>
        <v>465404450</v>
      </c>
      <c r="I13" s="103">
        <f t="shared" si="4"/>
        <v>476878083.5</v>
      </c>
      <c r="J13" s="103">
        <f t="shared" si="4"/>
        <v>488695926.005</v>
      </c>
      <c r="K13" s="103">
        <f t="shared" si="4"/>
        <v>500868303.78514999</v>
      </c>
      <c r="L13" s="103">
        <f t="shared" si="4"/>
        <v>513405852.89870453</v>
      </c>
      <c r="M13" s="103">
        <f t="shared" si="4"/>
        <v>526319528.48566568</v>
      </c>
      <c r="N13" s="150">
        <f t="shared" si="4"/>
        <v>539620614.34023571</v>
      </c>
      <c r="O13" s="97"/>
    </row>
    <row r="14" spans="2:15" ht="13" hidden="1" x14ac:dyDescent="0.3">
      <c r="B14" s="101"/>
      <c r="C14" s="147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48"/>
      <c r="O14" s="97"/>
    </row>
    <row r="15" spans="2:15" s="98" customFormat="1" ht="13.5" hidden="1" thickBot="1" x14ac:dyDescent="0.35">
      <c r="B15" s="101" t="s">
        <v>397</v>
      </c>
      <c r="C15" s="153">
        <f>+C8-C13</f>
        <v>122403326.75999999</v>
      </c>
      <c r="D15" s="104">
        <f t="shared" ref="D15:N15" si="5">+D8-D13</f>
        <v>179271905.80000001</v>
      </c>
      <c r="E15" s="104">
        <f t="shared" si="5"/>
        <v>220625350</v>
      </c>
      <c r="F15" s="104">
        <f t="shared" si="5"/>
        <v>274050000</v>
      </c>
      <c r="G15" s="104">
        <f t="shared" si="5"/>
        <v>284865000</v>
      </c>
      <c r="H15" s="104">
        <f t="shared" si="5"/>
        <v>299504450</v>
      </c>
      <c r="I15" s="104">
        <f t="shared" si="5"/>
        <v>310978083.5</v>
      </c>
      <c r="J15" s="104">
        <f t="shared" si="5"/>
        <v>322795926.005</v>
      </c>
      <c r="K15" s="104">
        <f t="shared" si="5"/>
        <v>334968303.78514999</v>
      </c>
      <c r="L15" s="104">
        <f t="shared" si="5"/>
        <v>347505852.89870453</v>
      </c>
      <c r="M15" s="104">
        <f t="shared" si="5"/>
        <v>360419528.48566568</v>
      </c>
      <c r="N15" s="154">
        <f t="shared" si="5"/>
        <v>373720614.34023559</v>
      </c>
      <c r="O15" s="97"/>
    </row>
    <row r="16" spans="2:15" hidden="1" x14ac:dyDescent="0.25">
      <c r="B16" s="236"/>
      <c r="C16" s="237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48"/>
      <c r="O16" s="97"/>
    </row>
    <row r="17" spans="2:15" ht="15" hidden="1" customHeight="1" x14ac:dyDescent="0.25">
      <c r="B17" s="236"/>
      <c r="C17" s="237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48"/>
      <c r="O17" s="97"/>
    </row>
    <row r="18" spans="2:15" hidden="1" x14ac:dyDescent="0.25">
      <c r="C18" s="147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48"/>
      <c r="O18" s="97"/>
    </row>
    <row r="19" spans="2:15" hidden="1" x14ac:dyDescent="0.25">
      <c r="C19" s="147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48"/>
      <c r="O19" s="97"/>
    </row>
    <row r="20" spans="2:15" hidden="1" x14ac:dyDescent="0.25">
      <c r="C20" s="147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48"/>
      <c r="O20" s="97"/>
    </row>
    <row r="21" spans="2:15" x14ac:dyDescent="0.25">
      <c r="B21" s="99" t="s">
        <v>260</v>
      </c>
      <c r="C21" s="155">
        <v>6502027</v>
      </c>
      <c r="D21" s="105">
        <v>4545177</v>
      </c>
      <c r="E21" s="105">
        <v>6000000</v>
      </c>
      <c r="F21" s="105">
        <v>6000000</v>
      </c>
      <c r="G21" s="105">
        <v>6000000</v>
      </c>
      <c r="H21" s="105">
        <v>2500000</v>
      </c>
      <c r="I21" s="105">
        <v>2500000</v>
      </c>
      <c r="J21" s="105">
        <v>2500000</v>
      </c>
      <c r="K21" s="105">
        <v>2500000</v>
      </c>
      <c r="L21" s="105">
        <v>2500000</v>
      </c>
      <c r="M21" s="105">
        <v>2500000</v>
      </c>
      <c r="N21" s="156">
        <v>2500000</v>
      </c>
      <c r="O21" s="111">
        <f>SUM(C21:N21)</f>
        <v>46547204</v>
      </c>
    </row>
    <row r="22" spans="2:15" x14ac:dyDescent="0.25">
      <c r="B22" s="99" t="s">
        <v>261</v>
      </c>
      <c r="C22" s="147">
        <v>26362481.399999999</v>
      </c>
      <c r="D22" s="102">
        <v>14384193.199999999</v>
      </c>
      <c r="E22" s="102">
        <v>12000000</v>
      </c>
      <c r="F22" s="102">
        <v>7000000</v>
      </c>
      <c r="G22" s="102">
        <v>7000000</v>
      </c>
      <c r="H22" s="102">
        <v>7000000</v>
      </c>
      <c r="I22" s="102">
        <v>7000000</v>
      </c>
      <c r="J22" s="102">
        <v>7000000</v>
      </c>
      <c r="K22" s="102">
        <v>7000000</v>
      </c>
      <c r="L22" s="102">
        <v>7000000</v>
      </c>
      <c r="M22" s="102">
        <v>7000000</v>
      </c>
      <c r="N22" s="148">
        <v>7000000</v>
      </c>
      <c r="O22" s="111">
        <f>SUM(C22:N22)</f>
        <v>115746674.59999999</v>
      </c>
    </row>
    <row r="23" spans="2:15" x14ac:dyDescent="0.25">
      <c r="B23" s="99" t="s">
        <v>400</v>
      </c>
      <c r="C23" s="147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48"/>
      <c r="O23" s="111">
        <f t="shared" ref="O23:O28" si="6">SUM(C23:N23)</f>
        <v>0</v>
      </c>
    </row>
    <row r="24" spans="2:15" x14ac:dyDescent="0.25">
      <c r="B24" s="99" t="s">
        <v>7</v>
      </c>
      <c r="C24" s="147">
        <v>1450000</v>
      </c>
      <c r="D24" s="102">
        <f>+C24</f>
        <v>1450000</v>
      </c>
      <c r="E24" s="102">
        <f t="shared" ref="E24:N24" si="7">+D24</f>
        <v>1450000</v>
      </c>
      <c r="F24" s="102">
        <f t="shared" si="7"/>
        <v>1450000</v>
      </c>
      <c r="G24" s="102">
        <f t="shared" si="7"/>
        <v>1450000</v>
      </c>
      <c r="H24" s="102">
        <f t="shared" si="7"/>
        <v>1450000</v>
      </c>
      <c r="I24" s="102">
        <f t="shared" si="7"/>
        <v>1450000</v>
      </c>
      <c r="J24" s="102">
        <f t="shared" si="7"/>
        <v>1450000</v>
      </c>
      <c r="K24" s="102">
        <f t="shared" si="7"/>
        <v>1450000</v>
      </c>
      <c r="L24" s="102">
        <f t="shared" si="7"/>
        <v>1450000</v>
      </c>
      <c r="M24" s="102">
        <f t="shared" si="7"/>
        <v>1450000</v>
      </c>
      <c r="N24" s="148">
        <f t="shared" si="7"/>
        <v>1450000</v>
      </c>
      <c r="O24" s="111">
        <f t="shared" si="6"/>
        <v>17400000</v>
      </c>
    </row>
    <row r="25" spans="2:15" x14ac:dyDescent="0.25">
      <c r="B25" s="99" t="s">
        <v>266</v>
      </c>
      <c r="C25" s="147">
        <v>1249537</v>
      </c>
      <c r="D25" s="102">
        <v>1061503</v>
      </c>
      <c r="E25" s="102">
        <v>1000000</v>
      </c>
      <c r="F25" s="102">
        <v>1000000</v>
      </c>
      <c r="G25" s="102">
        <v>1000000</v>
      </c>
      <c r="H25" s="102">
        <v>1000000</v>
      </c>
      <c r="I25" s="102">
        <v>1000000</v>
      </c>
      <c r="J25" s="102">
        <v>1000000</v>
      </c>
      <c r="K25" s="102">
        <v>1000000</v>
      </c>
      <c r="L25" s="102">
        <v>1000000</v>
      </c>
      <c r="M25" s="102">
        <v>1000000</v>
      </c>
      <c r="N25" s="148">
        <v>1000000</v>
      </c>
      <c r="O25" s="111">
        <f t="shared" si="6"/>
        <v>12311040</v>
      </c>
    </row>
    <row r="26" spans="2:15" x14ac:dyDescent="0.25">
      <c r="B26" s="99" t="s">
        <v>93</v>
      </c>
      <c r="C26" s="147">
        <v>46032253.839999996</v>
      </c>
      <c r="D26" s="102">
        <v>31313984</v>
      </c>
      <c r="E26" s="102">
        <v>40000000</v>
      </c>
      <c r="F26" s="102">
        <v>32000000</v>
      </c>
      <c r="G26" s="102">
        <v>32000000</v>
      </c>
      <c r="H26" s="102">
        <v>32000000</v>
      </c>
      <c r="I26" s="102">
        <v>32000000</v>
      </c>
      <c r="J26" s="102">
        <v>32000000</v>
      </c>
      <c r="K26" s="102">
        <v>32000000</v>
      </c>
      <c r="L26" s="102">
        <v>32000000</v>
      </c>
      <c r="M26" s="102">
        <v>32000000</v>
      </c>
      <c r="N26" s="148">
        <v>32000000</v>
      </c>
      <c r="O26" s="111">
        <f t="shared" si="6"/>
        <v>405346237.84000003</v>
      </c>
    </row>
    <row r="27" spans="2:15" x14ac:dyDescent="0.25">
      <c r="B27" s="99" t="s">
        <v>265</v>
      </c>
      <c r="C27" s="147">
        <v>38000000</v>
      </c>
      <c r="D27" s="102">
        <f>+C27</f>
        <v>38000000</v>
      </c>
      <c r="E27" s="102">
        <f>+D27</f>
        <v>38000000</v>
      </c>
      <c r="F27" s="102">
        <f t="shared" ref="F27:M27" si="8">+E27</f>
        <v>38000000</v>
      </c>
      <c r="G27" s="102">
        <f t="shared" si="8"/>
        <v>38000000</v>
      </c>
      <c r="H27" s="102">
        <f t="shared" si="8"/>
        <v>38000000</v>
      </c>
      <c r="I27" s="102">
        <f t="shared" si="8"/>
        <v>38000000</v>
      </c>
      <c r="J27" s="102">
        <f t="shared" si="8"/>
        <v>38000000</v>
      </c>
      <c r="K27" s="102">
        <f t="shared" si="8"/>
        <v>38000000</v>
      </c>
      <c r="L27" s="102">
        <f t="shared" si="8"/>
        <v>38000000</v>
      </c>
      <c r="M27" s="102">
        <f t="shared" si="8"/>
        <v>38000000</v>
      </c>
      <c r="N27" s="148">
        <f>+M27</f>
        <v>38000000</v>
      </c>
      <c r="O27" s="111">
        <f t="shared" si="6"/>
        <v>456000000</v>
      </c>
    </row>
    <row r="28" spans="2:15" ht="13" thickBot="1" x14ac:dyDescent="0.3">
      <c r="B28" s="99" t="s">
        <v>356</v>
      </c>
      <c r="C28" s="157">
        <v>8000374</v>
      </c>
      <c r="D28" s="158">
        <v>566837</v>
      </c>
      <c r="E28" s="158">
        <v>1000000</v>
      </c>
      <c r="F28" s="158">
        <v>1000000</v>
      </c>
      <c r="G28" s="158">
        <v>1000000</v>
      </c>
      <c r="H28" s="158">
        <v>1000000</v>
      </c>
      <c r="I28" s="158">
        <v>1000000</v>
      </c>
      <c r="J28" s="158">
        <v>1000000</v>
      </c>
      <c r="K28" s="158">
        <v>1000000</v>
      </c>
      <c r="L28" s="158">
        <v>1000000</v>
      </c>
      <c r="M28" s="158">
        <v>1000000</v>
      </c>
      <c r="N28" s="159">
        <v>1000000</v>
      </c>
      <c r="O28" s="111">
        <f t="shared" si="6"/>
        <v>18567211</v>
      </c>
    </row>
    <row r="29" spans="2:15" x14ac:dyDescent="0.25"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97"/>
    </row>
    <row r="30" spans="2:15" ht="13" thickBot="1" x14ac:dyDescent="0.3">
      <c r="C30" s="107">
        <f>SUM(C21:C29)</f>
        <v>127596673.23999999</v>
      </c>
      <c r="D30" s="107">
        <f t="shared" ref="D30:N30" si="9">SUM(D21:D28)</f>
        <v>91321694.200000003</v>
      </c>
      <c r="E30" s="107">
        <f t="shared" si="9"/>
        <v>99450000</v>
      </c>
      <c r="F30" s="107">
        <f t="shared" si="9"/>
        <v>86450000</v>
      </c>
      <c r="G30" s="107">
        <f t="shared" si="9"/>
        <v>86450000</v>
      </c>
      <c r="H30" s="107">
        <f t="shared" si="9"/>
        <v>82950000</v>
      </c>
      <c r="I30" s="107">
        <f t="shared" si="9"/>
        <v>82950000</v>
      </c>
      <c r="J30" s="107">
        <f t="shared" si="9"/>
        <v>82950000</v>
      </c>
      <c r="K30" s="107">
        <f t="shared" si="9"/>
        <v>82950000</v>
      </c>
      <c r="L30" s="107">
        <f t="shared" si="9"/>
        <v>82950000</v>
      </c>
      <c r="M30" s="107">
        <f t="shared" si="9"/>
        <v>82950000</v>
      </c>
      <c r="N30" s="107">
        <f t="shared" si="9"/>
        <v>82950000</v>
      </c>
      <c r="O30" s="97"/>
    </row>
    <row r="31" spans="2:15" ht="13" thickTop="1" x14ac:dyDescent="0.25">
      <c r="O31" s="97"/>
    </row>
    <row r="33" spans="2:15" ht="13.5" thickBot="1" x14ac:dyDescent="0.35">
      <c r="B33" s="202" t="s">
        <v>402</v>
      </c>
      <c r="C33" s="107">
        <f>SUM(C34:C38)</f>
        <v>12800000</v>
      </c>
      <c r="D33" s="107">
        <f t="shared" ref="D33:N33" si="10">SUM(D34:D38)</f>
        <v>23800500</v>
      </c>
      <c r="E33" s="107">
        <f t="shared" si="10"/>
        <v>12801000.25</v>
      </c>
      <c r="F33" s="107">
        <f t="shared" si="10"/>
        <v>12801500.750125</v>
      </c>
      <c r="G33" s="107">
        <f t="shared" si="10"/>
        <v>23802001.500500061</v>
      </c>
      <c r="H33" s="107">
        <f t="shared" si="10"/>
        <v>12802502.501250312</v>
      </c>
      <c r="I33" s="107">
        <f t="shared" si="10"/>
        <v>12803003.752500936</v>
      </c>
      <c r="J33" s="107">
        <f t="shared" si="10"/>
        <v>23803505.254377186</v>
      </c>
      <c r="K33" s="107">
        <f t="shared" si="10"/>
        <v>12804007.007004377</v>
      </c>
      <c r="L33" s="107">
        <f t="shared" si="10"/>
        <v>23804509.010507878</v>
      </c>
      <c r="M33" s="107">
        <f t="shared" si="10"/>
        <v>12805011.265013132</v>
      </c>
      <c r="N33" s="107">
        <f t="shared" si="10"/>
        <v>12805513.770645639</v>
      </c>
      <c r="O33" s="111">
        <f>SUM(C33:N33)</f>
        <v>197633055.06192452</v>
      </c>
    </row>
    <row r="34" spans="2:15" ht="13" thickTop="1" x14ac:dyDescent="0.25">
      <c r="B34" s="99" t="s">
        <v>465</v>
      </c>
      <c r="C34" s="203">
        <v>800000</v>
      </c>
      <c r="D34" s="203">
        <v>800000</v>
      </c>
      <c r="E34" s="203">
        <v>800000</v>
      </c>
      <c r="F34" s="203">
        <v>800000</v>
      </c>
      <c r="G34" s="203">
        <v>800000</v>
      </c>
      <c r="H34" s="203">
        <v>800000</v>
      </c>
      <c r="I34" s="203">
        <v>800000</v>
      </c>
      <c r="J34" s="203">
        <v>800000</v>
      </c>
      <c r="K34" s="203">
        <v>800000</v>
      </c>
      <c r="L34" s="203">
        <v>800000</v>
      </c>
      <c r="M34" s="203">
        <v>800000</v>
      </c>
      <c r="N34" s="203">
        <v>800000</v>
      </c>
    </row>
    <row r="35" spans="2:15" x14ac:dyDescent="0.25">
      <c r="B35" s="99" t="s">
        <v>448</v>
      </c>
      <c r="C35" s="203">
        <v>1500000</v>
      </c>
      <c r="D35" s="203">
        <v>1500000</v>
      </c>
      <c r="E35" s="203">
        <v>1500000</v>
      </c>
      <c r="F35" s="203">
        <v>1500000</v>
      </c>
      <c r="G35" s="203">
        <v>1500000</v>
      </c>
      <c r="H35" s="203">
        <v>1500000</v>
      </c>
      <c r="I35" s="203">
        <v>1500000</v>
      </c>
      <c r="J35" s="203">
        <v>1500000</v>
      </c>
      <c r="K35" s="203">
        <v>1500000</v>
      </c>
      <c r="L35" s="203">
        <v>1500000</v>
      </c>
      <c r="M35" s="203">
        <v>1500000</v>
      </c>
      <c r="N35" s="203">
        <v>1500000</v>
      </c>
    </row>
    <row r="36" spans="2:15" x14ac:dyDescent="0.25">
      <c r="B36" s="99" t="s">
        <v>95</v>
      </c>
      <c r="C36" s="203">
        <v>1000000</v>
      </c>
      <c r="D36" s="102">
        <f>+C36*1.0005</f>
        <v>1000500</v>
      </c>
      <c r="E36" s="102">
        <f t="shared" ref="E36:N36" si="11">+D36*1.0005</f>
        <v>1001000.25</v>
      </c>
      <c r="F36" s="102">
        <f t="shared" si="11"/>
        <v>1001500.7501249999</v>
      </c>
      <c r="G36" s="102">
        <f t="shared" si="11"/>
        <v>1002001.5005000624</v>
      </c>
      <c r="H36" s="102">
        <f t="shared" si="11"/>
        <v>1002502.5012503123</v>
      </c>
      <c r="I36" s="102">
        <f t="shared" si="11"/>
        <v>1003003.7525009374</v>
      </c>
      <c r="J36" s="102">
        <f t="shared" si="11"/>
        <v>1003505.2543771878</v>
      </c>
      <c r="K36" s="102">
        <f t="shared" si="11"/>
        <v>1004007.0070043764</v>
      </c>
      <c r="L36" s="102">
        <f t="shared" si="11"/>
        <v>1004509.0105078785</v>
      </c>
      <c r="M36" s="102">
        <f t="shared" si="11"/>
        <v>1005011.2650131324</v>
      </c>
      <c r="N36" s="102">
        <f t="shared" si="11"/>
        <v>1005513.7706456389</v>
      </c>
    </row>
    <row r="37" spans="2:15" x14ac:dyDescent="0.25">
      <c r="B37" s="99" t="s">
        <v>466</v>
      </c>
      <c r="C37" s="203"/>
      <c r="D37" s="203">
        <v>11000000</v>
      </c>
      <c r="E37" s="203"/>
      <c r="F37" s="203"/>
      <c r="G37" s="203">
        <v>11000000</v>
      </c>
      <c r="H37" s="203"/>
      <c r="I37" s="203"/>
      <c r="J37" s="203">
        <v>11000000</v>
      </c>
      <c r="K37" s="203"/>
      <c r="L37" s="203">
        <v>11000000</v>
      </c>
      <c r="M37" s="203"/>
      <c r="N37" s="203"/>
    </row>
    <row r="38" spans="2:15" x14ac:dyDescent="0.25">
      <c r="B38" s="99" t="s">
        <v>93</v>
      </c>
      <c r="C38" s="203">
        <v>9500000</v>
      </c>
      <c r="D38" s="203">
        <v>9500000</v>
      </c>
      <c r="E38" s="203">
        <v>9500000</v>
      </c>
      <c r="F38" s="203">
        <v>9500000</v>
      </c>
      <c r="G38" s="203">
        <v>9500000</v>
      </c>
      <c r="H38" s="203">
        <v>9500000</v>
      </c>
      <c r="I38" s="203">
        <v>9500000</v>
      </c>
      <c r="J38" s="203">
        <v>9500000</v>
      </c>
      <c r="K38" s="203">
        <v>9500000</v>
      </c>
      <c r="L38" s="203">
        <v>9500000</v>
      </c>
      <c r="M38" s="203">
        <v>9500000</v>
      </c>
      <c r="N38" s="203">
        <v>9500000</v>
      </c>
    </row>
    <row r="39" spans="2:15" x14ac:dyDescent="0.25"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</row>
    <row r="44" spans="2:15" x14ac:dyDescent="0.25">
      <c r="L44" s="95" t="s">
        <v>430</v>
      </c>
    </row>
  </sheetData>
  <mergeCells count="5">
    <mergeCell ref="C1:G1"/>
    <mergeCell ref="C2:G2"/>
    <mergeCell ref="C3:G3"/>
    <mergeCell ref="B16:B17"/>
    <mergeCell ref="C16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A23D9-F32E-4528-8781-63C6D7DF1BF7}">
  <sheetPr codeName="Hoja3"/>
  <dimension ref="B1:K12"/>
  <sheetViews>
    <sheetView showGridLines="0" workbookViewId="0">
      <pane xSplit="2" ySplit="9" topLeftCell="C10" activePane="bottomRight" state="frozen"/>
      <selection pane="topRight" activeCell="C1" sqref="C1"/>
      <selection pane="bottomLeft" activeCell="A12" sqref="A12"/>
      <selection pane="bottomRight" activeCell="E24" sqref="E24"/>
    </sheetView>
  </sheetViews>
  <sheetFormatPr baseColWidth="10" defaultRowHeight="14" x14ac:dyDescent="0.3"/>
  <cols>
    <col min="1" max="1" width="5" customWidth="1"/>
    <col min="2" max="2" width="27.5" customWidth="1"/>
    <col min="3" max="8" width="11.25" customWidth="1"/>
    <col min="9" max="10" width="8.9140625" bestFit="1" customWidth="1"/>
    <col min="11" max="11" width="11.25" customWidth="1"/>
    <col min="12" max="12" width="8.9140625" bestFit="1" customWidth="1"/>
    <col min="13" max="13" width="9.1640625" customWidth="1"/>
    <col min="14" max="17" width="8.9140625" bestFit="1" customWidth="1"/>
    <col min="18" max="18" width="10.1640625" customWidth="1"/>
    <col min="19" max="19" width="9" bestFit="1" customWidth="1"/>
    <col min="20" max="20" width="8.9140625" customWidth="1"/>
    <col min="21" max="22" width="8.9140625" bestFit="1" customWidth="1"/>
    <col min="23" max="23" width="9" bestFit="1" customWidth="1"/>
    <col min="24" max="24" width="8.9140625" bestFit="1" customWidth="1"/>
    <col min="25" max="25" width="8.58203125" bestFit="1" customWidth="1"/>
    <col min="26" max="26" width="10.6640625" customWidth="1"/>
  </cols>
  <sheetData>
    <row r="1" spans="2:11" ht="28.25" customHeight="1" x14ac:dyDescent="0.3"/>
    <row r="3" spans="2:11" x14ac:dyDescent="0.3">
      <c r="K3" s="204"/>
    </row>
    <row r="6" spans="2:11" ht="23" x14ac:dyDescent="0.5">
      <c r="C6" s="22" t="s">
        <v>114</v>
      </c>
    </row>
    <row r="7" spans="2:11" x14ac:dyDescent="0.3">
      <c r="C7" s="7" t="s">
        <v>115</v>
      </c>
    </row>
    <row r="8" spans="2:11" x14ac:dyDescent="0.3">
      <c r="C8" t="s">
        <v>569</v>
      </c>
      <c r="E8" t="s">
        <v>555</v>
      </c>
    </row>
    <row r="9" spans="2:11" x14ac:dyDescent="0.3">
      <c r="B9" s="7" t="s">
        <v>116</v>
      </c>
      <c r="C9" t="s">
        <v>470</v>
      </c>
      <c r="D9" t="s">
        <v>471</v>
      </c>
      <c r="E9" t="s">
        <v>470</v>
      </c>
      <c r="F9" t="s">
        <v>471</v>
      </c>
    </row>
    <row r="10" spans="2:11" x14ac:dyDescent="0.3">
      <c r="B10" s="8" t="s">
        <v>559</v>
      </c>
      <c r="C10" s="10">
        <v>156941</v>
      </c>
      <c r="D10" s="10">
        <v>2852629</v>
      </c>
      <c r="E10" s="10">
        <v>250924</v>
      </c>
      <c r="F10" s="10">
        <v>5380655.7000000002</v>
      </c>
    </row>
    <row r="11" spans="2:11" x14ac:dyDescent="0.3">
      <c r="B11" s="9" t="s">
        <v>6</v>
      </c>
      <c r="C11" s="10">
        <v>156941</v>
      </c>
      <c r="D11" s="10">
        <v>2852629</v>
      </c>
      <c r="E11" s="10">
        <v>250924</v>
      </c>
      <c r="F11" s="10">
        <v>5380655.7000000002</v>
      </c>
    </row>
    <row r="12" spans="2:11" x14ac:dyDescent="0.3">
      <c r="B12" s="8" t="s">
        <v>85</v>
      </c>
      <c r="C12" s="10">
        <v>156941</v>
      </c>
      <c r="D12" s="10">
        <v>2852629</v>
      </c>
      <c r="E12" s="10">
        <v>250924</v>
      </c>
      <c r="F12" s="10">
        <v>5380655.7000000002</v>
      </c>
    </row>
  </sheetData>
  <pageMargins left="0.7" right="0.7" top="0.75" bottom="0.75" header="0.3" footer="0.3"/>
  <drawing r:id="rId2"/>
  <picture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FD80-C0B6-4DDB-9086-FD95743C74F5}">
  <sheetPr codeName="Hoja2"/>
  <dimension ref="B1:AN89"/>
  <sheetViews>
    <sheetView showGridLines="0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5" sqref="B25"/>
    </sheetView>
  </sheetViews>
  <sheetFormatPr baseColWidth="10" defaultRowHeight="14" x14ac:dyDescent="0.3"/>
  <cols>
    <col min="1" max="1" width="31" customWidth="1"/>
    <col min="2" max="2" width="41.6640625" style="8" customWidth="1"/>
    <col min="3" max="3" width="15.1640625" style="12" customWidth="1"/>
    <col min="4" max="4" width="14.58203125" style="12" customWidth="1"/>
    <col min="5" max="5" width="10.6640625" style="12" customWidth="1"/>
    <col min="6" max="6" width="19.9140625" style="12" customWidth="1"/>
    <col min="7" max="7" width="11.6640625" style="12" customWidth="1"/>
    <col min="8" max="8" width="12.08203125" customWidth="1"/>
    <col min="9" max="9" width="10.33203125" customWidth="1"/>
    <col min="10" max="10" width="14.08203125" customWidth="1"/>
    <col min="11" max="12" width="13.9140625" customWidth="1"/>
    <col min="13" max="13" width="16.08203125" customWidth="1"/>
    <col min="14" max="14" width="13.9140625" customWidth="1"/>
    <col min="15" max="15" width="14.6640625" customWidth="1"/>
    <col min="18" max="18" width="18.4140625" customWidth="1"/>
  </cols>
  <sheetData>
    <row r="1" spans="2:40" ht="46.25" customHeight="1" x14ac:dyDescent="0.3">
      <c r="B1" s="7" t="s">
        <v>88</v>
      </c>
      <c r="C1" t="s">
        <v>474</v>
      </c>
    </row>
    <row r="2" spans="2:40" ht="19.25" customHeight="1" x14ac:dyDescent="0.3">
      <c r="B2"/>
      <c r="C2"/>
      <c r="D2"/>
      <c r="E2"/>
      <c r="F2"/>
      <c r="G2"/>
    </row>
    <row r="3" spans="2:40" x14ac:dyDescent="0.3">
      <c r="B3" s="7" t="s">
        <v>99</v>
      </c>
      <c r="C3" s="7" t="s">
        <v>87</v>
      </c>
      <c r="D3"/>
      <c r="E3"/>
      <c r="F3"/>
      <c r="G3"/>
    </row>
    <row r="4" spans="2:40" x14ac:dyDescent="0.3">
      <c r="B4"/>
      <c r="C4" t="s">
        <v>569</v>
      </c>
      <c r="D4" t="s">
        <v>555</v>
      </c>
      <c r="E4" t="s">
        <v>85</v>
      </c>
      <c r="F4"/>
      <c r="G4"/>
    </row>
    <row r="5" spans="2:40" x14ac:dyDescent="0.3">
      <c r="B5" s="7" t="s">
        <v>86</v>
      </c>
      <c r="C5"/>
      <c r="D5"/>
      <c r="E5"/>
      <c r="F5"/>
      <c r="G5"/>
    </row>
    <row r="6" spans="2:40" s="2" customFormat="1" x14ac:dyDescent="0.3">
      <c r="B6" s="8" t="s">
        <v>6</v>
      </c>
      <c r="C6" s="10">
        <v>560250.17000000004</v>
      </c>
      <c r="D6" s="10">
        <v>5324975.7</v>
      </c>
      <c r="E6" s="10">
        <v>5885225.8700000001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2:40" x14ac:dyDescent="0.3">
      <c r="B7" s="9" t="s">
        <v>28</v>
      </c>
      <c r="C7" s="10"/>
      <c r="D7" s="10">
        <v>118401</v>
      </c>
      <c r="E7" s="10">
        <v>118401</v>
      </c>
      <c r="F7"/>
      <c r="G7"/>
    </row>
    <row r="8" spans="2:40" x14ac:dyDescent="0.3">
      <c r="B8" s="9" t="s">
        <v>429</v>
      </c>
      <c r="C8" s="10">
        <v>40369.599999999999</v>
      </c>
      <c r="D8" s="10">
        <v>941620</v>
      </c>
      <c r="E8" s="10">
        <v>981989.6</v>
      </c>
      <c r="F8"/>
      <c r="G8"/>
    </row>
    <row r="9" spans="2:40" x14ac:dyDescent="0.3">
      <c r="B9" s="9" t="s">
        <v>59</v>
      </c>
      <c r="C9" s="10">
        <v>24876.57</v>
      </c>
      <c r="D9" s="10">
        <v>91666</v>
      </c>
      <c r="E9" s="10">
        <v>116542.57</v>
      </c>
      <c r="F9"/>
      <c r="G9"/>
    </row>
    <row r="10" spans="2:40" x14ac:dyDescent="0.3">
      <c r="B10" s="9" t="s">
        <v>95</v>
      </c>
      <c r="C10" s="10">
        <v>495004</v>
      </c>
      <c r="D10" s="10"/>
      <c r="E10" s="10">
        <v>495004</v>
      </c>
      <c r="F10"/>
      <c r="G10"/>
    </row>
    <row r="11" spans="2:40" x14ac:dyDescent="0.3">
      <c r="B11" s="9" t="s">
        <v>52</v>
      </c>
      <c r="C11" s="10"/>
      <c r="D11" s="10">
        <v>44471.46</v>
      </c>
      <c r="E11" s="10">
        <v>44471.46</v>
      </c>
      <c r="F11"/>
      <c r="G11"/>
    </row>
    <row r="12" spans="2:40" x14ac:dyDescent="0.3">
      <c r="B12" s="9" t="s">
        <v>40</v>
      </c>
      <c r="C12" s="10"/>
      <c r="D12" s="10">
        <v>2340839</v>
      </c>
      <c r="E12" s="10">
        <v>2340839</v>
      </c>
      <c r="F12"/>
      <c r="G12"/>
    </row>
    <row r="13" spans="2:40" x14ac:dyDescent="0.3">
      <c r="B13" s="9" t="s">
        <v>39</v>
      </c>
      <c r="C13" s="10"/>
      <c r="D13" s="10">
        <v>125373</v>
      </c>
      <c r="E13" s="10">
        <v>125373</v>
      </c>
      <c r="F13"/>
      <c r="G13"/>
    </row>
    <row r="14" spans="2:40" x14ac:dyDescent="0.3">
      <c r="B14" s="9" t="s">
        <v>31</v>
      </c>
      <c r="C14" s="10"/>
      <c r="D14" s="10">
        <v>44261</v>
      </c>
      <c r="E14" s="10">
        <v>44261</v>
      </c>
      <c r="F14"/>
      <c r="G14"/>
    </row>
    <row r="15" spans="2:40" x14ac:dyDescent="0.3">
      <c r="B15" s="9" t="s">
        <v>563</v>
      </c>
      <c r="C15" s="10"/>
      <c r="D15" s="10">
        <v>1618344.24</v>
      </c>
      <c r="E15" s="10">
        <v>1618344.24</v>
      </c>
      <c r="F15"/>
      <c r="G15"/>
    </row>
    <row r="16" spans="2:40" x14ac:dyDescent="0.3">
      <c r="B16" s="8" t="s">
        <v>85</v>
      </c>
      <c r="C16" s="10">
        <v>560250.17000000004</v>
      </c>
      <c r="D16" s="10">
        <v>5324975.7</v>
      </c>
      <c r="E16" s="10">
        <v>5885225.8700000001</v>
      </c>
      <c r="F16"/>
      <c r="G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</sheetData>
  <pageMargins left="0.7" right="0.7" top="0.75" bottom="0.75" header="0.3" footer="0.3"/>
  <drawing r:id="rId2"/>
  <picture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A8884-AB08-4650-88BF-01C71DFC8654}">
  <sheetPr codeName="Hoja4"/>
  <dimension ref="B2:N42"/>
  <sheetViews>
    <sheetView showGridLines="0" workbookViewId="0">
      <pane xSplit="2" ySplit="7" topLeftCell="C13" activePane="bottomRight" state="frozen"/>
      <selection pane="topRight" activeCell="C1" sqref="C1"/>
      <selection pane="bottomLeft" activeCell="A7" sqref="A7"/>
      <selection pane="bottomRight" activeCell="B25" sqref="B25"/>
    </sheetView>
  </sheetViews>
  <sheetFormatPr baseColWidth="10" defaultRowHeight="14" x14ac:dyDescent="0.3"/>
  <cols>
    <col min="1" max="1" width="2.9140625" customWidth="1"/>
    <col min="2" max="2" width="21.9140625" bestFit="1" customWidth="1"/>
    <col min="3" max="3" width="12.25" bestFit="1" customWidth="1"/>
    <col min="4" max="8" width="8.75" bestFit="1" customWidth="1"/>
    <col min="9" max="9" width="9.75" bestFit="1" customWidth="1"/>
    <col min="10" max="10" width="8.75" bestFit="1" customWidth="1"/>
    <col min="11" max="12" width="7.25" bestFit="1" customWidth="1"/>
    <col min="13" max="13" width="9.75" bestFit="1" customWidth="1"/>
    <col min="14" max="14" width="11.08203125" bestFit="1" customWidth="1"/>
    <col min="15" max="15" width="9.9140625" bestFit="1" customWidth="1"/>
    <col min="16" max="16" width="11.1640625" bestFit="1" customWidth="1"/>
    <col min="17" max="20" width="8.08203125" bestFit="1" customWidth="1"/>
    <col min="21" max="21" width="8.9140625" bestFit="1" customWidth="1"/>
    <col min="22" max="27" width="8.08203125" bestFit="1" customWidth="1"/>
    <col min="28" max="28" width="8.9140625" bestFit="1" customWidth="1"/>
    <col min="29" max="42" width="8.08203125" bestFit="1" customWidth="1"/>
    <col min="43" max="43" width="8.9140625" bestFit="1" customWidth="1"/>
    <col min="44" max="45" width="8.08203125" bestFit="1" customWidth="1"/>
    <col min="46" max="46" width="8.9140625" bestFit="1" customWidth="1"/>
    <col min="47" max="61" width="8.08203125" bestFit="1" customWidth="1"/>
    <col min="62" max="62" width="8.9140625" bestFit="1" customWidth="1"/>
    <col min="63" max="63" width="8.08203125" bestFit="1" customWidth="1"/>
    <col min="64" max="64" width="8.9140625" bestFit="1" customWidth="1"/>
    <col min="65" max="65" width="8.08203125" bestFit="1" customWidth="1"/>
    <col min="66" max="66" width="8.9140625" bestFit="1" customWidth="1"/>
    <col min="67" max="67" width="8.08203125" bestFit="1" customWidth="1"/>
    <col min="68" max="68" width="8.9140625" bestFit="1" customWidth="1"/>
    <col min="69" max="82" width="8.08203125" bestFit="1" customWidth="1"/>
    <col min="83" max="83" width="8.9140625" bestFit="1" customWidth="1"/>
    <col min="84" max="84" width="8.08203125" bestFit="1" customWidth="1"/>
    <col min="85" max="85" width="8.9140625" bestFit="1" customWidth="1"/>
    <col min="86" max="92" width="8.08203125" bestFit="1" customWidth="1"/>
    <col min="93" max="93" width="8.9140625" bestFit="1" customWidth="1"/>
    <col min="94" max="101" width="8.08203125" bestFit="1" customWidth="1"/>
    <col min="102" max="102" width="8.9140625" bestFit="1" customWidth="1"/>
    <col min="103" max="110" width="8.08203125" bestFit="1" customWidth="1"/>
    <col min="111" max="111" width="11.1640625" bestFit="1" customWidth="1"/>
    <col min="112" max="118" width="8.08203125" bestFit="1" customWidth="1"/>
    <col min="119" max="119" width="8.9140625" bestFit="1" customWidth="1"/>
    <col min="120" max="120" width="8.08203125" bestFit="1" customWidth="1"/>
    <col min="121" max="121" width="8.9140625" bestFit="1" customWidth="1"/>
    <col min="122" max="122" width="8.08203125" bestFit="1" customWidth="1"/>
    <col min="123" max="123" width="8.9140625" bestFit="1" customWidth="1"/>
    <col min="124" max="136" width="8.08203125" bestFit="1" customWidth="1"/>
    <col min="137" max="138" width="8.9140625" bestFit="1" customWidth="1"/>
    <col min="139" max="140" width="8.08203125" bestFit="1" customWidth="1"/>
    <col min="141" max="142" width="8.9140625" bestFit="1" customWidth="1"/>
    <col min="143" max="150" width="8.08203125" bestFit="1" customWidth="1"/>
    <col min="151" max="151" width="9.6640625" bestFit="1" customWidth="1"/>
    <col min="152" max="153" width="8.08203125" bestFit="1" customWidth="1"/>
    <col min="154" max="154" width="8.9140625" bestFit="1" customWidth="1"/>
    <col min="155" max="162" width="8.08203125" bestFit="1" customWidth="1"/>
    <col min="163" max="163" width="8.9140625" bestFit="1" customWidth="1"/>
    <col min="164" max="165" width="8.08203125" bestFit="1" customWidth="1"/>
    <col min="166" max="166" width="8.9140625" bestFit="1" customWidth="1"/>
    <col min="167" max="170" width="8.08203125" bestFit="1" customWidth="1"/>
    <col min="171" max="171" width="8.9140625" bestFit="1" customWidth="1"/>
    <col min="172" max="183" width="8.08203125" bestFit="1" customWidth="1"/>
    <col min="184" max="184" width="7.5" bestFit="1" customWidth="1"/>
    <col min="185" max="186" width="8.08203125" bestFit="1" customWidth="1"/>
  </cols>
  <sheetData>
    <row r="2" spans="2:14" ht="18.649999999999999" customHeight="1" x14ac:dyDescent="0.3"/>
    <row r="3" spans="2:14" ht="33" customHeight="1" x14ac:dyDescent="0.4">
      <c r="B3" s="205" t="s">
        <v>479</v>
      </c>
    </row>
    <row r="4" spans="2:14" ht="27.65" customHeight="1" x14ac:dyDescent="0.3">
      <c r="B4" s="7" t="s">
        <v>478</v>
      </c>
      <c r="C4" s="7" t="s">
        <v>116</v>
      </c>
    </row>
    <row r="5" spans="2:14" x14ac:dyDescent="0.3">
      <c r="C5" t="s">
        <v>506</v>
      </c>
      <c r="M5" t="s">
        <v>507</v>
      </c>
      <c r="N5" t="s">
        <v>85</v>
      </c>
    </row>
    <row r="6" spans="2:14" x14ac:dyDescent="0.3">
      <c r="C6" t="s">
        <v>540</v>
      </c>
      <c r="D6" t="s">
        <v>541</v>
      </c>
      <c r="E6" t="s">
        <v>542</v>
      </c>
      <c r="F6" t="s">
        <v>543</v>
      </c>
      <c r="G6" t="s">
        <v>247</v>
      </c>
      <c r="H6" t="s">
        <v>556</v>
      </c>
      <c r="I6" t="s">
        <v>570</v>
      </c>
      <c r="J6" t="s">
        <v>582</v>
      </c>
      <c r="K6" t="s">
        <v>588</v>
      </c>
      <c r="L6" t="s">
        <v>589</v>
      </c>
    </row>
    <row r="7" spans="2:14" x14ac:dyDescent="0.3">
      <c r="B7" s="7" t="s">
        <v>452</v>
      </c>
    </row>
    <row r="8" spans="2:14" x14ac:dyDescent="0.3">
      <c r="B8" s="8" t="s">
        <v>89</v>
      </c>
      <c r="C8" s="10">
        <v>5599945.7650000006</v>
      </c>
      <c r="D8" s="10">
        <v>2493217.5970000001</v>
      </c>
      <c r="E8" s="10">
        <v>2449369.4300000002</v>
      </c>
      <c r="F8" s="10">
        <v>2794773.7</v>
      </c>
      <c r="G8" s="10">
        <v>4614671.09</v>
      </c>
      <c r="H8" s="10">
        <v>1025796.6299999999</v>
      </c>
      <c r="I8" s="10">
        <v>4329942.3899999997</v>
      </c>
      <c r="J8" s="10">
        <v>1243366.3155</v>
      </c>
      <c r="K8" s="10">
        <v>347577</v>
      </c>
      <c r="L8" s="10">
        <v>136520</v>
      </c>
      <c r="M8" s="10">
        <v>25035179.9175</v>
      </c>
      <c r="N8" s="10">
        <v>25035179.9175</v>
      </c>
    </row>
    <row r="9" spans="2:14" x14ac:dyDescent="0.3">
      <c r="B9" s="9" t="s">
        <v>21</v>
      </c>
      <c r="C9" s="10"/>
      <c r="D9" s="10"/>
      <c r="E9" s="10">
        <v>9157</v>
      </c>
      <c r="F9" s="10"/>
      <c r="G9" s="10"/>
      <c r="H9" s="10"/>
      <c r="I9" s="10"/>
      <c r="J9" s="10"/>
      <c r="K9" s="10"/>
      <c r="L9" s="10"/>
      <c r="M9" s="10">
        <v>9157</v>
      </c>
      <c r="N9" s="10">
        <v>9157</v>
      </c>
    </row>
    <row r="10" spans="2:14" x14ac:dyDescent="0.3">
      <c r="B10" s="9" t="s">
        <v>113</v>
      </c>
      <c r="C10" s="10">
        <v>98560</v>
      </c>
      <c r="D10" s="10">
        <v>73464</v>
      </c>
      <c r="E10" s="10"/>
      <c r="F10" s="10"/>
      <c r="G10" s="10"/>
      <c r="H10" s="10"/>
      <c r="I10" s="10"/>
      <c r="J10" s="10"/>
      <c r="K10" s="10"/>
      <c r="L10" s="10"/>
      <c r="M10" s="10">
        <v>172024</v>
      </c>
      <c r="N10" s="10">
        <v>172024</v>
      </c>
    </row>
    <row r="11" spans="2:14" x14ac:dyDescent="0.3">
      <c r="B11" s="9" t="s">
        <v>467</v>
      </c>
      <c r="C11" s="10">
        <v>400000</v>
      </c>
      <c r="D11" s="10"/>
      <c r="E11" s="10"/>
      <c r="F11" s="10"/>
      <c r="G11" s="10">
        <v>443203.83</v>
      </c>
      <c r="H11" s="10"/>
      <c r="I11" s="10">
        <v>900000</v>
      </c>
      <c r="J11" s="10"/>
      <c r="K11" s="10"/>
      <c r="L11" s="10"/>
      <c r="M11" s="10">
        <v>1743203.83</v>
      </c>
      <c r="N11" s="10">
        <v>1743203.83</v>
      </c>
    </row>
    <row r="12" spans="2:14" x14ac:dyDescent="0.3">
      <c r="B12" s="9" t="s">
        <v>100</v>
      </c>
      <c r="C12" s="10">
        <v>85348</v>
      </c>
      <c r="D12" s="10">
        <v>1246866</v>
      </c>
      <c r="E12" s="10"/>
      <c r="F12" s="10">
        <v>535856.26</v>
      </c>
      <c r="G12" s="10">
        <v>1176889.3799999999</v>
      </c>
      <c r="H12" s="10"/>
      <c r="I12" s="10"/>
      <c r="J12" s="10"/>
      <c r="K12" s="10"/>
      <c r="L12" s="10"/>
      <c r="M12" s="10">
        <v>3044959.6399999997</v>
      </c>
      <c r="N12" s="10">
        <v>3044959.6399999997</v>
      </c>
    </row>
    <row r="13" spans="2:14" x14ac:dyDescent="0.3">
      <c r="B13" s="9" t="s">
        <v>17</v>
      </c>
      <c r="C13" s="10">
        <v>2776652.395</v>
      </c>
      <c r="D13" s="10">
        <v>204639.421</v>
      </c>
      <c r="E13" s="10">
        <v>1509451.31</v>
      </c>
      <c r="F13" s="10">
        <v>420684.72</v>
      </c>
      <c r="G13" s="10">
        <v>49308</v>
      </c>
      <c r="H13" s="10">
        <v>354529</v>
      </c>
      <c r="I13" s="10">
        <v>140778</v>
      </c>
      <c r="J13" s="10">
        <v>70388.920000000042</v>
      </c>
      <c r="K13" s="10"/>
      <c r="L13" s="10"/>
      <c r="M13" s="10">
        <v>5526431.7659999998</v>
      </c>
      <c r="N13" s="10">
        <v>5526431.7659999998</v>
      </c>
    </row>
    <row r="14" spans="2:14" x14ac:dyDescent="0.3">
      <c r="B14" s="9" t="s">
        <v>16</v>
      </c>
      <c r="C14" s="10"/>
      <c r="D14" s="10">
        <v>52286</v>
      </c>
      <c r="E14" s="10">
        <v>133629.1</v>
      </c>
      <c r="F14" s="10"/>
      <c r="G14" s="10">
        <v>40019.949999999997</v>
      </c>
      <c r="H14" s="10"/>
      <c r="I14" s="10"/>
      <c r="J14" s="10">
        <v>127195.52550000002</v>
      </c>
      <c r="K14" s="10"/>
      <c r="L14" s="10"/>
      <c r="M14" s="10">
        <v>353130.57550000004</v>
      </c>
      <c r="N14" s="10">
        <v>353130.57550000004</v>
      </c>
    </row>
    <row r="15" spans="2:14" x14ac:dyDescent="0.3">
      <c r="B15" s="9" t="s">
        <v>241</v>
      </c>
      <c r="C15" s="10">
        <v>602683.17999999993</v>
      </c>
      <c r="D15" s="10">
        <v>287717.00599999999</v>
      </c>
      <c r="E15" s="10"/>
      <c r="F15" s="10"/>
      <c r="G15" s="10"/>
      <c r="H15" s="10"/>
      <c r="I15" s="10"/>
      <c r="J15" s="10"/>
      <c r="K15" s="10"/>
      <c r="L15" s="10"/>
      <c r="M15" s="10">
        <v>890400.18599999999</v>
      </c>
      <c r="N15" s="10">
        <v>890400.18599999999</v>
      </c>
    </row>
    <row r="16" spans="2:14" x14ac:dyDescent="0.3">
      <c r="B16" s="9" t="s">
        <v>19</v>
      </c>
      <c r="C16" s="10"/>
      <c r="D16" s="10">
        <v>57343.17</v>
      </c>
      <c r="E16" s="10"/>
      <c r="F16" s="10"/>
      <c r="G16" s="10"/>
      <c r="H16" s="10"/>
      <c r="I16" s="10"/>
      <c r="J16" s="10"/>
      <c r="K16" s="10"/>
      <c r="L16" s="10"/>
      <c r="M16" s="10">
        <v>57343.17</v>
      </c>
      <c r="N16" s="10">
        <v>57343.17</v>
      </c>
    </row>
    <row r="17" spans="2:14" x14ac:dyDescent="0.3">
      <c r="B17" s="9" t="s">
        <v>435</v>
      </c>
      <c r="C17" s="10"/>
      <c r="D17" s="10">
        <v>169414</v>
      </c>
      <c r="E17" s="10">
        <v>30393</v>
      </c>
      <c r="F17" s="10">
        <v>673690.91</v>
      </c>
      <c r="G17" s="10">
        <v>38990</v>
      </c>
      <c r="H17" s="10">
        <v>437147.92</v>
      </c>
      <c r="I17" s="10">
        <v>171201.14</v>
      </c>
      <c r="J17" s="10">
        <v>16759.96</v>
      </c>
      <c r="K17" s="10"/>
      <c r="L17" s="10"/>
      <c r="M17" s="10">
        <v>1537596.9300000002</v>
      </c>
      <c r="N17" s="10">
        <v>1537596.9300000002</v>
      </c>
    </row>
    <row r="18" spans="2:14" x14ac:dyDescent="0.3">
      <c r="B18" s="9" t="s">
        <v>445</v>
      </c>
      <c r="C18" s="10">
        <v>300000</v>
      </c>
      <c r="D18" s="10">
        <v>375320</v>
      </c>
      <c r="E18" s="10">
        <v>161732.72</v>
      </c>
      <c r="F18" s="10">
        <v>598791.36</v>
      </c>
      <c r="G18" s="10">
        <v>471274.93</v>
      </c>
      <c r="H18" s="10">
        <v>195970.71</v>
      </c>
      <c r="I18" s="10">
        <v>309838.64</v>
      </c>
      <c r="J18" s="10">
        <v>321274</v>
      </c>
      <c r="K18" s="10">
        <v>347577</v>
      </c>
      <c r="L18" s="10">
        <v>136520</v>
      </c>
      <c r="M18" s="10">
        <v>3218299.3600000003</v>
      </c>
      <c r="N18" s="10">
        <v>3218299.3600000003</v>
      </c>
    </row>
    <row r="19" spans="2:14" x14ac:dyDescent="0.3">
      <c r="B19" s="9" t="s">
        <v>20</v>
      </c>
      <c r="C19" s="10">
        <v>1298352</v>
      </c>
      <c r="D19" s="10">
        <v>26168</v>
      </c>
      <c r="E19" s="10">
        <v>50000</v>
      </c>
      <c r="F19" s="10">
        <v>26471</v>
      </c>
      <c r="G19" s="10">
        <v>604080</v>
      </c>
      <c r="H19" s="10">
        <v>20000</v>
      </c>
      <c r="I19" s="10">
        <v>1686739</v>
      </c>
      <c r="J19" s="10">
        <v>24516</v>
      </c>
      <c r="K19" s="10"/>
      <c r="L19" s="10"/>
      <c r="M19" s="10">
        <v>3736326</v>
      </c>
      <c r="N19" s="10">
        <v>3736326</v>
      </c>
    </row>
    <row r="20" spans="2:14" x14ac:dyDescent="0.3">
      <c r="B20" s="9" t="s">
        <v>499</v>
      </c>
      <c r="C20" s="10"/>
      <c r="D20" s="10"/>
      <c r="E20" s="10"/>
      <c r="F20" s="10">
        <v>103357.45</v>
      </c>
      <c r="G20" s="10"/>
      <c r="H20" s="10"/>
      <c r="I20" s="10">
        <v>211298.78</v>
      </c>
      <c r="J20" s="10">
        <v>529691.91</v>
      </c>
      <c r="K20" s="10"/>
      <c r="L20" s="10"/>
      <c r="M20" s="10">
        <v>844348.14</v>
      </c>
      <c r="N20" s="10">
        <v>844348.14</v>
      </c>
    </row>
    <row r="21" spans="2:14" x14ac:dyDescent="0.3">
      <c r="B21" s="9" t="s">
        <v>509</v>
      </c>
      <c r="C21" s="10">
        <v>38350.19</v>
      </c>
      <c r="D21" s="10"/>
      <c r="E21" s="10"/>
      <c r="F21" s="10"/>
      <c r="G21" s="10"/>
      <c r="H21" s="10"/>
      <c r="I21" s="10"/>
      <c r="J21" s="10"/>
      <c r="K21" s="10"/>
      <c r="L21" s="10"/>
      <c r="M21" s="10">
        <v>38350.19</v>
      </c>
      <c r="N21" s="10">
        <v>38350.19</v>
      </c>
    </row>
    <row r="22" spans="2:14" x14ac:dyDescent="0.3">
      <c r="B22" s="9" t="s">
        <v>519</v>
      </c>
      <c r="C22" s="10"/>
      <c r="D22" s="10"/>
      <c r="E22" s="10">
        <v>555006.30000000005</v>
      </c>
      <c r="F22" s="10">
        <v>435922</v>
      </c>
      <c r="G22" s="10">
        <v>1790905</v>
      </c>
      <c r="H22" s="10">
        <v>18149</v>
      </c>
      <c r="I22" s="10">
        <v>785086.83</v>
      </c>
      <c r="J22" s="10">
        <v>149340</v>
      </c>
      <c r="K22" s="10"/>
      <c r="L22" s="10"/>
      <c r="M22" s="10">
        <v>3734409.13</v>
      </c>
      <c r="N22" s="10">
        <v>3734409.13</v>
      </c>
    </row>
    <row r="23" spans="2:14" x14ac:dyDescent="0.3">
      <c r="B23" s="9" t="s">
        <v>566</v>
      </c>
      <c r="C23" s="10"/>
      <c r="D23" s="10"/>
      <c r="E23" s="10"/>
      <c r="F23" s="10"/>
      <c r="G23" s="10"/>
      <c r="H23" s="10"/>
      <c r="I23" s="10">
        <v>125000</v>
      </c>
      <c r="J23" s="10"/>
      <c r="K23" s="10"/>
      <c r="L23" s="10"/>
      <c r="M23" s="10">
        <v>125000</v>
      </c>
      <c r="N23" s="10">
        <v>125000</v>
      </c>
    </row>
    <row r="24" spans="2:14" x14ac:dyDescent="0.3">
      <c r="B24" s="218" t="s">
        <v>432</v>
      </c>
      <c r="C24" s="10"/>
      <c r="D24" s="10"/>
      <c r="E24" s="10"/>
      <c r="F24" s="10"/>
      <c r="G24" s="10"/>
      <c r="H24" s="10"/>
      <c r="I24" s="10">
        <v>125000</v>
      </c>
      <c r="J24" s="10"/>
      <c r="K24" s="10"/>
      <c r="L24" s="10"/>
      <c r="M24" s="10">
        <v>125000</v>
      </c>
      <c r="N24" s="10">
        <v>125000</v>
      </c>
    </row>
    <row r="25" spans="2:14" x14ac:dyDescent="0.3">
      <c r="B25" s="9" t="s">
        <v>578</v>
      </c>
      <c r="C25" s="10"/>
      <c r="D25" s="10"/>
      <c r="E25" s="10"/>
      <c r="F25" s="10"/>
      <c r="G25" s="10"/>
      <c r="H25" s="10"/>
      <c r="I25" s="10"/>
      <c r="J25" s="10">
        <v>4200</v>
      </c>
      <c r="K25" s="10"/>
      <c r="L25" s="10"/>
      <c r="M25" s="10">
        <v>4200</v>
      </c>
      <c r="N25" s="10">
        <v>4200</v>
      </c>
    </row>
    <row r="26" spans="2:14" x14ac:dyDescent="0.3">
      <c r="B26" s="8" t="s">
        <v>477</v>
      </c>
      <c r="C26" s="10">
        <v>1933058.07</v>
      </c>
      <c r="D26" s="10"/>
      <c r="E26" s="10">
        <v>790277</v>
      </c>
      <c r="F26" s="10"/>
      <c r="G26" s="10"/>
      <c r="H26" s="10">
        <v>3208366.36</v>
      </c>
      <c r="I26" s="10">
        <v>9573297.1999999993</v>
      </c>
      <c r="J26" s="10">
        <v>2572787.62</v>
      </c>
      <c r="K26" s="10"/>
      <c r="L26" s="10"/>
      <c r="M26" s="10">
        <v>18077786.25</v>
      </c>
      <c r="N26" s="10">
        <v>18077786.25</v>
      </c>
    </row>
    <row r="27" spans="2:14" x14ac:dyDescent="0.3">
      <c r="B27" s="9" t="s">
        <v>113</v>
      </c>
      <c r="C27" s="10">
        <v>38711</v>
      </c>
      <c r="D27" s="10"/>
      <c r="E27" s="10"/>
      <c r="F27" s="10"/>
      <c r="G27" s="10"/>
      <c r="H27" s="10"/>
      <c r="I27" s="10"/>
      <c r="J27" s="10"/>
      <c r="K27" s="10"/>
      <c r="L27" s="10"/>
      <c r="M27" s="10">
        <v>38711</v>
      </c>
      <c r="N27" s="10">
        <v>38711</v>
      </c>
    </row>
    <row r="28" spans="2:14" x14ac:dyDescent="0.3">
      <c r="B28" s="9" t="s">
        <v>467</v>
      </c>
      <c r="C28" s="10">
        <v>402023</v>
      </c>
      <c r="D28" s="10"/>
      <c r="E28" s="10"/>
      <c r="F28" s="10"/>
      <c r="G28" s="10"/>
      <c r="H28" s="10">
        <v>850000</v>
      </c>
      <c r="I28" s="10">
        <v>454931.94</v>
      </c>
      <c r="J28" s="10"/>
      <c r="K28" s="10"/>
      <c r="L28" s="10"/>
      <c r="M28" s="10">
        <v>1706954.94</v>
      </c>
      <c r="N28" s="10">
        <v>1706954.94</v>
      </c>
    </row>
    <row r="29" spans="2:14" x14ac:dyDescent="0.3">
      <c r="B29" s="9" t="s">
        <v>100</v>
      </c>
      <c r="C29" s="10"/>
      <c r="D29" s="10"/>
      <c r="E29" s="10">
        <v>790277</v>
      </c>
      <c r="F29" s="10"/>
      <c r="G29" s="10"/>
      <c r="H29" s="10">
        <v>222315</v>
      </c>
      <c r="I29" s="10">
        <v>512688.77</v>
      </c>
      <c r="J29" s="10"/>
      <c r="K29" s="10"/>
      <c r="L29" s="10"/>
      <c r="M29" s="10">
        <v>1525280.77</v>
      </c>
      <c r="N29" s="10">
        <v>1525280.77</v>
      </c>
    </row>
    <row r="30" spans="2:14" x14ac:dyDescent="0.3">
      <c r="B30" s="9" t="s">
        <v>17</v>
      </c>
      <c r="C30" s="10"/>
      <c r="D30" s="10"/>
      <c r="E30" s="10"/>
      <c r="F30" s="10"/>
      <c r="G30" s="10"/>
      <c r="H30" s="10">
        <v>148778.38</v>
      </c>
      <c r="I30" s="10"/>
      <c r="J30" s="10">
        <v>775838.4</v>
      </c>
      <c r="K30" s="10"/>
      <c r="L30" s="10"/>
      <c r="M30" s="10">
        <v>924616.78</v>
      </c>
      <c r="N30" s="10">
        <v>924616.78</v>
      </c>
    </row>
    <row r="31" spans="2:14" x14ac:dyDescent="0.3">
      <c r="B31" s="9" t="s">
        <v>435</v>
      </c>
      <c r="C31" s="10"/>
      <c r="D31" s="10"/>
      <c r="E31" s="10"/>
      <c r="F31" s="10"/>
      <c r="G31" s="10"/>
      <c r="H31" s="10"/>
      <c r="I31" s="10"/>
      <c r="J31" s="10">
        <v>545740</v>
      </c>
      <c r="K31" s="10"/>
      <c r="L31" s="10"/>
      <c r="M31" s="10">
        <v>545740</v>
      </c>
      <c r="N31" s="10">
        <v>545740</v>
      </c>
    </row>
    <row r="32" spans="2:14" x14ac:dyDescent="0.3">
      <c r="B32" s="9" t="s">
        <v>445</v>
      </c>
      <c r="C32" s="10"/>
      <c r="D32" s="10"/>
      <c r="E32" s="10"/>
      <c r="F32" s="10"/>
      <c r="G32" s="10"/>
      <c r="H32" s="10">
        <v>91070.42</v>
      </c>
      <c r="I32" s="10">
        <v>241312</v>
      </c>
      <c r="J32" s="10">
        <v>331825.07999999996</v>
      </c>
      <c r="K32" s="10"/>
      <c r="L32" s="10"/>
      <c r="M32" s="10">
        <v>664207.5</v>
      </c>
      <c r="N32" s="10">
        <v>664207.5</v>
      </c>
    </row>
    <row r="33" spans="2:14" x14ac:dyDescent="0.3">
      <c r="B33" s="9" t="s">
        <v>20</v>
      </c>
      <c r="C33" s="10">
        <v>1243599</v>
      </c>
      <c r="D33" s="10"/>
      <c r="E33" s="10"/>
      <c r="F33" s="10"/>
      <c r="G33" s="10"/>
      <c r="H33" s="10">
        <v>57871</v>
      </c>
      <c r="I33" s="10"/>
      <c r="J33" s="10"/>
      <c r="K33" s="10"/>
      <c r="L33" s="10"/>
      <c r="M33" s="10">
        <v>1301470</v>
      </c>
      <c r="N33" s="10">
        <v>1301470</v>
      </c>
    </row>
    <row r="34" spans="2:14" x14ac:dyDescent="0.3">
      <c r="B34" s="9" t="s">
        <v>509</v>
      </c>
      <c r="C34" s="10">
        <v>248725.07</v>
      </c>
      <c r="D34" s="10"/>
      <c r="E34" s="10"/>
      <c r="F34" s="10"/>
      <c r="G34" s="10"/>
      <c r="H34" s="10"/>
      <c r="I34" s="10"/>
      <c r="J34" s="10"/>
      <c r="K34" s="10"/>
      <c r="L34" s="10"/>
      <c r="M34" s="10">
        <v>248725.07</v>
      </c>
      <c r="N34" s="10">
        <v>248725.07</v>
      </c>
    </row>
    <row r="35" spans="2:14" x14ac:dyDescent="0.3">
      <c r="B35" s="9" t="s">
        <v>519</v>
      </c>
      <c r="C35" s="10"/>
      <c r="D35" s="10"/>
      <c r="E35" s="10"/>
      <c r="F35" s="10"/>
      <c r="G35" s="10"/>
      <c r="H35" s="10">
        <v>1484052</v>
      </c>
      <c r="I35" s="10"/>
      <c r="J35" s="10">
        <v>419384.14</v>
      </c>
      <c r="K35" s="10"/>
      <c r="L35" s="10"/>
      <c r="M35" s="10">
        <v>1903436.1400000001</v>
      </c>
      <c r="N35" s="10">
        <v>1903436.1400000001</v>
      </c>
    </row>
    <row r="36" spans="2:14" x14ac:dyDescent="0.3">
      <c r="B36" s="9" t="s">
        <v>557</v>
      </c>
      <c r="C36" s="10"/>
      <c r="D36" s="10"/>
      <c r="E36" s="10"/>
      <c r="F36" s="10"/>
      <c r="G36" s="10"/>
      <c r="H36" s="10">
        <v>354279.56</v>
      </c>
      <c r="I36" s="10">
        <v>8364364.4900000002</v>
      </c>
      <c r="J36" s="10"/>
      <c r="K36" s="10"/>
      <c r="L36" s="10"/>
      <c r="M36" s="10">
        <v>8718644.0500000007</v>
      </c>
      <c r="N36" s="10">
        <v>8718644.0500000007</v>
      </c>
    </row>
    <row r="37" spans="2:14" x14ac:dyDescent="0.3">
      <c r="B37" s="218">
        <v>1</v>
      </c>
      <c r="C37" s="10"/>
      <c r="D37" s="10"/>
      <c r="E37" s="10"/>
      <c r="F37" s="10"/>
      <c r="G37" s="10"/>
      <c r="H37" s="10">
        <v>354279.56</v>
      </c>
      <c r="I37" s="10"/>
      <c r="J37" s="10"/>
      <c r="K37" s="10"/>
      <c r="L37" s="10"/>
      <c r="M37" s="10">
        <v>354279.56</v>
      </c>
      <c r="N37" s="10">
        <v>354279.56</v>
      </c>
    </row>
    <row r="38" spans="2:14" x14ac:dyDescent="0.3">
      <c r="B38" s="218">
        <v>2</v>
      </c>
      <c r="C38" s="10"/>
      <c r="D38" s="10"/>
      <c r="E38" s="10"/>
      <c r="F38" s="10"/>
      <c r="G38" s="10"/>
      <c r="H38" s="10"/>
      <c r="I38" s="10">
        <v>2479139</v>
      </c>
      <c r="J38" s="10"/>
      <c r="K38" s="10"/>
      <c r="L38" s="10"/>
      <c r="M38" s="10">
        <v>2479139</v>
      </c>
      <c r="N38" s="10">
        <v>2479139</v>
      </c>
    </row>
    <row r="39" spans="2:14" x14ac:dyDescent="0.3">
      <c r="B39" s="218">
        <v>3</v>
      </c>
      <c r="C39" s="10"/>
      <c r="D39" s="10"/>
      <c r="E39" s="10"/>
      <c r="F39" s="10"/>
      <c r="G39" s="10"/>
      <c r="H39" s="10"/>
      <c r="I39" s="10">
        <v>5885225.4900000002</v>
      </c>
      <c r="J39" s="10"/>
      <c r="K39" s="10"/>
      <c r="L39" s="10"/>
      <c r="M39" s="10">
        <v>5885225.4900000002</v>
      </c>
      <c r="N39" s="10">
        <v>5885225.4900000002</v>
      </c>
    </row>
    <row r="40" spans="2:14" x14ac:dyDescent="0.3">
      <c r="B40" s="9" t="s">
        <v>580</v>
      </c>
      <c r="C40" s="10"/>
      <c r="D40" s="10"/>
      <c r="E40" s="10"/>
      <c r="F40" s="10"/>
      <c r="G40" s="10"/>
      <c r="H40" s="10"/>
      <c r="I40" s="10"/>
      <c r="J40" s="10">
        <v>500000</v>
      </c>
      <c r="K40" s="10"/>
      <c r="L40" s="10"/>
      <c r="M40" s="10">
        <v>500000</v>
      </c>
      <c r="N40" s="10">
        <v>500000</v>
      </c>
    </row>
    <row r="41" spans="2:14" x14ac:dyDescent="0.3">
      <c r="B41" s="218">
        <v>1</v>
      </c>
      <c r="C41" s="10"/>
      <c r="D41" s="10"/>
      <c r="E41" s="10"/>
      <c r="F41" s="10"/>
      <c r="G41" s="10"/>
      <c r="H41" s="10"/>
      <c r="I41" s="10"/>
      <c r="J41" s="10">
        <v>500000</v>
      </c>
      <c r="K41" s="10"/>
      <c r="L41" s="10"/>
      <c r="M41" s="10">
        <v>500000</v>
      </c>
      <c r="N41" s="10">
        <v>500000</v>
      </c>
    </row>
    <row r="42" spans="2:14" x14ac:dyDescent="0.3">
      <c r="B42" s="8" t="s">
        <v>85</v>
      </c>
      <c r="C42" s="10">
        <v>7533003.8350000009</v>
      </c>
      <c r="D42" s="10">
        <v>2493217.5970000001</v>
      </c>
      <c r="E42" s="10">
        <v>3239646.43</v>
      </c>
      <c r="F42" s="10">
        <v>2794773.7</v>
      </c>
      <c r="G42" s="10">
        <v>4614671.09</v>
      </c>
      <c r="H42" s="10">
        <v>4234162.9899999993</v>
      </c>
      <c r="I42" s="10">
        <v>13903239.59</v>
      </c>
      <c r="J42" s="10">
        <v>3816153.9355000001</v>
      </c>
      <c r="K42" s="10">
        <v>347577</v>
      </c>
      <c r="L42" s="10">
        <v>136520</v>
      </c>
      <c r="M42" s="10">
        <v>43112966.167500004</v>
      </c>
      <c r="N42" s="10">
        <v>43112966.167500004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78D4-5CA3-44FF-A08C-B616CAA76112}">
  <sheetPr codeName="Hoja5"/>
  <dimension ref="A1:DQ130"/>
  <sheetViews>
    <sheetView showGridLines="0" zoomScale="80" zoomScaleNormal="80" workbookViewId="0">
      <pane xSplit="2" ySplit="9" topLeftCell="E30" activePane="bottomRight" state="frozen"/>
      <selection pane="topRight" activeCell="C1" sqref="C1"/>
      <selection pane="bottomLeft" activeCell="A12" sqref="A12"/>
      <selection pane="bottomRight" activeCell="L37" sqref="L37"/>
    </sheetView>
  </sheetViews>
  <sheetFormatPr baseColWidth="10" defaultRowHeight="14.5" x14ac:dyDescent="0.35"/>
  <cols>
    <col min="1" max="1" width="1.5" style="226" customWidth="1"/>
    <col min="2" max="2" width="34.5" style="226" customWidth="1"/>
    <col min="3" max="8" width="10.58203125" style="231" customWidth="1"/>
    <col min="9" max="9" width="11.25" style="231" customWidth="1"/>
    <col min="10" max="10" width="11.25" style="226" customWidth="1"/>
    <col min="11" max="11" width="15.83203125" style="226" customWidth="1"/>
    <col min="12" max="12" width="10.58203125" style="226" customWidth="1"/>
    <col min="13" max="14" width="11.9140625" style="226" customWidth="1"/>
    <col min="15" max="15" width="1.58203125" style="226" customWidth="1"/>
    <col min="16" max="16" width="11.6640625" style="226" bestFit="1" customWidth="1"/>
    <col min="17" max="18" width="10.6640625" style="226" bestFit="1" customWidth="1"/>
    <col min="19" max="19" width="8.9140625" style="226" bestFit="1" customWidth="1"/>
    <col min="20" max="20" width="10.6640625" style="226" bestFit="1" customWidth="1"/>
    <col min="21" max="21" width="9.58203125" style="226" bestFit="1" customWidth="1"/>
    <col min="22" max="27" width="8.9140625" style="226" bestFit="1" customWidth="1"/>
    <col min="28" max="28" width="10.6640625" style="226" bestFit="1" customWidth="1"/>
    <col min="29" max="29" width="15.58203125" style="226" bestFit="1" customWidth="1"/>
    <col min="30" max="30" width="12.4140625" style="226" bestFit="1" customWidth="1"/>
    <col min="31" max="31" width="10.4140625" style="226" bestFit="1" customWidth="1"/>
    <col min="32" max="32" width="15.08203125" style="226" bestFit="1" customWidth="1"/>
    <col min="33" max="33" width="12.08203125" style="226" bestFit="1" customWidth="1"/>
    <col min="34" max="34" width="14.6640625" style="226" bestFit="1" customWidth="1"/>
    <col min="35" max="35" width="13.6640625" style="226" bestFit="1" customWidth="1"/>
    <col min="36" max="36" width="16.5" style="226" bestFit="1" customWidth="1"/>
    <col min="37" max="37" width="10" style="226" bestFit="1" customWidth="1"/>
    <col min="38" max="38" width="10.1640625" style="226" bestFit="1" customWidth="1"/>
    <col min="39" max="39" width="12.1640625" style="226" bestFit="1" customWidth="1"/>
    <col min="40" max="40" width="18.08203125" style="226" bestFit="1" customWidth="1"/>
    <col min="41" max="41" width="13.6640625" style="226" bestFit="1" customWidth="1"/>
    <col min="42" max="42" width="10" style="226" bestFit="1" customWidth="1"/>
    <col min="43" max="43" width="16.5" style="226" bestFit="1" customWidth="1"/>
    <col min="44" max="44" width="17.4140625" style="226" bestFit="1" customWidth="1"/>
    <col min="45" max="45" width="13.58203125" style="226" bestFit="1" customWidth="1"/>
    <col min="46" max="46" width="4.9140625" style="226" bestFit="1" customWidth="1"/>
    <col min="47" max="47" width="10" style="226" bestFit="1" customWidth="1"/>
    <col min="48" max="48" width="4.9140625" style="226" bestFit="1" customWidth="1"/>
    <col min="49" max="49" width="18.6640625" style="226" bestFit="1" customWidth="1"/>
    <col min="50" max="50" width="16.08203125" style="226" bestFit="1" customWidth="1"/>
    <col min="51" max="51" width="18.5" style="226" bestFit="1" customWidth="1"/>
    <col min="52" max="52" width="4.9140625" style="226" bestFit="1" customWidth="1"/>
    <col min="53" max="53" width="23.6640625" style="226" bestFit="1" customWidth="1"/>
    <col min="54" max="54" width="21" style="226" bestFit="1" customWidth="1"/>
    <col min="55" max="55" width="13.5" style="226" bestFit="1" customWidth="1"/>
    <col min="56" max="56" width="5.4140625" style="226" bestFit="1" customWidth="1"/>
    <col min="57" max="57" width="8.9140625" style="226" bestFit="1" customWidth="1"/>
    <col min="58" max="58" width="7.4140625" style="226" bestFit="1" customWidth="1"/>
    <col min="59" max="59" width="10" style="226" bestFit="1" customWidth="1"/>
    <col min="60" max="60" width="6.4140625" style="226" bestFit="1" customWidth="1"/>
    <col min="61" max="61" width="9.6640625" style="226" bestFit="1" customWidth="1"/>
    <col min="62" max="62" width="7.4140625" style="226" bestFit="1" customWidth="1"/>
    <col min="63" max="63" width="18.58203125" style="226" bestFit="1" customWidth="1"/>
    <col min="64" max="64" width="16" style="226" bestFit="1" customWidth="1"/>
    <col min="65" max="16384" width="10.6640625" style="226"/>
  </cols>
  <sheetData>
    <row r="1" spans="1:121" ht="28.25" customHeight="1" x14ac:dyDescent="0.35"/>
    <row r="5" spans="1:121" x14ac:dyDescent="0.35">
      <c r="B5"/>
      <c r="C5" s="232"/>
    </row>
    <row r="6" spans="1:121" ht="35" customHeight="1" x14ac:dyDescent="0.55000000000000004">
      <c r="C6" s="228" t="s">
        <v>114</v>
      </c>
    </row>
    <row r="7" spans="1:121" x14ac:dyDescent="0.35">
      <c r="B7" s="227" t="s">
        <v>571</v>
      </c>
      <c r="C7" s="233" t="s">
        <v>115</v>
      </c>
      <c r="J7" s="231"/>
      <c r="K7" s="231"/>
      <c r="L7" s="231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</row>
    <row r="8" spans="1:121" x14ac:dyDescent="0.35">
      <c r="B8" s="227" t="s">
        <v>116</v>
      </c>
      <c r="C8" s="226" t="s">
        <v>590</v>
      </c>
      <c r="D8" s="226" t="s">
        <v>537</v>
      </c>
      <c r="E8" s="226" t="s">
        <v>538</v>
      </c>
      <c r="F8" s="226" t="s">
        <v>530</v>
      </c>
      <c r="G8" s="226" t="s">
        <v>539</v>
      </c>
      <c r="H8" s="226" t="s">
        <v>551</v>
      </c>
      <c r="I8" s="226" t="s">
        <v>555</v>
      </c>
      <c r="J8" s="226" t="s">
        <v>569</v>
      </c>
      <c r="K8" s="226" t="s">
        <v>577</v>
      </c>
      <c r="L8" s="226" t="s">
        <v>85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</row>
    <row r="9" spans="1:121" s="231" customFormat="1" x14ac:dyDescent="0.35">
      <c r="B9" s="229" t="s">
        <v>21</v>
      </c>
      <c r="C9" s="230"/>
      <c r="D9" s="230"/>
      <c r="E9" s="230"/>
      <c r="F9" s="230">
        <v>9157</v>
      </c>
      <c r="G9" s="230"/>
      <c r="H9" s="230"/>
      <c r="I9" s="230"/>
      <c r="J9" s="230"/>
      <c r="K9" s="230"/>
      <c r="L9" s="230">
        <v>9157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</row>
    <row r="10" spans="1:121" s="231" customFormat="1" x14ac:dyDescent="0.35">
      <c r="B10" s="229" t="s">
        <v>113</v>
      </c>
      <c r="C10" s="230"/>
      <c r="D10" s="230">
        <v>137271</v>
      </c>
      <c r="E10" s="230">
        <v>73464</v>
      </c>
      <c r="F10" s="230"/>
      <c r="G10" s="230"/>
      <c r="H10" s="230"/>
      <c r="I10" s="230"/>
      <c r="J10" s="230"/>
      <c r="K10" s="230"/>
      <c r="L10" s="230">
        <v>210735</v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</row>
    <row r="11" spans="1:121" s="231" customFormat="1" x14ac:dyDescent="0.35">
      <c r="A11" s="226" t="s">
        <v>87</v>
      </c>
      <c r="B11" s="229" t="s">
        <v>467</v>
      </c>
      <c r="C11" s="230"/>
      <c r="D11" s="230">
        <v>769022.02</v>
      </c>
      <c r="E11" s="230"/>
      <c r="F11" s="230"/>
      <c r="G11" s="230"/>
      <c r="H11" s="230">
        <v>476204.81</v>
      </c>
      <c r="I11" s="230">
        <v>951730.92</v>
      </c>
      <c r="J11" s="230">
        <v>1044741.6699999999</v>
      </c>
      <c r="K11" s="230">
        <v>279646.91000000003</v>
      </c>
      <c r="L11" s="230">
        <v>3521346.33</v>
      </c>
      <c r="M11" s="226"/>
      <c r="N11" s="226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</row>
    <row r="12" spans="1:121" s="231" customFormat="1" x14ac:dyDescent="0.35">
      <c r="A12" s="226"/>
      <c r="B12" s="229" t="s">
        <v>100</v>
      </c>
      <c r="C12" s="230"/>
      <c r="D12" s="230"/>
      <c r="E12" s="230">
        <v>1118303</v>
      </c>
      <c r="F12" s="230">
        <v>1004188</v>
      </c>
      <c r="G12" s="230">
        <v>535856.26</v>
      </c>
      <c r="H12" s="230">
        <v>1174049.3799999999</v>
      </c>
      <c r="I12" s="230">
        <v>320700</v>
      </c>
      <c r="J12" s="230">
        <v>380152.77</v>
      </c>
      <c r="K12" s="230"/>
      <c r="L12" s="230">
        <v>4533249.41</v>
      </c>
      <c r="M12" s="226"/>
      <c r="N12" s="226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</row>
    <row r="13" spans="1:121" x14ac:dyDescent="0.35">
      <c r="B13" s="229" t="s">
        <v>17</v>
      </c>
      <c r="C13" s="230"/>
      <c r="D13" s="230">
        <v>2776652.395</v>
      </c>
      <c r="E13" s="230">
        <v>204639.421</v>
      </c>
      <c r="F13" s="230">
        <v>1509451.31</v>
      </c>
      <c r="G13" s="230">
        <v>420684.72</v>
      </c>
      <c r="H13" s="230">
        <v>49308</v>
      </c>
      <c r="I13" s="230">
        <v>503307.38</v>
      </c>
      <c r="J13" s="230">
        <v>140778</v>
      </c>
      <c r="K13" s="230">
        <v>846227.32000000007</v>
      </c>
      <c r="L13" s="230">
        <v>6451048.5460000001</v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</row>
    <row r="14" spans="1:121" x14ac:dyDescent="0.35">
      <c r="B14" s="229" t="s">
        <v>16</v>
      </c>
      <c r="C14" s="230"/>
      <c r="D14" s="230"/>
      <c r="E14" s="230">
        <v>52286</v>
      </c>
      <c r="F14" s="230">
        <v>133629.1</v>
      </c>
      <c r="G14" s="230"/>
      <c r="H14" s="230">
        <v>370311.59</v>
      </c>
      <c r="I14" s="230">
        <v>30928.1</v>
      </c>
      <c r="J14" s="230">
        <v>21949.55</v>
      </c>
      <c r="K14" s="230">
        <v>144026.23550000001</v>
      </c>
      <c r="L14" s="230">
        <v>753130.57550000004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</row>
    <row r="15" spans="1:121" x14ac:dyDescent="0.35">
      <c r="B15" s="229" t="s">
        <v>241</v>
      </c>
      <c r="C15" s="230"/>
      <c r="D15" s="230">
        <v>602683.17600000009</v>
      </c>
      <c r="E15" s="230">
        <v>287717.01</v>
      </c>
      <c r="F15" s="230"/>
      <c r="G15" s="230"/>
      <c r="H15" s="230"/>
      <c r="I15" s="230"/>
      <c r="J15" s="230"/>
      <c r="K15" s="230"/>
      <c r="L15" s="230">
        <v>890400.1860000001</v>
      </c>
    </row>
    <row r="16" spans="1:121" x14ac:dyDescent="0.35">
      <c r="B16" s="229" t="s">
        <v>19</v>
      </c>
      <c r="C16" s="230"/>
      <c r="D16" s="230"/>
      <c r="E16" s="230">
        <v>57343.17</v>
      </c>
      <c r="F16" s="230"/>
      <c r="G16" s="230"/>
      <c r="H16" s="230"/>
      <c r="I16" s="230"/>
      <c r="J16" s="230"/>
      <c r="K16" s="230"/>
      <c r="L16" s="230">
        <v>57343.17</v>
      </c>
    </row>
    <row r="17" spans="2:14" x14ac:dyDescent="0.35">
      <c r="B17" s="229" t="s">
        <v>435</v>
      </c>
      <c r="C17" s="230"/>
      <c r="D17" s="230"/>
      <c r="E17" s="230">
        <v>169414</v>
      </c>
      <c r="F17" s="230">
        <v>30393</v>
      </c>
      <c r="G17" s="230">
        <v>670690.91</v>
      </c>
      <c r="H17" s="230">
        <v>38990</v>
      </c>
      <c r="I17" s="230">
        <v>465222.92</v>
      </c>
      <c r="J17" s="230">
        <v>171201.14</v>
      </c>
      <c r="K17" s="230">
        <v>562499.96</v>
      </c>
      <c r="L17" s="230">
        <v>2108411.9300000002</v>
      </c>
    </row>
    <row r="18" spans="2:14" x14ac:dyDescent="0.35">
      <c r="B18" s="229" t="s">
        <v>445</v>
      </c>
      <c r="C18" s="230">
        <v>119300.42000000001</v>
      </c>
      <c r="D18" s="230">
        <v>279475.74</v>
      </c>
      <c r="E18" s="230">
        <v>295844.02</v>
      </c>
      <c r="F18" s="230">
        <v>261732.96000000002</v>
      </c>
      <c r="G18" s="230">
        <v>598791.35800000001</v>
      </c>
      <c r="H18" s="230">
        <v>379054.93</v>
      </c>
      <c r="I18" s="230">
        <v>353823.07</v>
      </c>
      <c r="J18" s="230">
        <v>484368.20999999996</v>
      </c>
      <c r="K18" s="230">
        <v>653099.01</v>
      </c>
      <c r="L18" s="230">
        <v>3425489.7180000003</v>
      </c>
    </row>
    <row r="19" spans="2:14" x14ac:dyDescent="0.35">
      <c r="B19" s="229" t="s">
        <v>20</v>
      </c>
      <c r="C19" s="230"/>
      <c r="D19" s="230">
        <v>2541951</v>
      </c>
      <c r="E19" s="230">
        <v>26168</v>
      </c>
      <c r="F19" s="230">
        <v>50000</v>
      </c>
      <c r="G19" s="230">
        <v>26471</v>
      </c>
      <c r="H19" s="230">
        <v>604080</v>
      </c>
      <c r="I19" s="230">
        <v>77871</v>
      </c>
      <c r="J19" s="230">
        <v>1686739</v>
      </c>
      <c r="K19" s="230">
        <v>213496</v>
      </c>
      <c r="L19" s="230">
        <v>5226776</v>
      </c>
    </row>
    <row r="20" spans="2:14" x14ac:dyDescent="0.35">
      <c r="B20" s="229" t="s">
        <v>499</v>
      </c>
      <c r="C20" s="230"/>
      <c r="D20" s="230"/>
      <c r="E20" s="230"/>
      <c r="F20" s="230"/>
      <c r="G20" s="230">
        <v>103357.45</v>
      </c>
      <c r="H20" s="230"/>
      <c r="I20" s="230"/>
      <c r="J20" s="230">
        <v>211298.78</v>
      </c>
      <c r="K20" s="230">
        <v>529691.91</v>
      </c>
      <c r="L20" s="230">
        <v>844348.14</v>
      </c>
    </row>
    <row r="21" spans="2:14" x14ac:dyDescent="0.35">
      <c r="B21" s="229" t="s">
        <v>509</v>
      </c>
      <c r="C21" s="230"/>
      <c r="D21" s="230">
        <v>287075.25999999995</v>
      </c>
      <c r="E21" s="230"/>
      <c r="F21" s="230"/>
      <c r="G21" s="230"/>
      <c r="H21" s="230"/>
      <c r="I21" s="230"/>
      <c r="J21" s="230"/>
      <c r="K21" s="230"/>
      <c r="L21" s="230">
        <v>287075.25999999995</v>
      </c>
    </row>
    <row r="22" spans="2:14" x14ac:dyDescent="0.35">
      <c r="B22" s="229" t="s">
        <v>519</v>
      </c>
      <c r="C22" s="230"/>
      <c r="D22" s="230"/>
      <c r="E22" s="230">
        <v>130755.15</v>
      </c>
      <c r="F22" s="230">
        <v>441251.14999999997</v>
      </c>
      <c r="G22" s="230">
        <v>470590.62</v>
      </c>
      <c r="H22" s="230">
        <v>1852319.625</v>
      </c>
      <c r="I22" s="230">
        <v>2024147.26</v>
      </c>
      <c r="J22" s="230">
        <v>1009225.3200000001</v>
      </c>
      <c r="K22" s="230">
        <v>721769.93</v>
      </c>
      <c r="L22" s="230">
        <v>6650059.0549999997</v>
      </c>
    </row>
    <row r="23" spans="2:14" x14ac:dyDescent="0.35">
      <c r="B23" s="229" t="s">
        <v>557</v>
      </c>
      <c r="C23" s="230"/>
      <c r="D23" s="230"/>
      <c r="E23" s="230"/>
      <c r="F23" s="230"/>
      <c r="G23" s="230"/>
      <c r="H23" s="230"/>
      <c r="I23" s="230">
        <v>5679255.2599999998</v>
      </c>
      <c r="J23" s="230">
        <v>3039388.79</v>
      </c>
      <c r="K23" s="230"/>
      <c r="L23" s="230">
        <v>8718644.0500000007</v>
      </c>
    </row>
    <row r="24" spans="2:14" x14ac:dyDescent="0.35">
      <c r="B24" s="229" t="s">
        <v>566</v>
      </c>
      <c r="C24" s="230"/>
      <c r="D24" s="230"/>
      <c r="E24" s="230"/>
      <c r="F24" s="230"/>
      <c r="G24" s="230"/>
      <c r="H24" s="230"/>
      <c r="I24" s="230">
        <v>96032</v>
      </c>
      <c r="J24" s="230">
        <v>34040</v>
      </c>
      <c r="K24" s="230"/>
      <c r="L24" s="230">
        <v>130072</v>
      </c>
    </row>
    <row r="25" spans="2:14" x14ac:dyDescent="0.35">
      <c r="B25" s="229" t="s">
        <v>578</v>
      </c>
      <c r="C25" s="230"/>
      <c r="D25" s="230"/>
      <c r="E25" s="230"/>
      <c r="F25" s="230"/>
      <c r="G25" s="230"/>
      <c r="H25" s="230"/>
      <c r="I25" s="230"/>
      <c r="J25" s="230"/>
      <c r="K25" s="230">
        <v>4200</v>
      </c>
      <c r="L25" s="230">
        <v>4200</v>
      </c>
    </row>
    <row r="26" spans="2:14" x14ac:dyDescent="0.35">
      <c r="B26" s="229" t="s">
        <v>580</v>
      </c>
      <c r="C26" s="230"/>
      <c r="D26" s="230"/>
      <c r="E26" s="230"/>
      <c r="F26" s="230"/>
      <c r="G26" s="230"/>
      <c r="H26" s="230"/>
      <c r="I26" s="230"/>
      <c r="J26" s="230"/>
      <c r="K26" s="230">
        <v>762889.96</v>
      </c>
      <c r="L26" s="230">
        <v>762889.96</v>
      </c>
    </row>
    <row r="27" spans="2:14" x14ac:dyDescent="0.35">
      <c r="B27" s="229" t="s">
        <v>85</v>
      </c>
      <c r="C27" s="230">
        <v>119300.42000000001</v>
      </c>
      <c r="D27" s="230">
        <v>7394130.591</v>
      </c>
      <c r="E27" s="230">
        <v>2415933.7710000002</v>
      </c>
      <c r="F27" s="230">
        <v>3439802.52</v>
      </c>
      <c r="G27" s="230">
        <v>2826442.3180000004</v>
      </c>
      <c r="H27" s="230">
        <v>4944318.3350000009</v>
      </c>
      <c r="I27" s="230">
        <v>10503017.91</v>
      </c>
      <c r="J27" s="230">
        <v>8223883.2299999995</v>
      </c>
      <c r="K27" s="230">
        <v>4717547.2355000004</v>
      </c>
      <c r="L27" s="230">
        <v>44584376.330499999</v>
      </c>
    </row>
    <row r="28" spans="2:14" x14ac:dyDescent="0.35">
      <c r="B28"/>
      <c r="C28"/>
      <c r="D28"/>
      <c r="E28"/>
      <c r="F28"/>
      <c r="G28"/>
      <c r="H28"/>
      <c r="I28"/>
      <c r="J28"/>
      <c r="K28"/>
    </row>
    <row r="29" spans="2:14" x14ac:dyDescent="0.35">
      <c r="B29"/>
      <c r="C29"/>
      <c r="D29"/>
      <c r="E29"/>
      <c r="F29"/>
      <c r="G29"/>
      <c r="H29"/>
      <c r="I29"/>
      <c r="J29"/>
      <c r="K29"/>
    </row>
    <row r="30" spans="2:14" x14ac:dyDescent="0.35">
      <c r="B30"/>
      <c r="C30"/>
      <c r="D30"/>
      <c r="E30"/>
      <c r="F30"/>
      <c r="G30"/>
      <c r="H30"/>
      <c r="I30"/>
      <c r="J30"/>
      <c r="K30"/>
    </row>
    <row r="31" spans="2:14" x14ac:dyDescent="0.35">
      <c r="B31"/>
      <c r="C31"/>
      <c r="D31"/>
      <c r="E31"/>
      <c r="F31"/>
      <c r="G31"/>
      <c r="H31"/>
      <c r="I31"/>
      <c r="J31"/>
      <c r="K31"/>
    </row>
    <row r="32" spans="2:14" x14ac:dyDescent="0.35">
      <c r="B32"/>
      <c r="C32"/>
      <c r="D32"/>
      <c r="E32"/>
      <c r="F32"/>
      <c r="G32"/>
      <c r="H32"/>
      <c r="I32"/>
      <c r="J32"/>
      <c r="K32"/>
      <c r="N32" s="226">
        <v>1635285.03</v>
      </c>
    </row>
    <row r="33" spans="2:16" x14ac:dyDescent="0.35">
      <c r="B33"/>
      <c r="C33"/>
      <c r="D33"/>
      <c r="E33"/>
      <c r="F33"/>
      <c r="G33"/>
      <c r="H33"/>
      <c r="I33"/>
      <c r="J33"/>
      <c r="K33"/>
      <c r="N33" s="226">
        <v>1299644.6200000001</v>
      </c>
      <c r="P33" s="251">
        <f>+N32*P34</f>
        <v>1105869.350905644</v>
      </c>
    </row>
    <row r="34" spans="2:16" x14ac:dyDescent="0.35">
      <c r="B34"/>
      <c r="C34"/>
      <c r="D34"/>
      <c r="E34"/>
      <c r="F34"/>
      <c r="G34"/>
      <c r="H34"/>
      <c r="I34"/>
      <c r="J34"/>
      <c r="N34" s="250">
        <f>+N33/N32</f>
        <v>0.79475112665832948</v>
      </c>
      <c r="P34" s="248">
        <v>0.67625480000000004</v>
      </c>
    </row>
    <row r="35" spans="2:16" x14ac:dyDescent="0.35">
      <c r="B35"/>
      <c r="C35"/>
      <c r="D35"/>
      <c r="E35"/>
      <c r="F35"/>
      <c r="G35"/>
      <c r="H35"/>
      <c r="I35"/>
      <c r="J35"/>
    </row>
    <row r="36" spans="2:16" x14ac:dyDescent="0.35">
      <c r="B36"/>
      <c r="C36"/>
      <c r="D36"/>
      <c r="E36"/>
      <c r="F36"/>
      <c r="G36"/>
      <c r="H36"/>
      <c r="I36"/>
      <c r="J36"/>
      <c r="N36" s="226">
        <v>314049</v>
      </c>
      <c r="P36" s="226">
        <f>+N36</f>
        <v>314049</v>
      </c>
    </row>
    <row r="37" spans="2:16" x14ac:dyDescent="0.35">
      <c r="B37"/>
      <c r="C37"/>
      <c r="D37"/>
      <c r="E37"/>
      <c r="F37"/>
      <c r="G37"/>
      <c r="H37"/>
      <c r="I37"/>
      <c r="J37"/>
      <c r="N37" s="248">
        <f>+N36/N32</f>
        <v>0.19204541975168696</v>
      </c>
    </row>
    <row r="38" spans="2:16" x14ac:dyDescent="0.35">
      <c r="B38"/>
      <c r="C38"/>
      <c r="D38"/>
      <c r="E38"/>
      <c r="F38"/>
      <c r="G38"/>
      <c r="H38"/>
      <c r="I38"/>
      <c r="J38"/>
    </row>
    <row r="39" spans="2:16" x14ac:dyDescent="0.35">
      <c r="B39"/>
      <c r="C39"/>
      <c r="D39"/>
      <c r="E39"/>
      <c r="F39"/>
      <c r="G39"/>
      <c r="H39"/>
      <c r="I39"/>
      <c r="J39"/>
      <c r="N39" s="226">
        <v>21591.41</v>
      </c>
      <c r="P39" s="252">
        <f>+N32-P33-P36</f>
        <v>215366.67909435602</v>
      </c>
    </row>
    <row r="40" spans="2:16" x14ac:dyDescent="0.35">
      <c r="B40"/>
      <c r="C40"/>
      <c r="D40"/>
      <c r="E40"/>
      <c r="F40"/>
      <c r="G40"/>
      <c r="H40"/>
      <c r="I40"/>
      <c r="J40"/>
      <c r="N40" s="249">
        <f>+N39/N32</f>
        <v>1.3203453589983637E-2</v>
      </c>
      <c r="P40" s="250">
        <f>+P39/N32</f>
        <v>0.13169978024831305</v>
      </c>
    </row>
    <row r="41" spans="2:16" x14ac:dyDescent="0.35">
      <c r="B41"/>
      <c r="C41"/>
      <c r="D41"/>
      <c r="E41"/>
      <c r="F41"/>
      <c r="G41"/>
      <c r="H41"/>
      <c r="I41"/>
      <c r="J41"/>
    </row>
    <row r="42" spans="2:16" x14ac:dyDescent="0.35">
      <c r="B42"/>
      <c r="C42"/>
      <c r="D42"/>
      <c r="E42"/>
      <c r="F42"/>
      <c r="G42"/>
      <c r="H42"/>
      <c r="I42"/>
      <c r="J42"/>
    </row>
    <row r="43" spans="2:16" x14ac:dyDescent="0.35">
      <c r="B43"/>
      <c r="C43"/>
      <c r="D43"/>
      <c r="E43"/>
      <c r="F43"/>
      <c r="G43"/>
      <c r="H43"/>
      <c r="I43"/>
      <c r="J43"/>
    </row>
    <row r="44" spans="2:16" x14ac:dyDescent="0.35">
      <c r="B44"/>
      <c r="C44"/>
      <c r="D44"/>
      <c r="E44"/>
      <c r="F44"/>
      <c r="G44"/>
      <c r="H44"/>
      <c r="I44"/>
      <c r="J44"/>
    </row>
    <row r="45" spans="2:16" x14ac:dyDescent="0.35">
      <c r="B45"/>
      <c r="C45"/>
      <c r="D45"/>
      <c r="E45"/>
      <c r="F45"/>
      <c r="G45"/>
      <c r="H45"/>
      <c r="I45"/>
      <c r="J45"/>
    </row>
    <row r="46" spans="2:16" x14ac:dyDescent="0.35">
      <c r="B46"/>
      <c r="C46"/>
      <c r="D46"/>
      <c r="E46"/>
      <c r="F46"/>
      <c r="G46"/>
      <c r="H46"/>
      <c r="I46"/>
      <c r="J46"/>
    </row>
    <row r="47" spans="2:16" x14ac:dyDescent="0.35">
      <c r="B47"/>
      <c r="C47"/>
      <c r="D47"/>
      <c r="E47"/>
      <c r="F47"/>
      <c r="G47"/>
      <c r="H47"/>
      <c r="I47"/>
      <c r="J47"/>
    </row>
    <row r="48" spans="2:16" x14ac:dyDescent="0.35">
      <c r="B48"/>
      <c r="C48"/>
      <c r="D48"/>
      <c r="E48"/>
      <c r="F48"/>
      <c r="G48"/>
      <c r="H48"/>
      <c r="I48"/>
      <c r="J48"/>
    </row>
    <row r="49" spans="2:10" x14ac:dyDescent="0.35">
      <c r="B49"/>
      <c r="C49"/>
      <c r="D49"/>
      <c r="E49"/>
      <c r="F49"/>
      <c r="G49"/>
      <c r="H49"/>
      <c r="I49"/>
      <c r="J49"/>
    </row>
    <row r="50" spans="2:10" x14ac:dyDescent="0.35">
      <c r="B50"/>
      <c r="C50"/>
      <c r="D50"/>
      <c r="E50"/>
      <c r="F50"/>
      <c r="G50"/>
      <c r="H50"/>
      <c r="I50"/>
      <c r="J50"/>
    </row>
    <row r="51" spans="2:10" x14ac:dyDescent="0.35">
      <c r="B51"/>
      <c r="C51"/>
      <c r="D51"/>
      <c r="E51"/>
      <c r="F51"/>
      <c r="G51"/>
      <c r="H51"/>
      <c r="I51"/>
      <c r="J51"/>
    </row>
    <row r="52" spans="2:10" x14ac:dyDescent="0.35">
      <c r="B52"/>
      <c r="C52"/>
      <c r="D52"/>
      <c r="E52"/>
      <c r="F52"/>
      <c r="G52"/>
      <c r="H52"/>
      <c r="I52"/>
      <c r="J52"/>
    </row>
    <row r="53" spans="2:10" x14ac:dyDescent="0.35">
      <c r="B53"/>
      <c r="C53"/>
      <c r="D53"/>
      <c r="E53"/>
      <c r="F53"/>
      <c r="G53"/>
      <c r="H53"/>
      <c r="I53"/>
      <c r="J53"/>
    </row>
    <row r="54" spans="2:10" x14ac:dyDescent="0.35">
      <c r="B54"/>
      <c r="C54"/>
      <c r="D54"/>
      <c r="E54"/>
      <c r="F54"/>
      <c r="G54"/>
      <c r="H54"/>
      <c r="I54"/>
      <c r="J54"/>
    </row>
    <row r="55" spans="2:10" x14ac:dyDescent="0.35">
      <c r="B55"/>
      <c r="C55"/>
      <c r="D55"/>
      <c r="E55"/>
      <c r="F55"/>
      <c r="G55"/>
      <c r="H55"/>
      <c r="I55"/>
      <c r="J55"/>
    </row>
    <row r="56" spans="2:10" x14ac:dyDescent="0.35">
      <c r="B56"/>
      <c r="C56"/>
      <c r="D56"/>
      <c r="E56"/>
      <c r="F56"/>
      <c r="G56"/>
      <c r="H56"/>
      <c r="I56"/>
      <c r="J56"/>
    </row>
    <row r="57" spans="2:10" x14ac:dyDescent="0.35">
      <c r="B57"/>
      <c r="C57"/>
      <c r="D57"/>
      <c r="E57"/>
      <c r="F57"/>
      <c r="G57"/>
      <c r="H57"/>
      <c r="I57"/>
      <c r="J57"/>
    </row>
    <row r="58" spans="2:10" x14ac:dyDescent="0.35">
      <c r="B58"/>
      <c r="C58"/>
      <c r="D58"/>
      <c r="E58"/>
      <c r="F58"/>
      <c r="G58"/>
      <c r="H58"/>
      <c r="I58"/>
      <c r="J58"/>
    </row>
    <row r="59" spans="2:10" x14ac:dyDescent="0.35">
      <c r="B59"/>
      <c r="C59"/>
      <c r="D59"/>
      <c r="E59"/>
      <c r="F59"/>
      <c r="G59"/>
      <c r="H59"/>
      <c r="I59"/>
      <c r="J59"/>
    </row>
    <row r="60" spans="2:10" x14ac:dyDescent="0.35">
      <c r="B60"/>
      <c r="C60"/>
      <c r="D60"/>
      <c r="E60"/>
      <c r="F60"/>
      <c r="G60"/>
      <c r="H60"/>
      <c r="I60"/>
      <c r="J60"/>
    </row>
    <row r="61" spans="2:10" x14ac:dyDescent="0.35">
      <c r="B61"/>
      <c r="C61"/>
      <c r="D61"/>
      <c r="E61"/>
      <c r="F61"/>
      <c r="G61"/>
      <c r="H61"/>
      <c r="I61"/>
      <c r="J61"/>
    </row>
    <row r="62" spans="2:10" x14ac:dyDescent="0.35">
      <c r="B62"/>
      <c r="C62"/>
      <c r="D62"/>
      <c r="E62"/>
      <c r="F62"/>
      <c r="G62"/>
      <c r="H62"/>
      <c r="I62"/>
      <c r="J62"/>
    </row>
    <row r="63" spans="2:10" x14ac:dyDescent="0.35">
      <c r="B63"/>
      <c r="C63"/>
      <c r="D63"/>
      <c r="E63"/>
      <c r="F63"/>
      <c r="G63"/>
      <c r="H63"/>
      <c r="I63"/>
      <c r="J63"/>
    </row>
    <row r="64" spans="2:10" x14ac:dyDescent="0.35">
      <c r="B64"/>
      <c r="C64"/>
      <c r="D64"/>
      <c r="E64"/>
      <c r="F64"/>
      <c r="G64"/>
      <c r="H64"/>
      <c r="I64"/>
      <c r="J64"/>
    </row>
    <row r="65" spans="2:10" x14ac:dyDescent="0.35">
      <c r="B65"/>
      <c r="C65"/>
      <c r="D65"/>
      <c r="E65"/>
      <c r="F65"/>
      <c r="G65"/>
      <c r="H65"/>
      <c r="I65"/>
      <c r="J65"/>
    </row>
    <row r="66" spans="2:10" x14ac:dyDescent="0.35">
      <c r="B66"/>
      <c r="C66"/>
      <c r="D66"/>
      <c r="E66"/>
      <c r="F66"/>
      <c r="G66"/>
      <c r="H66"/>
      <c r="I66"/>
      <c r="J66"/>
    </row>
    <row r="67" spans="2:10" x14ac:dyDescent="0.35">
      <c r="B67"/>
      <c r="C67"/>
      <c r="D67"/>
      <c r="E67"/>
      <c r="F67"/>
      <c r="G67"/>
      <c r="H67"/>
      <c r="I67"/>
      <c r="J67"/>
    </row>
    <row r="68" spans="2:10" x14ac:dyDescent="0.35">
      <c r="B68"/>
      <c r="C68"/>
      <c r="D68"/>
      <c r="E68"/>
      <c r="F68"/>
      <c r="G68"/>
      <c r="H68"/>
      <c r="I68"/>
      <c r="J68"/>
    </row>
    <row r="69" spans="2:10" x14ac:dyDescent="0.35">
      <c r="B69"/>
      <c r="C69"/>
      <c r="D69"/>
      <c r="E69"/>
      <c r="F69"/>
      <c r="G69"/>
      <c r="H69"/>
      <c r="I69"/>
      <c r="J69"/>
    </row>
    <row r="70" spans="2:10" x14ac:dyDescent="0.35">
      <c r="B70"/>
      <c r="C70"/>
      <c r="D70"/>
      <c r="E70"/>
      <c r="F70"/>
      <c r="G70"/>
      <c r="H70"/>
      <c r="I70"/>
      <c r="J70"/>
    </row>
    <row r="71" spans="2:10" x14ac:dyDescent="0.35">
      <c r="B71"/>
      <c r="C71"/>
      <c r="D71"/>
      <c r="E71"/>
      <c r="F71"/>
      <c r="G71"/>
      <c r="H71"/>
      <c r="I71"/>
      <c r="J71"/>
    </row>
    <row r="72" spans="2:10" x14ac:dyDescent="0.35">
      <c r="B72"/>
      <c r="C72"/>
      <c r="D72"/>
      <c r="E72"/>
      <c r="F72"/>
      <c r="G72"/>
      <c r="H72"/>
      <c r="I72"/>
      <c r="J72"/>
    </row>
    <row r="73" spans="2:10" x14ac:dyDescent="0.35">
      <c r="B73"/>
      <c r="C73"/>
      <c r="D73"/>
      <c r="E73"/>
      <c r="F73"/>
      <c r="G73"/>
      <c r="H73"/>
      <c r="I73"/>
      <c r="J73"/>
    </row>
    <row r="74" spans="2:10" x14ac:dyDescent="0.35">
      <c r="B74"/>
      <c r="C74"/>
      <c r="D74"/>
      <c r="E74"/>
      <c r="F74"/>
      <c r="G74"/>
      <c r="H74"/>
      <c r="I74"/>
      <c r="J74"/>
    </row>
    <row r="75" spans="2:10" x14ac:dyDescent="0.35">
      <c r="B75"/>
      <c r="C75"/>
      <c r="D75"/>
      <c r="E75"/>
      <c r="F75"/>
      <c r="G75"/>
      <c r="H75"/>
      <c r="I75"/>
      <c r="J75"/>
    </row>
    <row r="76" spans="2:10" x14ac:dyDescent="0.35">
      <c r="B76"/>
      <c r="C76"/>
      <c r="D76"/>
      <c r="E76"/>
      <c r="F76"/>
      <c r="G76"/>
      <c r="H76"/>
      <c r="I76"/>
      <c r="J76"/>
    </row>
    <row r="77" spans="2:10" x14ac:dyDescent="0.35">
      <c r="B77"/>
      <c r="C77"/>
      <c r="D77"/>
      <c r="E77"/>
      <c r="F77"/>
      <c r="G77"/>
      <c r="H77"/>
      <c r="I77"/>
      <c r="J77"/>
    </row>
    <row r="78" spans="2:10" x14ac:dyDescent="0.35">
      <c r="B78"/>
      <c r="C78"/>
      <c r="D78"/>
      <c r="E78"/>
      <c r="F78"/>
      <c r="G78"/>
      <c r="H78"/>
      <c r="I78"/>
      <c r="J78"/>
    </row>
    <row r="79" spans="2:10" x14ac:dyDescent="0.35">
      <c r="B79"/>
      <c r="C79"/>
      <c r="D79"/>
      <c r="E79"/>
      <c r="F79"/>
      <c r="G79"/>
      <c r="H79"/>
      <c r="I79"/>
      <c r="J79"/>
    </row>
    <row r="80" spans="2:10" x14ac:dyDescent="0.35">
      <c r="B80"/>
      <c r="C80"/>
      <c r="D80"/>
      <c r="E80"/>
      <c r="F80"/>
      <c r="G80"/>
      <c r="H80"/>
      <c r="I80"/>
      <c r="J80"/>
    </row>
    <row r="81" spans="2:10" x14ac:dyDescent="0.35">
      <c r="B81"/>
      <c r="C81"/>
      <c r="D81"/>
      <c r="E81"/>
      <c r="F81"/>
      <c r="G81"/>
      <c r="H81"/>
      <c r="I81"/>
      <c r="J81"/>
    </row>
    <row r="82" spans="2:10" x14ac:dyDescent="0.35">
      <c r="B82"/>
      <c r="C82"/>
      <c r="D82"/>
      <c r="E82"/>
      <c r="F82"/>
      <c r="G82"/>
      <c r="H82"/>
      <c r="I82"/>
      <c r="J82"/>
    </row>
    <row r="83" spans="2:10" x14ac:dyDescent="0.35">
      <c r="B83"/>
      <c r="C83"/>
      <c r="D83"/>
      <c r="E83"/>
      <c r="F83"/>
      <c r="G83"/>
      <c r="H83"/>
      <c r="I83"/>
      <c r="J83"/>
    </row>
    <row r="84" spans="2:10" x14ac:dyDescent="0.35">
      <c r="B84"/>
      <c r="C84"/>
      <c r="D84"/>
      <c r="E84"/>
      <c r="F84"/>
      <c r="G84"/>
      <c r="H84"/>
      <c r="I84"/>
      <c r="J84"/>
    </row>
    <row r="85" spans="2:10" x14ac:dyDescent="0.35">
      <c r="B85"/>
      <c r="C85"/>
      <c r="D85"/>
      <c r="E85"/>
      <c r="F85"/>
      <c r="G85"/>
      <c r="H85"/>
      <c r="I85"/>
      <c r="J85"/>
    </row>
    <row r="86" spans="2:10" x14ac:dyDescent="0.35">
      <c r="B86"/>
      <c r="C86"/>
      <c r="D86"/>
      <c r="E86"/>
      <c r="F86"/>
      <c r="G86"/>
      <c r="H86"/>
      <c r="I86"/>
      <c r="J86"/>
    </row>
    <row r="87" spans="2:10" x14ac:dyDescent="0.35">
      <c r="B87"/>
      <c r="C87"/>
      <c r="D87"/>
      <c r="E87"/>
      <c r="F87"/>
      <c r="G87"/>
      <c r="H87"/>
      <c r="I87"/>
      <c r="J87"/>
    </row>
    <row r="88" spans="2:10" x14ac:dyDescent="0.35">
      <c r="B88"/>
      <c r="C88"/>
      <c r="D88"/>
      <c r="E88"/>
      <c r="F88"/>
      <c r="G88"/>
      <c r="H88"/>
      <c r="I88"/>
      <c r="J88"/>
    </row>
    <row r="89" spans="2:10" x14ac:dyDescent="0.35">
      <c r="B89"/>
      <c r="C89"/>
      <c r="D89"/>
      <c r="E89"/>
      <c r="F89"/>
      <c r="G89"/>
      <c r="H89"/>
      <c r="I89"/>
      <c r="J89"/>
    </row>
    <row r="90" spans="2:10" x14ac:dyDescent="0.35">
      <c r="B90"/>
      <c r="C90"/>
      <c r="D90"/>
      <c r="E90"/>
      <c r="F90"/>
      <c r="G90"/>
      <c r="H90"/>
      <c r="I90"/>
      <c r="J90"/>
    </row>
    <row r="91" spans="2:10" x14ac:dyDescent="0.35">
      <c r="B91"/>
      <c r="C91"/>
      <c r="D91"/>
      <c r="E91"/>
      <c r="F91"/>
      <c r="G91"/>
      <c r="H91"/>
      <c r="I91"/>
      <c r="J91"/>
    </row>
    <row r="92" spans="2:10" x14ac:dyDescent="0.35">
      <c r="B92"/>
      <c r="C92"/>
      <c r="D92"/>
      <c r="E92"/>
      <c r="F92"/>
      <c r="G92"/>
      <c r="H92"/>
      <c r="I92"/>
      <c r="J92"/>
    </row>
    <row r="93" spans="2:10" x14ac:dyDescent="0.35">
      <c r="B93"/>
      <c r="C93"/>
      <c r="D93"/>
      <c r="E93"/>
      <c r="F93"/>
      <c r="G93"/>
      <c r="H93"/>
      <c r="I93"/>
      <c r="J93"/>
    </row>
    <row r="94" spans="2:10" x14ac:dyDescent="0.35">
      <c r="B94"/>
      <c r="C94"/>
      <c r="D94"/>
      <c r="E94"/>
      <c r="F94"/>
      <c r="G94"/>
      <c r="H94"/>
      <c r="I94"/>
      <c r="J94"/>
    </row>
    <row r="95" spans="2:10" x14ac:dyDescent="0.35">
      <c r="B95"/>
      <c r="C95"/>
      <c r="D95"/>
      <c r="E95"/>
      <c r="F95"/>
      <c r="G95"/>
      <c r="H95"/>
      <c r="I95"/>
      <c r="J95"/>
    </row>
    <row r="96" spans="2:10" x14ac:dyDescent="0.35">
      <c r="B96"/>
      <c r="C96"/>
      <c r="D96"/>
      <c r="E96"/>
      <c r="F96"/>
      <c r="G96"/>
      <c r="H96"/>
      <c r="I96"/>
      <c r="J96"/>
    </row>
    <row r="97" spans="2:10" x14ac:dyDescent="0.35">
      <c r="B97"/>
      <c r="C97"/>
      <c r="D97"/>
      <c r="E97"/>
      <c r="F97"/>
      <c r="G97"/>
      <c r="H97"/>
      <c r="I97"/>
      <c r="J97"/>
    </row>
    <row r="98" spans="2:10" x14ac:dyDescent="0.35">
      <c r="B98"/>
      <c r="C98"/>
      <c r="D98"/>
      <c r="E98"/>
      <c r="F98"/>
      <c r="G98"/>
      <c r="H98"/>
      <c r="I98"/>
      <c r="J98"/>
    </row>
    <row r="99" spans="2:10" x14ac:dyDescent="0.35">
      <c r="B99"/>
      <c r="C99"/>
      <c r="D99"/>
      <c r="E99"/>
      <c r="F99"/>
      <c r="G99"/>
      <c r="H99"/>
      <c r="I99"/>
      <c r="J99"/>
    </row>
    <row r="100" spans="2:10" x14ac:dyDescent="0.35">
      <c r="B100"/>
      <c r="C100"/>
      <c r="D100"/>
      <c r="E100"/>
      <c r="F100"/>
      <c r="G100"/>
      <c r="H100"/>
      <c r="I100"/>
      <c r="J100"/>
    </row>
    <row r="101" spans="2:10" x14ac:dyDescent="0.35">
      <c r="B101"/>
      <c r="C101"/>
      <c r="D101"/>
      <c r="E101"/>
      <c r="F101"/>
      <c r="G101"/>
      <c r="H101"/>
      <c r="I101"/>
      <c r="J101"/>
    </row>
    <row r="102" spans="2:10" x14ac:dyDescent="0.35">
      <c r="B102"/>
      <c r="C102"/>
      <c r="D102"/>
      <c r="E102"/>
      <c r="F102"/>
      <c r="G102"/>
      <c r="H102"/>
      <c r="I102"/>
      <c r="J102"/>
    </row>
    <row r="103" spans="2:10" x14ac:dyDescent="0.35">
      <c r="B103"/>
      <c r="C103"/>
      <c r="D103"/>
      <c r="E103"/>
      <c r="F103"/>
      <c r="G103"/>
      <c r="H103"/>
      <c r="I103"/>
      <c r="J103"/>
    </row>
    <row r="104" spans="2:10" x14ac:dyDescent="0.35">
      <c r="B104"/>
      <c r="C104"/>
      <c r="D104"/>
      <c r="E104"/>
      <c r="F104"/>
      <c r="G104"/>
      <c r="H104"/>
      <c r="I104"/>
      <c r="J104"/>
    </row>
    <row r="105" spans="2:10" x14ac:dyDescent="0.35">
      <c r="B105"/>
      <c r="C105"/>
      <c r="D105"/>
      <c r="E105"/>
      <c r="F105"/>
      <c r="G105"/>
      <c r="H105"/>
      <c r="I105"/>
      <c r="J105"/>
    </row>
    <row r="106" spans="2:10" x14ac:dyDescent="0.35">
      <c r="B106"/>
      <c r="C106"/>
      <c r="D106"/>
      <c r="E106"/>
      <c r="F106"/>
      <c r="G106"/>
      <c r="H106"/>
      <c r="I106"/>
      <c r="J106"/>
    </row>
    <row r="107" spans="2:10" x14ac:dyDescent="0.35">
      <c r="B107"/>
      <c r="C107"/>
      <c r="D107"/>
      <c r="E107"/>
      <c r="F107"/>
      <c r="G107"/>
      <c r="H107"/>
      <c r="I107"/>
      <c r="J107"/>
    </row>
    <row r="108" spans="2:10" x14ac:dyDescent="0.35">
      <c r="B108"/>
      <c r="C108"/>
      <c r="D108"/>
      <c r="E108"/>
      <c r="F108"/>
      <c r="G108"/>
      <c r="H108"/>
      <c r="I108"/>
      <c r="J108"/>
    </row>
    <row r="109" spans="2:10" x14ac:dyDescent="0.35">
      <c r="B109"/>
      <c r="C109"/>
      <c r="D109"/>
      <c r="E109"/>
      <c r="F109"/>
      <c r="G109"/>
      <c r="H109"/>
      <c r="I109"/>
      <c r="J109"/>
    </row>
    <row r="110" spans="2:10" x14ac:dyDescent="0.35">
      <c r="B110"/>
      <c r="C110"/>
      <c r="D110"/>
      <c r="E110"/>
      <c r="F110"/>
      <c r="G110"/>
      <c r="H110"/>
      <c r="I110"/>
      <c r="J110"/>
    </row>
    <row r="111" spans="2:10" x14ac:dyDescent="0.35">
      <c r="B111"/>
      <c r="C111"/>
      <c r="D111"/>
      <c r="E111"/>
      <c r="F111"/>
      <c r="G111"/>
      <c r="H111"/>
      <c r="I111"/>
      <c r="J111"/>
    </row>
    <row r="112" spans="2:10" x14ac:dyDescent="0.35">
      <c r="B112"/>
      <c r="C112"/>
      <c r="D112"/>
      <c r="E112"/>
      <c r="F112"/>
      <c r="G112"/>
      <c r="H112"/>
      <c r="I112"/>
      <c r="J112"/>
    </row>
    <row r="113" spans="2:10" x14ac:dyDescent="0.35">
      <c r="B113"/>
      <c r="C113"/>
      <c r="D113"/>
      <c r="E113"/>
      <c r="F113"/>
      <c r="G113"/>
      <c r="H113"/>
      <c r="I113"/>
      <c r="J113"/>
    </row>
    <row r="114" spans="2:10" x14ac:dyDescent="0.35">
      <c r="B114"/>
      <c r="C114"/>
      <c r="D114"/>
      <c r="E114"/>
      <c r="F114"/>
      <c r="G114"/>
      <c r="H114"/>
      <c r="I114"/>
      <c r="J114"/>
    </row>
    <row r="115" spans="2:10" x14ac:dyDescent="0.35">
      <c r="B115"/>
      <c r="C115"/>
      <c r="D115"/>
      <c r="E115"/>
      <c r="F115"/>
      <c r="G115"/>
      <c r="H115"/>
      <c r="I115"/>
      <c r="J115"/>
    </row>
    <row r="116" spans="2:10" x14ac:dyDescent="0.35">
      <c r="B116"/>
      <c r="C116"/>
      <c r="D116"/>
      <c r="E116"/>
      <c r="F116"/>
      <c r="G116"/>
      <c r="H116"/>
      <c r="I116"/>
      <c r="J116"/>
    </row>
    <row r="117" spans="2:10" x14ac:dyDescent="0.35">
      <c r="B117"/>
      <c r="C117"/>
      <c r="D117"/>
      <c r="E117"/>
      <c r="F117"/>
      <c r="G117"/>
      <c r="H117"/>
      <c r="I117"/>
      <c r="J117"/>
    </row>
    <row r="118" spans="2:10" x14ac:dyDescent="0.35">
      <c r="B118"/>
      <c r="C118"/>
      <c r="D118"/>
      <c r="E118"/>
      <c r="F118"/>
      <c r="G118"/>
      <c r="H118"/>
      <c r="I118"/>
      <c r="J118"/>
    </row>
    <row r="119" spans="2:10" x14ac:dyDescent="0.35">
      <c r="B119"/>
      <c r="C119"/>
      <c r="D119"/>
      <c r="E119"/>
      <c r="F119"/>
      <c r="G119"/>
      <c r="H119"/>
      <c r="I119"/>
      <c r="J119"/>
    </row>
    <row r="120" spans="2:10" x14ac:dyDescent="0.35">
      <c r="B120"/>
      <c r="C120"/>
      <c r="D120"/>
      <c r="E120"/>
      <c r="F120"/>
      <c r="G120"/>
      <c r="H120"/>
      <c r="I120"/>
      <c r="J120"/>
    </row>
    <row r="121" spans="2:10" x14ac:dyDescent="0.35">
      <c r="B121"/>
      <c r="C121"/>
      <c r="D121"/>
      <c r="E121"/>
      <c r="F121"/>
      <c r="G121"/>
      <c r="H121"/>
      <c r="I121"/>
      <c r="J121"/>
    </row>
    <row r="122" spans="2:10" x14ac:dyDescent="0.35">
      <c r="B122"/>
      <c r="C122"/>
      <c r="D122"/>
      <c r="E122"/>
      <c r="F122"/>
      <c r="G122"/>
      <c r="H122"/>
      <c r="I122"/>
      <c r="J122"/>
    </row>
    <row r="123" spans="2:10" x14ac:dyDescent="0.35">
      <c r="B123"/>
      <c r="C123"/>
      <c r="D123"/>
      <c r="E123"/>
      <c r="F123"/>
      <c r="G123"/>
      <c r="H123"/>
      <c r="I123"/>
      <c r="J123"/>
    </row>
    <row r="124" spans="2:10" x14ac:dyDescent="0.35">
      <c r="B124"/>
      <c r="C124"/>
      <c r="D124"/>
      <c r="E124"/>
      <c r="F124"/>
      <c r="G124"/>
      <c r="H124"/>
      <c r="I124"/>
      <c r="J124"/>
    </row>
    <row r="125" spans="2:10" x14ac:dyDescent="0.35">
      <c r="B125"/>
      <c r="C125"/>
      <c r="D125"/>
      <c r="E125"/>
      <c r="F125"/>
      <c r="G125"/>
      <c r="H125"/>
      <c r="I125"/>
      <c r="J125"/>
    </row>
    <row r="126" spans="2:10" x14ac:dyDescent="0.35">
      <c r="B126"/>
      <c r="C126"/>
      <c r="D126"/>
      <c r="E126"/>
      <c r="F126"/>
      <c r="G126"/>
      <c r="H126"/>
      <c r="I126"/>
      <c r="J126"/>
    </row>
    <row r="127" spans="2:10" x14ac:dyDescent="0.35">
      <c r="B127"/>
      <c r="C127"/>
      <c r="D127"/>
      <c r="E127"/>
      <c r="F127"/>
      <c r="G127"/>
      <c r="H127"/>
      <c r="I127"/>
      <c r="J127"/>
    </row>
    <row r="128" spans="2:10" x14ac:dyDescent="0.35">
      <c r="B128"/>
      <c r="C128"/>
      <c r="D128"/>
      <c r="E128"/>
      <c r="F128"/>
      <c r="G128"/>
      <c r="H128"/>
      <c r="I128"/>
      <c r="J128"/>
    </row>
    <row r="129" spans="2:10" x14ac:dyDescent="0.35">
      <c r="B129"/>
      <c r="C129"/>
      <c r="D129"/>
      <c r="E129"/>
      <c r="F129"/>
      <c r="G129"/>
      <c r="H129"/>
      <c r="I129"/>
      <c r="J129"/>
    </row>
    <row r="130" spans="2:10" x14ac:dyDescent="0.35">
      <c r="B130"/>
      <c r="C130"/>
      <c r="D130"/>
      <c r="E130"/>
      <c r="F130"/>
      <c r="G130"/>
      <c r="H130"/>
      <c r="I130"/>
      <c r="J130"/>
    </row>
  </sheetData>
  <pageMargins left="0.7" right="0.7" top="0.75" bottom="0.75" header="0.3" footer="0.3"/>
  <drawing r:id="rId2"/>
  <picture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A263-8BFB-49B4-956B-75584E1C4389}">
  <sheetPr codeName="Hoja6">
    <pageSetUpPr fitToPage="1"/>
  </sheetPr>
  <dimension ref="A1:AA672"/>
  <sheetViews>
    <sheetView showGridLines="0" tabSelected="1" zoomScale="90" zoomScaleNormal="90" workbookViewId="0">
      <pane xSplit="3" ySplit="4" topLeftCell="D528" activePane="bottomRight" state="frozen"/>
      <selection activeCell="C148" sqref="C148"/>
      <selection pane="topRight" activeCell="C148" sqref="C148"/>
      <selection pane="bottomLeft" activeCell="C148" sqref="C148"/>
      <selection pane="bottomRight" activeCell="I554" sqref="I554"/>
    </sheetView>
  </sheetViews>
  <sheetFormatPr baseColWidth="10" defaultColWidth="8.6640625" defaultRowHeight="14" x14ac:dyDescent="0.3"/>
  <cols>
    <col min="1" max="1" width="0.9140625" customWidth="1"/>
    <col min="2" max="2" width="16.9140625" style="12" customWidth="1"/>
    <col min="3" max="3" width="6.1640625" style="12" customWidth="1"/>
    <col min="4" max="4" width="10.5" bestFit="1" customWidth="1"/>
    <col min="5" max="5" width="12.4140625" style="12" customWidth="1"/>
    <col min="6" max="6" width="8.5" bestFit="1" customWidth="1"/>
    <col min="7" max="7" width="6.9140625" customWidth="1"/>
    <col min="8" max="8" width="18.75" style="12" bestFit="1" customWidth="1"/>
    <col min="9" max="9" width="26.75" style="12" customWidth="1"/>
    <col min="10" max="10" width="8.83203125" style="1" customWidth="1"/>
    <col min="11" max="11" width="14.33203125" style="1" customWidth="1"/>
    <col min="12" max="12" width="11.58203125" style="5" customWidth="1"/>
    <col min="13" max="13" width="12.6640625" style="5" customWidth="1"/>
    <col min="14" max="14" width="11" style="5" customWidth="1"/>
    <col min="15" max="15" width="18.4140625" customWidth="1"/>
    <col min="16" max="16" width="20.58203125" customWidth="1"/>
    <col min="17" max="17" width="11.33203125" customWidth="1"/>
    <col min="18" max="18" width="10.6640625" style="5" bestFit="1" customWidth="1"/>
    <col min="19" max="19" width="16.1640625" style="5" customWidth="1"/>
    <col min="21" max="21" width="13.6640625" bestFit="1" customWidth="1"/>
    <col min="22" max="22" width="17.6640625" customWidth="1"/>
  </cols>
  <sheetData>
    <row r="1" spans="2:27" ht="72" customHeight="1" x14ac:dyDescent="0.3">
      <c r="P1" t="s">
        <v>87</v>
      </c>
      <c r="R1" s="5" t="s">
        <v>87</v>
      </c>
      <c r="S1" s="5" t="s">
        <v>87</v>
      </c>
      <c r="V1" s="72"/>
    </row>
    <row r="2" spans="2:27" ht="19.25" customHeight="1" x14ac:dyDescent="0.3">
      <c r="B2" s="141"/>
      <c r="U2" s="204"/>
      <c r="V2" s="72"/>
    </row>
    <row r="3" spans="2:27" ht="28.25" customHeight="1" x14ac:dyDescent="0.3">
      <c r="B3" s="197">
        <f>Rendiciones[[#Totals],[Saldo Fondo ]]</f>
        <v>14185.202999999965</v>
      </c>
      <c r="V3" s="91"/>
      <c r="AA3">
        <f>30000/1.19</f>
        <v>25210.084033613446</v>
      </c>
    </row>
    <row r="4" spans="2:27" s="2" customFormat="1" ht="32.4" customHeight="1" x14ac:dyDescent="0.3">
      <c r="B4" s="139" t="s">
        <v>0</v>
      </c>
      <c r="C4" s="139" t="s">
        <v>82</v>
      </c>
      <c r="D4" s="139" t="s">
        <v>88</v>
      </c>
      <c r="E4" s="139" t="s">
        <v>22</v>
      </c>
      <c r="F4" s="139" t="s">
        <v>23</v>
      </c>
      <c r="G4" s="139" t="s">
        <v>103</v>
      </c>
      <c r="H4" s="139" t="s">
        <v>1</v>
      </c>
      <c r="I4" s="139" t="s">
        <v>484</v>
      </c>
      <c r="J4" s="139" t="s">
        <v>513</v>
      </c>
      <c r="K4" s="139" t="s">
        <v>80</v>
      </c>
      <c r="L4" s="140" t="s">
        <v>12</v>
      </c>
      <c r="M4" s="140" t="s">
        <v>14</v>
      </c>
      <c r="N4" s="140" t="s">
        <v>13</v>
      </c>
      <c r="O4" s="140" t="s">
        <v>15</v>
      </c>
      <c r="P4" s="142" t="s">
        <v>24</v>
      </c>
      <c r="Q4" s="142" t="s">
        <v>78</v>
      </c>
      <c r="R4" s="143" t="s">
        <v>84</v>
      </c>
      <c r="S4" s="143" t="s">
        <v>83</v>
      </c>
      <c r="T4" s="160" t="s">
        <v>469</v>
      </c>
    </row>
    <row r="5" spans="2:27" x14ac:dyDescent="0.3">
      <c r="B5" s="12" t="s">
        <v>467</v>
      </c>
      <c r="D5" s="138">
        <v>46031</v>
      </c>
      <c r="E5" s="12" t="s">
        <v>472</v>
      </c>
      <c r="F5" s="11" t="str">
        <f>IF(Rendiciones[[#This Row],[Fecha ]]&lt;&gt;"",TEXT(Rendiciones[[#This Row],[Fecha ]],"MMMM"),"")</f>
        <v>enero</v>
      </c>
      <c r="G5" s="11" t="s">
        <v>428</v>
      </c>
      <c r="L5" s="20"/>
      <c r="M5" s="20"/>
      <c r="N5" s="20">
        <f>Rendiciones[[#This Row],[Monto Neto ]]*19%</f>
        <v>0</v>
      </c>
      <c r="O5" s="6">
        <f>+Rendiciones[[#This Row],[Monto Neto ]]+Rendiciones[[#This Row],[Monto Exento ]]+Rendiciones[[#This Row],[Iva]]</f>
        <v>0</v>
      </c>
      <c r="P5" t="s">
        <v>89</v>
      </c>
      <c r="Q5" s="138">
        <v>46031</v>
      </c>
      <c r="R5" s="20">
        <v>400000</v>
      </c>
      <c r="S5" s="20">
        <f>Rendiciones[[#This Row],[Total ]]-Rendiciones[[#This Row],[Monto ]]</f>
        <v>-400000</v>
      </c>
    </row>
    <row r="6" spans="2:27" x14ac:dyDescent="0.3">
      <c r="B6" s="12" t="s">
        <v>445</v>
      </c>
      <c r="D6" s="138">
        <v>46035</v>
      </c>
      <c r="E6" s="12" t="s">
        <v>431</v>
      </c>
      <c r="F6" s="11" t="str">
        <f>IF(Rendiciones[[#This Row],[Fecha ]]&lt;&gt;"",TEXT(Rendiciones[[#This Row],[Fecha ]],"MMMM"),"")</f>
        <v>enero</v>
      </c>
      <c r="G6" s="11"/>
      <c r="L6" s="20"/>
      <c r="M6" s="20"/>
      <c r="N6" s="20">
        <f>Rendiciones[[#This Row],[Monto Neto ]]*19%</f>
        <v>0</v>
      </c>
      <c r="O6" s="6">
        <f>+Rendiciones[[#This Row],[Monto Neto ]]+Rendiciones[[#This Row],[Monto Exento ]]+Rendiciones[[#This Row],[Iva]]</f>
        <v>0</v>
      </c>
      <c r="P6" t="s">
        <v>89</v>
      </c>
      <c r="Q6" s="138">
        <v>46035</v>
      </c>
      <c r="R6" s="20">
        <v>300000</v>
      </c>
      <c r="S6" s="20">
        <f>Rendiciones[[#This Row],[Total ]]-Rendiciones[[#This Row],[Monto ]]</f>
        <v>-300000</v>
      </c>
    </row>
    <row r="7" spans="2:27" x14ac:dyDescent="0.3">
      <c r="B7" s="12" t="s">
        <v>113</v>
      </c>
      <c r="C7" s="12">
        <v>1</v>
      </c>
      <c r="D7" s="138">
        <v>46030</v>
      </c>
      <c r="E7" s="12" t="s">
        <v>472</v>
      </c>
      <c r="F7" s="11" t="str">
        <f>IF(Rendiciones[[#This Row],[Fecha ]]&lt;&gt;"",TEXT(Rendiciones[[#This Row],[Fecha ]],"MMMM"),"")</f>
        <v>enero</v>
      </c>
      <c r="G7" s="11" t="s">
        <v>427</v>
      </c>
      <c r="H7" s="12" t="s">
        <v>5</v>
      </c>
      <c r="I7" s="12" t="s">
        <v>502</v>
      </c>
      <c r="L7" s="20"/>
      <c r="M7" s="20">
        <v>35899</v>
      </c>
      <c r="N7" s="20">
        <f>Rendiciones[[#This Row],[Monto Neto ]]*19%</f>
        <v>0</v>
      </c>
      <c r="O7" s="6">
        <f>+Rendiciones[[#This Row],[Monto Neto ]]+Rendiciones[[#This Row],[Monto Exento ]]+Rendiciones[[#This Row],[Iva]]</f>
        <v>35899</v>
      </c>
      <c r="Q7" s="138"/>
      <c r="R7" s="20"/>
      <c r="S7" s="20">
        <f>Rendiciones[[#This Row],[Total ]]-Rendiciones[[#This Row],[Monto ]]</f>
        <v>35899</v>
      </c>
    </row>
    <row r="8" spans="2:27" x14ac:dyDescent="0.3">
      <c r="B8" s="12" t="s">
        <v>113</v>
      </c>
      <c r="C8" s="12">
        <v>1</v>
      </c>
      <c r="D8" s="138">
        <v>46030</v>
      </c>
      <c r="E8" s="12" t="s">
        <v>472</v>
      </c>
      <c r="F8" s="11" t="str">
        <f>IF(Rendiciones[[#This Row],[Fecha ]]&lt;&gt;"",TEXT(Rendiciones[[#This Row],[Fecha ]],"MMMM"),"")</f>
        <v>enero</v>
      </c>
      <c r="G8" s="11" t="s">
        <v>427</v>
      </c>
      <c r="H8" s="12" t="s">
        <v>5</v>
      </c>
      <c r="I8" s="12" t="s">
        <v>56</v>
      </c>
      <c r="L8" s="20"/>
      <c r="M8" s="20">
        <v>12620</v>
      </c>
      <c r="N8" s="20">
        <f>Rendiciones[[#This Row],[Monto Neto ]]*19%</f>
        <v>0</v>
      </c>
      <c r="O8" s="6">
        <f>+Rendiciones[[#This Row],[Monto Neto ]]+Rendiciones[[#This Row],[Monto Exento ]]+Rendiciones[[#This Row],[Iva]]</f>
        <v>12620</v>
      </c>
      <c r="P8" t="s">
        <v>89</v>
      </c>
      <c r="Q8" s="138">
        <v>46031</v>
      </c>
      <c r="R8" s="20">
        <v>48519</v>
      </c>
      <c r="S8" s="20">
        <f>Rendiciones[[#This Row],[Total ]]-Rendiciones[[#This Row],[Monto ]]</f>
        <v>-35899</v>
      </c>
    </row>
    <row r="9" spans="2:27" x14ac:dyDescent="0.3">
      <c r="B9" s="12" t="s">
        <v>241</v>
      </c>
      <c r="C9" s="12">
        <v>1</v>
      </c>
      <c r="D9" s="138">
        <v>46030</v>
      </c>
      <c r="E9" s="12" t="s">
        <v>472</v>
      </c>
      <c r="F9" s="11" t="str">
        <f>IF(Rendiciones[[#This Row],[Fecha ]]&lt;&gt;"",TEXT(Rendiciones[[#This Row],[Fecha ]],"MMMM"),"")</f>
        <v>enero</v>
      </c>
      <c r="G9" s="11" t="s">
        <v>428</v>
      </c>
      <c r="H9" s="12" t="s">
        <v>6</v>
      </c>
      <c r="I9" s="12" t="s">
        <v>504</v>
      </c>
      <c r="K9" s="1" t="s">
        <v>81</v>
      </c>
      <c r="L9" s="20">
        <v>12580</v>
      </c>
      <c r="M9" s="20"/>
      <c r="N9" s="20">
        <f>Rendiciones[[#This Row],[Monto Neto ]]*19%</f>
        <v>2390.1999999999998</v>
      </c>
      <c r="O9" s="6">
        <f>+Rendiciones[[#This Row],[Monto Neto ]]+Rendiciones[[#This Row],[Monto Exento ]]+Rendiciones[[#This Row],[Iva]]</f>
        <v>14970.2</v>
      </c>
      <c r="Q9" s="138"/>
      <c r="R9" s="20"/>
      <c r="S9" s="20">
        <f>Rendiciones[[#This Row],[Total ]]-Rendiciones[[#This Row],[Monto ]]</f>
        <v>14970.2</v>
      </c>
      <c r="U9" s="6"/>
    </row>
    <row r="10" spans="2:27" x14ac:dyDescent="0.3">
      <c r="B10" s="12" t="s">
        <v>241</v>
      </c>
      <c r="C10" s="12">
        <v>1</v>
      </c>
      <c r="D10" s="138">
        <v>46030</v>
      </c>
      <c r="E10" s="12" t="s">
        <v>472</v>
      </c>
      <c r="F10" s="11" t="str">
        <f>IF(Rendiciones[[#This Row],[Fecha ]]&lt;&gt;"",TEXT(Rendiciones[[#This Row],[Fecha ]],"MMMM"),"")</f>
        <v>enero</v>
      </c>
      <c r="G10" s="11" t="s">
        <v>428</v>
      </c>
      <c r="H10" s="12" t="s">
        <v>6</v>
      </c>
      <c r="I10" s="12" t="s">
        <v>504</v>
      </c>
      <c r="K10" s="1" t="s">
        <v>81</v>
      </c>
      <c r="L10" s="20">
        <v>49588</v>
      </c>
      <c r="M10" s="20"/>
      <c r="N10" s="20">
        <f>Rendiciones[[#This Row],[Monto Neto ]]*19%</f>
        <v>9421.7199999999993</v>
      </c>
      <c r="O10" s="6">
        <f>+Rendiciones[[#This Row],[Monto Neto ]]+Rendiciones[[#This Row],[Monto Exento ]]+Rendiciones[[#This Row],[Iva]]</f>
        <v>59009.72</v>
      </c>
      <c r="Q10" s="138"/>
      <c r="R10" s="20"/>
      <c r="S10" s="20">
        <f>Rendiciones[[#This Row],[Total ]]-Rendiciones[[#This Row],[Monto ]]</f>
        <v>59009.72</v>
      </c>
      <c r="U10" s="6"/>
    </row>
    <row r="11" spans="2:27" x14ac:dyDescent="0.3">
      <c r="B11" s="12" t="s">
        <v>241</v>
      </c>
      <c r="C11" s="12">
        <v>1</v>
      </c>
      <c r="D11" s="138">
        <v>46030</v>
      </c>
      <c r="E11" s="12" t="s">
        <v>472</v>
      </c>
      <c r="F11" s="11" t="str">
        <f>IF(Rendiciones[[#This Row],[Fecha ]]&lt;&gt;"",TEXT(Rendiciones[[#This Row],[Fecha ]],"MMMM"),"")</f>
        <v>enero</v>
      </c>
      <c r="G11" s="11" t="s">
        <v>428</v>
      </c>
      <c r="H11" s="12" t="s">
        <v>6</v>
      </c>
      <c r="I11" s="12" t="s">
        <v>39</v>
      </c>
      <c r="L11" s="20"/>
      <c r="M11" s="20">
        <v>750</v>
      </c>
      <c r="N11" s="20">
        <f>Rendiciones[[#This Row],[Monto Neto ]]*19%</f>
        <v>0</v>
      </c>
      <c r="O11" s="6">
        <f>+Rendiciones[[#This Row],[Monto Neto ]]+Rendiciones[[#This Row],[Monto Exento ]]+Rendiciones[[#This Row],[Iva]]</f>
        <v>750</v>
      </c>
      <c r="Q11" s="138"/>
      <c r="R11" s="20"/>
      <c r="S11" s="20">
        <f>Rendiciones[[#This Row],[Total ]]-Rendiciones[[#This Row],[Monto ]]</f>
        <v>750</v>
      </c>
      <c r="U11" s="6"/>
    </row>
    <row r="12" spans="2:27" x14ac:dyDescent="0.3">
      <c r="B12" s="12" t="s">
        <v>241</v>
      </c>
      <c r="C12" s="12">
        <v>1</v>
      </c>
      <c r="D12" s="138">
        <v>46030</v>
      </c>
      <c r="E12" s="12" t="s">
        <v>472</v>
      </c>
      <c r="F12" s="11" t="str">
        <f>IF(Rendiciones[[#This Row],[Fecha ]]&lt;&gt;"",TEXT(Rendiciones[[#This Row],[Fecha ]],"MMMM"),"")</f>
        <v>enero</v>
      </c>
      <c r="G12" s="11" t="s">
        <v>428</v>
      </c>
      <c r="H12" s="12" t="s">
        <v>6</v>
      </c>
      <c r="I12" s="12" t="s">
        <v>429</v>
      </c>
      <c r="L12" s="20"/>
      <c r="M12" s="20">
        <v>10000</v>
      </c>
      <c r="N12" s="20">
        <f>Rendiciones[[#This Row],[Monto Neto ]]*19%</f>
        <v>0</v>
      </c>
      <c r="O12" s="6">
        <f>+Rendiciones[[#This Row],[Monto Neto ]]+Rendiciones[[#This Row],[Monto Exento ]]+Rendiciones[[#This Row],[Iva]]</f>
        <v>10000</v>
      </c>
      <c r="P12" t="s">
        <v>89</v>
      </c>
      <c r="Q12" s="138">
        <v>46031</v>
      </c>
      <c r="R12" s="20">
        <v>84729.919999999998</v>
      </c>
      <c r="S12" s="20">
        <f>Rendiciones[[#This Row],[Total ]]-Rendiciones[[#This Row],[Monto ]]</f>
        <v>-74729.919999999998</v>
      </c>
      <c r="U12" s="6"/>
    </row>
    <row r="13" spans="2:27" x14ac:dyDescent="0.3">
      <c r="B13" s="12" t="s">
        <v>17</v>
      </c>
      <c r="C13" s="12">
        <v>1</v>
      </c>
      <c r="D13" s="138">
        <v>46034</v>
      </c>
      <c r="E13" s="12" t="s">
        <v>431</v>
      </c>
      <c r="F13" s="11" t="str">
        <f>IF(Rendiciones[[#This Row],[Fecha ]]&lt;&gt;"",TEXT(Rendiciones[[#This Row],[Fecha ]],"MMMM"),"")</f>
        <v>enero</v>
      </c>
      <c r="G13" s="11" t="s">
        <v>107</v>
      </c>
      <c r="H13" s="12" t="s">
        <v>458</v>
      </c>
      <c r="I13" s="12" t="s">
        <v>505</v>
      </c>
      <c r="K13" s="1" t="s">
        <v>81</v>
      </c>
      <c r="L13" s="20">
        <v>588227</v>
      </c>
      <c r="M13" s="20"/>
      <c r="N13" s="20">
        <f>Rendiciones[[#This Row],[Monto Neto ]]*19%</f>
        <v>111763.13</v>
      </c>
      <c r="O13" s="6">
        <f>+Rendiciones[[#This Row],[Monto Neto ]]+Rendiciones[[#This Row],[Monto Exento ]]+Rendiciones[[#This Row],[Iva]]</f>
        <v>699990.13</v>
      </c>
      <c r="P13" t="s">
        <v>89</v>
      </c>
      <c r="Q13" s="138">
        <v>46037</v>
      </c>
      <c r="R13" s="20">
        <v>699990</v>
      </c>
      <c r="S13" s="20">
        <f>Rendiciones[[#This Row],[Total ]]-Rendiciones[[#This Row],[Monto ]]</f>
        <v>0.13000000000465661</v>
      </c>
    </row>
    <row r="14" spans="2:27" x14ac:dyDescent="0.3">
      <c r="B14" s="12" t="s">
        <v>113</v>
      </c>
      <c r="C14" s="12">
        <v>2</v>
      </c>
      <c r="D14" s="138">
        <v>46037</v>
      </c>
      <c r="E14" s="12" t="s">
        <v>431</v>
      </c>
      <c r="F14" s="11" t="str">
        <f>IF(Rendiciones[[#This Row],[Fecha ]]&lt;&gt;"",TEXT(Rendiciones[[#This Row],[Fecha ]],"MMMM"),"")</f>
        <v>enero</v>
      </c>
      <c r="G14" s="11" t="s">
        <v>427</v>
      </c>
      <c r="H14" s="12" t="s">
        <v>5</v>
      </c>
      <c r="I14" s="12" t="s">
        <v>502</v>
      </c>
      <c r="L14" s="20"/>
      <c r="M14" s="20">
        <f>22131+6990</f>
        <v>29121</v>
      </c>
      <c r="N14" s="20">
        <f>Rendiciones[[#This Row],[Monto Neto ]]*19%</f>
        <v>0</v>
      </c>
      <c r="O14" s="6">
        <f>+Rendiciones[[#This Row],[Monto Neto ]]+Rendiciones[[#This Row],[Monto Exento ]]+Rendiciones[[#This Row],[Iva]]</f>
        <v>29121</v>
      </c>
      <c r="Q14" s="138"/>
      <c r="R14" s="20"/>
      <c r="S14" s="20">
        <f>Rendiciones[[#This Row],[Total ]]-Rendiciones[[#This Row],[Monto ]]</f>
        <v>29121</v>
      </c>
    </row>
    <row r="15" spans="2:27" x14ac:dyDescent="0.3">
      <c r="B15" s="12" t="s">
        <v>113</v>
      </c>
      <c r="C15" s="12">
        <v>2</v>
      </c>
      <c r="D15" s="138">
        <v>46037</v>
      </c>
      <c r="E15" s="12" t="s">
        <v>431</v>
      </c>
      <c r="F15" s="11" t="str">
        <f>IF(Rendiciones[[#This Row],[Fecha ]]&lt;&gt;"",TEXT(Rendiciones[[#This Row],[Fecha ]],"MMMM"),"")</f>
        <v>enero</v>
      </c>
      <c r="G15" s="11" t="s">
        <v>427</v>
      </c>
      <c r="H15" s="12" t="s">
        <v>5</v>
      </c>
      <c r="I15" s="12" t="s">
        <v>55</v>
      </c>
      <c r="L15" s="20"/>
      <c r="M15" s="20">
        <f>5340+2590+12990</f>
        <v>20920</v>
      </c>
      <c r="N15" s="20">
        <f>Rendiciones[[#This Row],[Monto Neto ]]*19%</f>
        <v>0</v>
      </c>
      <c r="O15" s="6">
        <f>+Rendiciones[[#This Row],[Monto Neto ]]+Rendiciones[[#This Row],[Monto Exento ]]+Rendiciones[[#This Row],[Iva]]</f>
        <v>20920</v>
      </c>
      <c r="P15" t="s">
        <v>89</v>
      </c>
      <c r="Q15" s="138">
        <v>46037</v>
      </c>
      <c r="R15" s="20">
        <v>50041</v>
      </c>
      <c r="S15" s="20">
        <f>Rendiciones[[#This Row],[Total ]]-Rendiciones[[#This Row],[Monto ]]</f>
        <v>-29121</v>
      </c>
    </row>
    <row r="16" spans="2:27" x14ac:dyDescent="0.3">
      <c r="B16" s="12" t="s">
        <v>241</v>
      </c>
      <c r="C16" s="12">
        <v>2</v>
      </c>
      <c r="D16" s="138">
        <v>46037</v>
      </c>
      <c r="E16" s="12" t="s">
        <v>431</v>
      </c>
      <c r="F16" s="11" t="str">
        <f>IF(Rendiciones[[#This Row],[Fecha ]]&lt;&gt;"",TEXT(Rendiciones[[#This Row],[Fecha ]],"MMMM"),"")</f>
        <v>enero</v>
      </c>
      <c r="G16" s="11" t="s">
        <v>428</v>
      </c>
      <c r="H16" s="12" t="s">
        <v>6</v>
      </c>
      <c r="I16" s="12" t="s">
        <v>28</v>
      </c>
      <c r="K16" s="1" t="s">
        <v>81</v>
      </c>
      <c r="L16" s="20">
        <v>32318</v>
      </c>
      <c r="M16" s="20">
        <f>5236+4701+300</f>
        <v>10237</v>
      </c>
      <c r="N16" s="20">
        <f>Rendiciones[[#This Row],[Monto Neto ]]*19%</f>
        <v>6140.42</v>
      </c>
      <c r="O16" s="6">
        <f>+Rendiciones[[#This Row],[Monto Neto ]]+Rendiciones[[#This Row],[Monto Exento ]]+Rendiciones[[#This Row],[Iva]]</f>
        <v>48695.42</v>
      </c>
      <c r="Q16" s="138"/>
      <c r="R16" s="20"/>
      <c r="S16" s="20">
        <f>Rendiciones[[#This Row],[Total ]]-Rendiciones[[#This Row],[Monto ]]</f>
        <v>48695.42</v>
      </c>
    </row>
    <row r="17" spans="2:21" x14ac:dyDescent="0.3">
      <c r="B17" s="12" t="s">
        <v>241</v>
      </c>
      <c r="C17" s="12">
        <v>2</v>
      </c>
      <c r="D17" s="138">
        <v>46037</v>
      </c>
      <c r="E17" s="12" t="s">
        <v>431</v>
      </c>
      <c r="F17" s="11" t="str">
        <f>IF(Rendiciones[[#This Row],[Fecha ]]&lt;&gt;"",TEXT(Rendiciones[[#This Row],[Fecha ]],"MMMM"),"")</f>
        <v>enero</v>
      </c>
      <c r="G17" s="11" t="s">
        <v>428</v>
      </c>
      <c r="H17" s="12" t="s">
        <v>6</v>
      </c>
      <c r="I17" s="12" t="s">
        <v>27</v>
      </c>
      <c r="K17" s="1" t="s">
        <v>81</v>
      </c>
      <c r="L17" s="20">
        <v>230728</v>
      </c>
      <c r="M17" s="20"/>
      <c r="N17" s="20">
        <f>Rendiciones[[#This Row],[Monto Neto ]]*19%</f>
        <v>43838.32</v>
      </c>
      <c r="O17" s="6">
        <f>+Rendiciones[[#This Row],[Monto Neto ]]+Rendiciones[[#This Row],[Monto Exento ]]+Rendiciones[[#This Row],[Iva]]</f>
        <v>274566.32</v>
      </c>
      <c r="Q17" s="138"/>
      <c r="R17" s="20"/>
      <c r="S17" s="20">
        <f>Rendiciones[[#This Row],[Total ]]-Rendiciones[[#This Row],[Monto ]]</f>
        <v>274566.32</v>
      </c>
    </row>
    <row r="18" spans="2:21" x14ac:dyDescent="0.3">
      <c r="B18" s="12" t="s">
        <v>241</v>
      </c>
      <c r="C18" s="12">
        <v>2</v>
      </c>
      <c r="D18" s="138">
        <v>46037</v>
      </c>
      <c r="E18" s="12" t="s">
        <v>431</v>
      </c>
      <c r="F18" s="11" t="str">
        <f>IF(Rendiciones[[#This Row],[Fecha ]]&lt;&gt;"",TEXT(Rendiciones[[#This Row],[Fecha ]],"MMMM"),"")</f>
        <v>enero</v>
      </c>
      <c r="G18" s="11" t="s">
        <v>428</v>
      </c>
      <c r="H18" s="12" t="s">
        <v>6</v>
      </c>
      <c r="I18" s="12" t="s">
        <v>27</v>
      </c>
      <c r="K18" s="1" t="s">
        <v>81</v>
      </c>
      <c r="L18" s="20">
        <v>-95003.6</v>
      </c>
      <c r="M18" s="20"/>
      <c r="N18" s="20">
        <f>Rendiciones[[#This Row],[Monto Neto ]]*19%</f>
        <v>-18050.684000000001</v>
      </c>
      <c r="O18" s="6">
        <f>+Rendiciones[[#This Row],[Monto Neto ]]+Rendiciones[[#This Row],[Monto Exento ]]+Rendiciones[[#This Row],[Iva]]</f>
        <v>-113054.28400000001</v>
      </c>
      <c r="Q18" s="138"/>
      <c r="R18" s="20"/>
      <c r="S18" s="20">
        <f>Rendiciones[[#This Row],[Total ]]-Rendiciones[[#This Row],[Monto ]]</f>
        <v>-113054.28400000001</v>
      </c>
    </row>
    <row r="19" spans="2:21" x14ac:dyDescent="0.3">
      <c r="B19" s="12" t="s">
        <v>241</v>
      </c>
      <c r="C19" s="12">
        <v>2</v>
      </c>
      <c r="D19" s="138">
        <v>46037</v>
      </c>
      <c r="E19" s="12" t="s">
        <v>431</v>
      </c>
      <c r="F19" s="11" t="str">
        <f>IF(Rendiciones[[#This Row],[Fecha ]]&lt;&gt;"",TEXT(Rendiciones[[#This Row],[Fecha ]],"MMMM"),"")</f>
        <v>enero</v>
      </c>
      <c r="G19" s="11" t="s">
        <v>428</v>
      </c>
      <c r="H19" s="12" t="s">
        <v>6</v>
      </c>
      <c r="I19" s="12" t="s">
        <v>39</v>
      </c>
      <c r="L19" s="20"/>
      <c r="M19" s="20">
        <f>1600+1350</f>
        <v>2950</v>
      </c>
      <c r="N19" s="20">
        <f>Rendiciones[[#This Row],[Monto Neto ]]*19%</f>
        <v>0</v>
      </c>
      <c r="O19" s="6">
        <f>+Rendiciones[[#This Row],[Monto Neto ]]+Rendiciones[[#This Row],[Monto Exento ]]+Rendiciones[[#This Row],[Iva]]</f>
        <v>2950</v>
      </c>
      <c r="Q19" s="138"/>
      <c r="R19" s="20"/>
      <c r="S19" s="20">
        <f>Rendiciones[[#This Row],[Total ]]-Rendiciones[[#This Row],[Monto ]]</f>
        <v>2950</v>
      </c>
    </row>
    <row r="20" spans="2:21" x14ac:dyDescent="0.3">
      <c r="B20" s="12" t="s">
        <v>241</v>
      </c>
      <c r="C20" s="12">
        <v>2</v>
      </c>
      <c r="D20" s="138">
        <v>46037</v>
      </c>
      <c r="E20" s="12" t="s">
        <v>431</v>
      </c>
      <c r="F20" s="11" t="str">
        <f>IF(Rendiciones[[#This Row],[Fecha ]]&lt;&gt;"",TEXT(Rendiciones[[#This Row],[Fecha ]],"MMMM"),"")</f>
        <v>enero</v>
      </c>
      <c r="G20" s="11" t="s">
        <v>428</v>
      </c>
      <c r="H20" s="12" t="s">
        <v>6</v>
      </c>
      <c r="I20" s="12" t="s">
        <v>429</v>
      </c>
      <c r="L20" s="20"/>
      <c r="M20" s="20">
        <v>15950</v>
      </c>
      <c r="N20" s="20">
        <f>Rendiciones[[#This Row],[Monto Neto ]]*19%</f>
        <v>0</v>
      </c>
      <c r="O20" s="6">
        <f>+Rendiciones[[#This Row],[Monto Neto ]]+Rendiciones[[#This Row],[Monto Exento ]]+Rendiciones[[#This Row],[Iva]]</f>
        <v>15950</v>
      </c>
      <c r="Q20" s="138"/>
      <c r="R20" s="20"/>
      <c r="S20" s="20">
        <f>Rendiciones[[#This Row],[Total ]]-Rendiciones[[#This Row],[Monto ]]</f>
        <v>15950</v>
      </c>
    </row>
    <row r="21" spans="2:21" x14ac:dyDescent="0.3">
      <c r="B21" s="12" t="s">
        <v>241</v>
      </c>
      <c r="C21" s="12">
        <v>2</v>
      </c>
      <c r="D21" s="138">
        <v>46037</v>
      </c>
      <c r="E21" s="12" t="s">
        <v>431</v>
      </c>
      <c r="F21" s="11" t="str">
        <f>IF(Rendiciones[[#This Row],[Fecha ]]&lt;&gt;"",TEXT(Rendiciones[[#This Row],[Fecha ]],"MMMM"),"")</f>
        <v>enero</v>
      </c>
      <c r="G21" s="11" t="s">
        <v>428</v>
      </c>
      <c r="H21" s="12" t="s">
        <v>6</v>
      </c>
      <c r="I21" s="12" t="s">
        <v>44</v>
      </c>
      <c r="L21" s="20"/>
      <c r="M21" s="20">
        <v>1200</v>
      </c>
      <c r="N21" s="20">
        <f>Rendiciones[[#This Row],[Monto Neto ]]*19%</f>
        <v>0</v>
      </c>
      <c r="O21" s="6">
        <f>+Rendiciones[[#This Row],[Monto Neto ]]+Rendiciones[[#This Row],[Monto Exento ]]+Rendiciones[[#This Row],[Iva]]</f>
        <v>1200</v>
      </c>
      <c r="P21" t="s">
        <v>89</v>
      </c>
      <c r="Q21" s="138">
        <v>46038</v>
      </c>
      <c r="R21" s="20">
        <v>343361</v>
      </c>
      <c r="S21" s="20">
        <f>Rendiciones[[#This Row],[Total ]]-Rendiciones[[#This Row],[Monto ]]</f>
        <v>-342161</v>
      </c>
    </row>
    <row r="22" spans="2:21" x14ac:dyDescent="0.3">
      <c r="B22" s="12" t="s">
        <v>17</v>
      </c>
      <c r="C22" s="12">
        <v>2</v>
      </c>
      <c r="D22" s="138">
        <v>46038</v>
      </c>
      <c r="E22" s="12" t="s">
        <v>431</v>
      </c>
      <c r="F22" s="11" t="str">
        <f>IF(Rendiciones[[#This Row],[Fecha ]]&lt;&gt;"",TEXT(Rendiciones[[#This Row],[Fecha ]],"MMMM"),"")</f>
        <v>enero</v>
      </c>
      <c r="G22" s="11" t="s">
        <v>107</v>
      </c>
      <c r="H22" s="12" t="s">
        <v>458</v>
      </c>
      <c r="I22" s="12" t="s">
        <v>505</v>
      </c>
      <c r="K22" s="1" t="s">
        <v>81</v>
      </c>
      <c r="L22" s="20">
        <v>129395</v>
      </c>
      <c r="M22" s="20"/>
      <c r="N22" s="20">
        <f>Rendiciones[[#This Row],[Monto Neto ]]*19%</f>
        <v>24585.05</v>
      </c>
      <c r="O22" s="6">
        <f>+Rendiciones[[#This Row],[Monto Neto ]]+Rendiciones[[#This Row],[Monto Exento ]]+Rendiciones[[#This Row],[Iva]]</f>
        <v>153980.04999999999</v>
      </c>
      <c r="Q22" s="138"/>
      <c r="R22" s="20"/>
      <c r="S22" s="20">
        <f>Rendiciones[[#This Row],[Total ]]-Rendiciones[[#This Row],[Monto ]]</f>
        <v>153980.04999999999</v>
      </c>
    </row>
    <row r="23" spans="2:21" x14ac:dyDescent="0.3">
      <c r="B23" s="12" t="s">
        <v>17</v>
      </c>
      <c r="C23" s="12">
        <v>3</v>
      </c>
      <c r="D23" s="138">
        <v>46038</v>
      </c>
      <c r="E23" s="12" t="s">
        <v>431</v>
      </c>
      <c r="F23" s="11" t="str">
        <f>IF(Rendiciones[[#This Row],[Fecha ]]&lt;&gt;"",TEXT(Rendiciones[[#This Row],[Fecha ]],"MMMM"),"")</f>
        <v>enero</v>
      </c>
      <c r="G23" s="11" t="s">
        <v>427</v>
      </c>
      <c r="H23" s="12" t="s">
        <v>6</v>
      </c>
      <c r="I23" s="12" t="s">
        <v>28</v>
      </c>
      <c r="K23" s="1" t="s">
        <v>81</v>
      </c>
      <c r="L23" s="20"/>
      <c r="M23" s="20">
        <v>20000</v>
      </c>
      <c r="N23" s="20">
        <f>Rendiciones[[#This Row],[Monto Neto ]]*19%</f>
        <v>0</v>
      </c>
      <c r="O23" s="6">
        <f>+Rendiciones[[#This Row],[Monto Neto ]]+Rendiciones[[#This Row],[Monto Exento ]]+Rendiciones[[#This Row],[Iva]]</f>
        <v>20000</v>
      </c>
      <c r="Q23" s="138"/>
      <c r="R23" s="20"/>
      <c r="S23" s="20">
        <f>Rendiciones[[#This Row],[Total ]]-Rendiciones[[#This Row],[Monto ]]</f>
        <v>20000</v>
      </c>
    </row>
    <row r="24" spans="2:21" x14ac:dyDescent="0.3">
      <c r="B24" s="12" t="s">
        <v>17</v>
      </c>
      <c r="C24" s="12">
        <v>3</v>
      </c>
      <c r="D24" s="138">
        <v>46038</v>
      </c>
      <c r="E24" s="12" t="s">
        <v>431</v>
      </c>
      <c r="F24" s="11" t="str">
        <f>IF(Rendiciones[[#This Row],[Fecha ]]&lt;&gt;"",TEXT(Rendiciones[[#This Row],[Fecha ]],"MMMM"),"")</f>
        <v>enero</v>
      </c>
      <c r="G24" s="11" t="s">
        <v>427</v>
      </c>
      <c r="H24" s="12" t="s">
        <v>6</v>
      </c>
      <c r="I24" s="12" t="s">
        <v>31</v>
      </c>
      <c r="L24" s="20"/>
      <c r="M24" s="20">
        <v>22722</v>
      </c>
      <c r="N24" s="20">
        <f>Rendiciones[[#This Row],[Monto Neto ]]*19%</f>
        <v>0</v>
      </c>
      <c r="O24" s="6">
        <f>+Rendiciones[[#This Row],[Monto Neto ]]+Rendiciones[[#This Row],[Monto Exento ]]+Rendiciones[[#This Row],[Iva]]</f>
        <v>22722</v>
      </c>
      <c r="Q24" s="138"/>
      <c r="R24" s="20"/>
      <c r="S24" s="20">
        <f>Rendiciones[[#This Row],[Total ]]-Rendiciones[[#This Row],[Monto ]]</f>
        <v>22722</v>
      </c>
    </row>
    <row r="25" spans="2:21" x14ac:dyDescent="0.3">
      <c r="B25" s="12" t="s">
        <v>17</v>
      </c>
      <c r="C25" s="12">
        <v>4</v>
      </c>
      <c r="D25" s="138">
        <v>46038</v>
      </c>
      <c r="E25" s="12" t="s">
        <v>431</v>
      </c>
      <c r="F25" s="11" t="str">
        <f>IF(Rendiciones[[#This Row],[Fecha ]]&lt;&gt;"",TEXT(Rendiciones[[#This Row],[Fecha ]],"MMMM"),"")</f>
        <v>enero</v>
      </c>
      <c r="G25" s="11" t="s">
        <v>107</v>
      </c>
      <c r="H25" s="12" t="s">
        <v>458</v>
      </c>
      <c r="I25" s="12" t="s">
        <v>505</v>
      </c>
      <c r="K25" s="1" t="s">
        <v>81</v>
      </c>
      <c r="L25" s="20">
        <v>1428555</v>
      </c>
      <c r="M25" s="20"/>
      <c r="N25" s="20">
        <f>Rendiciones[[#This Row],[Monto Neto ]]*19%</f>
        <v>271425.45</v>
      </c>
      <c r="O25" s="6">
        <f>+Rendiciones[[#This Row],[Monto Neto ]]+Rendiciones[[#This Row],[Monto Exento ]]+Rendiciones[[#This Row],[Iva]]</f>
        <v>1699980.45</v>
      </c>
      <c r="Q25" s="138"/>
      <c r="R25" s="20"/>
      <c r="S25" s="20">
        <f>Rendiciones[[#This Row],[Total ]]-Rendiciones[[#This Row],[Monto ]]</f>
        <v>1699980.45</v>
      </c>
    </row>
    <row r="26" spans="2:21" x14ac:dyDescent="0.3">
      <c r="B26" s="12" t="s">
        <v>17</v>
      </c>
      <c r="C26" s="12">
        <v>4</v>
      </c>
      <c r="D26" s="138">
        <v>46038</v>
      </c>
      <c r="E26" s="12" t="s">
        <v>431</v>
      </c>
      <c r="F26" s="11" t="str">
        <f>IF(Rendiciones[[#This Row],[Fecha ]]&lt;&gt;"",TEXT(Rendiciones[[#This Row],[Fecha ]],"MMMM"),"")</f>
        <v>enero</v>
      </c>
      <c r="G26" s="11" t="s">
        <v>107</v>
      </c>
      <c r="H26" s="12" t="s">
        <v>458</v>
      </c>
      <c r="I26" s="12" t="s">
        <v>505</v>
      </c>
      <c r="K26" s="1" t="s">
        <v>81</v>
      </c>
      <c r="L26" s="20">
        <v>151243.5</v>
      </c>
      <c r="M26" s="20"/>
      <c r="N26" s="20">
        <f>Rendiciones[[#This Row],[Monto Neto ]]*19%</f>
        <v>28736.264999999999</v>
      </c>
      <c r="O26" s="6">
        <f>+Rendiciones[[#This Row],[Monto Neto ]]+Rendiciones[[#This Row],[Monto Exento ]]+Rendiciones[[#This Row],[Iva]]</f>
        <v>179979.76500000001</v>
      </c>
      <c r="P26" t="s">
        <v>89</v>
      </c>
      <c r="Q26" s="138">
        <v>46041</v>
      </c>
      <c r="R26" s="20">
        <v>2076662.395</v>
      </c>
      <c r="S26" s="20">
        <f>Rendiciones[[#This Row],[Total ]]-Rendiciones[[#This Row],[Monto ]]</f>
        <v>-1896682.63</v>
      </c>
    </row>
    <row r="27" spans="2:21" x14ac:dyDescent="0.3">
      <c r="B27" s="12" t="s">
        <v>445</v>
      </c>
      <c r="C27" s="12">
        <v>1</v>
      </c>
      <c r="D27" s="138">
        <v>46038</v>
      </c>
      <c r="E27" s="12" t="s">
        <v>431</v>
      </c>
      <c r="F27" s="11" t="str">
        <f>IF(Rendiciones[[#This Row],[Fecha ]]&lt;&gt;"",TEXT(Rendiciones[[#This Row],[Fecha ]],"MMMM"),"")</f>
        <v>enero</v>
      </c>
      <c r="G27" s="11" t="s">
        <v>427</v>
      </c>
      <c r="H27" s="12" t="s">
        <v>6</v>
      </c>
      <c r="I27" s="12" t="s">
        <v>28</v>
      </c>
      <c r="K27" s="1" t="s">
        <v>81</v>
      </c>
      <c r="L27" s="20">
        <v>33915</v>
      </c>
      <c r="M27" s="20">
        <f>5439+4209</f>
        <v>9648</v>
      </c>
      <c r="N27" s="20">
        <f>Rendiciones[[#This Row],[Monto Neto ]]*19%</f>
        <v>6443.85</v>
      </c>
      <c r="O27" s="6">
        <f>+Rendiciones[[#This Row],[Monto Neto ]]+Rendiciones[[#This Row],[Monto Exento ]]+Rendiciones[[#This Row],[Iva]]</f>
        <v>50006.85</v>
      </c>
      <c r="Q27" s="138"/>
      <c r="R27" s="20"/>
      <c r="S27" s="20">
        <f>Rendiciones[[#This Row],[Total ]]-Rendiciones[[#This Row],[Monto ]]</f>
        <v>50006.85</v>
      </c>
    </row>
    <row r="28" spans="2:21" x14ac:dyDescent="0.3">
      <c r="B28" s="12" t="s">
        <v>445</v>
      </c>
      <c r="C28" s="12">
        <v>1</v>
      </c>
      <c r="D28" s="138">
        <v>46038</v>
      </c>
      <c r="E28" s="12" t="s">
        <v>431</v>
      </c>
      <c r="F28" s="11" t="str">
        <f>IF(Rendiciones[[#This Row],[Fecha ]]&lt;&gt;"",TEXT(Rendiciones[[#This Row],[Fecha ]],"MMMM"),"")</f>
        <v>enero</v>
      </c>
      <c r="G28" s="11" t="s">
        <v>427</v>
      </c>
      <c r="H28" s="12" t="s">
        <v>6</v>
      </c>
      <c r="I28" s="12" t="s">
        <v>504</v>
      </c>
      <c r="K28" s="1" t="s">
        <v>81</v>
      </c>
      <c r="L28" s="20">
        <v>184831</v>
      </c>
      <c r="M28" s="20"/>
      <c r="N28" s="20">
        <f>Rendiciones[[#This Row],[Monto Neto ]]*19%</f>
        <v>35117.89</v>
      </c>
      <c r="O28" s="6">
        <f>+Rendiciones[[#This Row],[Monto Neto ]]+Rendiciones[[#This Row],[Monto Exento ]]+Rendiciones[[#This Row],[Iva]]</f>
        <v>219948.89</v>
      </c>
      <c r="Q28" s="138"/>
      <c r="R28" s="20"/>
      <c r="S28" s="20">
        <f>Rendiciones[[#This Row],[Total ]]-Rendiciones[[#This Row],[Monto ]]</f>
        <v>219948.89</v>
      </c>
    </row>
    <row r="29" spans="2:21" x14ac:dyDescent="0.3">
      <c r="B29" s="12" t="s">
        <v>445</v>
      </c>
      <c r="C29" s="12">
        <v>1</v>
      </c>
      <c r="D29" s="138">
        <v>46038</v>
      </c>
      <c r="E29" s="12" t="s">
        <v>431</v>
      </c>
      <c r="F29" s="11" t="str">
        <f>IF(Rendiciones[[#This Row],[Fecha ]]&lt;&gt;"",TEXT(Rendiciones[[#This Row],[Fecha ]],"MMMM"),"")</f>
        <v>enero</v>
      </c>
      <c r="G29" s="11" t="s">
        <v>427</v>
      </c>
      <c r="H29" s="12" t="s">
        <v>6</v>
      </c>
      <c r="I29" s="12" t="s">
        <v>39</v>
      </c>
      <c r="L29" s="20"/>
      <c r="M29" s="20">
        <f>2950+400+470</f>
        <v>3820</v>
      </c>
      <c r="N29" s="20">
        <f>Rendiciones[[#This Row],[Monto Neto ]]*19%</f>
        <v>0</v>
      </c>
      <c r="O29" s="6">
        <f>+Rendiciones[[#This Row],[Monto Neto ]]+Rendiciones[[#This Row],[Monto Exento ]]+Rendiciones[[#This Row],[Iva]]</f>
        <v>3820</v>
      </c>
      <c r="Q29" s="138"/>
      <c r="R29" s="20"/>
      <c r="S29" s="20">
        <f>Rendiciones[[#This Row],[Total ]]-Rendiciones[[#This Row],[Monto ]]</f>
        <v>3820</v>
      </c>
    </row>
    <row r="30" spans="2:21" x14ac:dyDescent="0.3">
      <c r="B30" s="12" t="s">
        <v>445</v>
      </c>
      <c r="C30" s="12">
        <v>1</v>
      </c>
      <c r="D30" s="138">
        <v>46038</v>
      </c>
      <c r="E30" s="12" t="s">
        <v>431</v>
      </c>
      <c r="F30" s="11" t="str">
        <f>IF(Rendiciones[[#This Row],[Fecha ]]&lt;&gt;"",TEXT(Rendiciones[[#This Row],[Fecha ]],"MMMM"),"")</f>
        <v>enero</v>
      </c>
      <c r="G30" s="11" t="s">
        <v>427</v>
      </c>
      <c r="H30" s="12" t="s">
        <v>6</v>
      </c>
      <c r="I30" s="12" t="s">
        <v>44</v>
      </c>
      <c r="L30" s="20"/>
      <c r="M30" s="20">
        <f>2700+3000</f>
        <v>5700</v>
      </c>
      <c r="N30" s="20">
        <f>Rendiciones[[#This Row],[Monto Neto ]]*19%</f>
        <v>0</v>
      </c>
      <c r="O30" s="6">
        <f>+Rendiciones[[#This Row],[Monto Neto ]]+Rendiciones[[#This Row],[Monto Exento ]]+Rendiciones[[#This Row],[Iva]]</f>
        <v>5700</v>
      </c>
      <c r="P30" t="s">
        <v>110</v>
      </c>
      <c r="Q30" s="138"/>
      <c r="R30" s="20"/>
      <c r="S30" s="20">
        <f>Rendiciones[[#This Row],[Total ]]-Rendiciones[[#This Row],[Monto ]]</f>
        <v>5700</v>
      </c>
    </row>
    <row r="31" spans="2:21" x14ac:dyDescent="0.3">
      <c r="B31" s="12" t="s">
        <v>241</v>
      </c>
      <c r="C31" s="12">
        <v>2</v>
      </c>
      <c r="D31" s="138">
        <v>46045</v>
      </c>
      <c r="E31" s="12" t="s">
        <v>508</v>
      </c>
      <c r="F31" s="11" t="str">
        <f>IF(Rendiciones[[#This Row],[Fecha ]]&lt;&gt;"",TEXT(Rendiciones[[#This Row],[Fecha ]],"MMMM"),"")</f>
        <v>enero</v>
      </c>
      <c r="G31" s="11" t="s">
        <v>428</v>
      </c>
      <c r="L31" s="20"/>
      <c r="M31" s="20"/>
      <c r="N31" s="20">
        <f>Rendiciones[[#This Row],[Monto Neto ]]*19%</f>
        <v>0</v>
      </c>
      <c r="O31" s="6">
        <f>+Rendiciones[[#This Row],[Monto Neto ]]+Rendiciones[[#This Row],[Monto Exento ]]+Rendiciones[[#This Row],[Iva]]</f>
        <v>0</v>
      </c>
      <c r="P31" t="s">
        <v>89</v>
      </c>
      <c r="Q31" s="138">
        <v>46045</v>
      </c>
      <c r="R31" s="20">
        <v>-113053.54</v>
      </c>
      <c r="S31" s="20">
        <f>Rendiciones[[#This Row],[Total ]]-Rendiciones[[#This Row],[Monto ]]</f>
        <v>113053.54</v>
      </c>
    </row>
    <row r="32" spans="2:21" x14ac:dyDescent="0.3">
      <c r="B32" s="12" t="s">
        <v>113</v>
      </c>
      <c r="C32" s="12">
        <v>3</v>
      </c>
      <c r="D32" s="138">
        <v>46044</v>
      </c>
      <c r="E32" s="12" t="s">
        <v>508</v>
      </c>
      <c r="F32" s="11" t="str">
        <f>IF(Rendiciones[[#This Row],[Fecha ]]&lt;&gt;"",TEXT(Rendiciones[[#This Row],[Fecha ]],"MMMM"),"")</f>
        <v>enero</v>
      </c>
      <c r="G32" s="11" t="s">
        <v>427</v>
      </c>
      <c r="H32" s="12" t="s">
        <v>5</v>
      </c>
      <c r="I32" s="12" t="s">
        <v>502</v>
      </c>
      <c r="L32" s="20"/>
      <c r="M32" s="20">
        <v>27009</v>
      </c>
      <c r="N32" s="20">
        <f>Rendiciones[[#This Row],[Monto Neto ]]*19%</f>
        <v>0</v>
      </c>
      <c r="O32" s="6">
        <f>+Rendiciones[[#This Row],[Monto Neto ]]+Rendiciones[[#This Row],[Monto Exento ]]+Rendiciones[[#This Row],[Iva]]</f>
        <v>27009</v>
      </c>
      <c r="Q32" s="138"/>
      <c r="R32" s="20"/>
      <c r="S32" s="20">
        <f>Rendiciones[[#This Row],[Total ]]-Rendiciones[[#This Row],[Monto ]]</f>
        <v>27009</v>
      </c>
      <c r="U32" s="72"/>
    </row>
    <row r="33" spans="2:21" x14ac:dyDescent="0.3">
      <c r="B33" s="12" t="s">
        <v>113</v>
      </c>
      <c r="C33" s="12">
        <v>3</v>
      </c>
      <c r="D33" s="138">
        <v>46044</v>
      </c>
      <c r="E33" s="12" t="s">
        <v>508</v>
      </c>
      <c r="F33" s="11" t="str">
        <f>IF(Rendiciones[[#This Row],[Fecha ]]&lt;&gt;"",TEXT(Rendiciones[[#This Row],[Fecha ]],"MMMM"),"")</f>
        <v>enero</v>
      </c>
      <c r="G33" s="11" t="s">
        <v>427</v>
      </c>
      <c r="H33" s="12" t="s">
        <v>5</v>
      </c>
      <c r="I33" s="12" t="s">
        <v>59</v>
      </c>
      <c r="L33" s="20"/>
      <c r="M33" s="20">
        <v>11702</v>
      </c>
      <c r="N33" s="20">
        <f>Rendiciones[[#This Row],[Monto Neto ]]*19%</f>
        <v>0</v>
      </c>
      <c r="O33" s="6">
        <f>+Rendiciones[[#This Row],[Monto Neto ]]+Rendiciones[[#This Row],[Monto Exento ]]+Rendiciones[[#This Row],[Iva]]</f>
        <v>11702</v>
      </c>
      <c r="P33" t="s">
        <v>477</v>
      </c>
      <c r="Q33" s="138">
        <v>46045</v>
      </c>
      <c r="R33" s="20">
        <v>38711</v>
      </c>
      <c r="S33" s="20">
        <f>Rendiciones[[#This Row],[Total ]]-Rendiciones[[#This Row],[Monto ]]</f>
        <v>-27009</v>
      </c>
      <c r="U33" s="72"/>
    </row>
    <row r="34" spans="2:21" ht="14.4" customHeight="1" x14ac:dyDescent="0.3">
      <c r="B34" s="12" t="s">
        <v>20</v>
      </c>
      <c r="C34" s="12">
        <v>1</v>
      </c>
      <c r="D34" s="138">
        <v>46043</v>
      </c>
      <c r="E34" s="12" t="s">
        <v>508</v>
      </c>
      <c r="F34" s="11" t="str">
        <f>IF(Rendiciones[[#This Row],[Fecha ]]&lt;&gt;"",TEXT(Rendiciones[[#This Row],[Fecha ]],"MMMM"),"")</f>
        <v>enero</v>
      </c>
      <c r="G34" s="11" t="s">
        <v>427</v>
      </c>
      <c r="H34" s="12" t="s">
        <v>6</v>
      </c>
      <c r="I34" s="12" t="s">
        <v>459</v>
      </c>
      <c r="L34" s="20"/>
      <c r="M34" s="20">
        <v>1291352</v>
      </c>
      <c r="N34" s="20">
        <f>Rendiciones[[#This Row],[Monto Neto ]]*19%</f>
        <v>0</v>
      </c>
      <c r="O34" s="6">
        <f>+Rendiciones[[#This Row],[Monto Neto ]]+Rendiciones[[#This Row],[Monto Exento ]]+Rendiciones[[#This Row],[Iva]]</f>
        <v>1291352</v>
      </c>
      <c r="P34" t="s">
        <v>89</v>
      </c>
      <c r="Q34" s="138">
        <v>46043</v>
      </c>
      <c r="R34" s="20">
        <v>1291352</v>
      </c>
      <c r="S34" s="20">
        <f>Rendiciones[[#This Row],[Total ]]-Rendiciones[[#This Row],[Monto ]]</f>
        <v>0</v>
      </c>
      <c r="U34" s="72"/>
    </row>
    <row r="35" spans="2:21" ht="14.4" customHeight="1" x14ac:dyDescent="0.3">
      <c r="B35" s="12" t="s">
        <v>20</v>
      </c>
      <c r="C35" s="12">
        <v>1</v>
      </c>
      <c r="D35" s="138">
        <v>46043</v>
      </c>
      <c r="E35" s="12" t="s">
        <v>508</v>
      </c>
      <c r="F35" s="11" t="str">
        <f>IF(Rendiciones[[#This Row],[Fecha ]]&lt;&gt;"",TEXT(Rendiciones[[#This Row],[Fecha ]],"MMMM"),"")</f>
        <v>enero</v>
      </c>
      <c r="G35" s="11" t="s">
        <v>427</v>
      </c>
      <c r="H35" s="12" t="s">
        <v>6</v>
      </c>
      <c r="I35" s="12" t="s">
        <v>459</v>
      </c>
      <c r="L35" s="20"/>
      <c r="M35" s="20">
        <v>1243599</v>
      </c>
      <c r="N35" s="20">
        <f>Rendiciones[[#This Row],[Monto Neto ]]*19%</f>
        <v>0</v>
      </c>
      <c r="O35" s="6">
        <f>+Rendiciones[[#This Row],[Monto Neto ]]+Rendiciones[[#This Row],[Monto Exento ]]+Rendiciones[[#This Row],[Iva]]</f>
        <v>1243599</v>
      </c>
      <c r="P35" t="s">
        <v>477</v>
      </c>
      <c r="Q35" s="138">
        <v>46045</v>
      </c>
      <c r="R35" s="20">
        <v>500000</v>
      </c>
      <c r="S35" s="20">
        <f>Rendiciones[[#This Row],[Total ]]-Rendiciones[[#This Row],[Monto ]]</f>
        <v>743599</v>
      </c>
      <c r="U35" s="72"/>
    </row>
    <row r="36" spans="2:21" x14ac:dyDescent="0.3">
      <c r="B36" s="12" t="s">
        <v>509</v>
      </c>
      <c r="C36" s="12">
        <v>1</v>
      </c>
      <c r="D36" s="138">
        <v>46041</v>
      </c>
      <c r="E36" s="12" t="s">
        <v>508</v>
      </c>
      <c r="F36" s="11" t="str">
        <f>IF(Rendiciones[[#This Row],[Fecha ]]&lt;&gt;"",TEXT(Rendiciones[[#This Row],[Fecha ]],"MMMM"),"")</f>
        <v>enero</v>
      </c>
      <c r="G36" s="11" t="s">
        <v>427</v>
      </c>
      <c r="H36" s="12" t="s">
        <v>9</v>
      </c>
      <c r="I36" s="12" t="s">
        <v>28</v>
      </c>
      <c r="K36" s="1" t="s">
        <v>81</v>
      </c>
      <c r="L36" s="20">
        <v>13544</v>
      </c>
      <c r="M36" s="20">
        <f>2189+1694</f>
        <v>3883</v>
      </c>
      <c r="N36" s="20">
        <f>Rendiciones[[#This Row],[Monto Neto ]]*19%</f>
        <v>2573.36</v>
      </c>
      <c r="O36" s="6">
        <f>+Rendiciones[[#This Row],[Monto Neto ]]+Rendiciones[[#This Row],[Monto Exento ]]+Rendiciones[[#This Row],[Iva]]</f>
        <v>20000.36</v>
      </c>
      <c r="Q36" s="138"/>
      <c r="R36" s="20"/>
      <c r="S36" s="20">
        <f>Rendiciones[[#This Row],[Total ]]-Rendiciones[[#This Row],[Monto ]]</f>
        <v>20000.36</v>
      </c>
      <c r="U36" s="72"/>
    </row>
    <row r="37" spans="2:21" x14ac:dyDescent="0.3">
      <c r="B37" s="12" t="s">
        <v>509</v>
      </c>
      <c r="C37" s="12">
        <v>1</v>
      </c>
      <c r="D37" s="138">
        <v>46041</v>
      </c>
      <c r="E37" s="12" t="s">
        <v>508</v>
      </c>
      <c r="F37" s="11" t="str">
        <f>IF(Rendiciones[[#This Row],[Fecha ]]&lt;&gt;"",TEXT(Rendiciones[[#This Row],[Fecha ]],"MMMM"),"")</f>
        <v>enero</v>
      </c>
      <c r="G37" s="11" t="s">
        <v>427</v>
      </c>
      <c r="H37" s="12" t="s">
        <v>9</v>
      </c>
      <c r="I37" s="12" t="s">
        <v>28</v>
      </c>
      <c r="K37" s="1" t="s">
        <v>81</v>
      </c>
      <c r="L37" s="20">
        <v>28029</v>
      </c>
      <c r="M37" s="20">
        <f>4489+3474</f>
        <v>7963</v>
      </c>
      <c r="N37" s="20">
        <f>Rendiciones[[#This Row],[Monto Neto ]]*19%</f>
        <v>5325.51</v>
      </c>
      <c r="O37" s="6">
        <f>+Rendiciones[[#This Row],[Monto Neto ]]+Rendiciones[[#This Row],[Monto Exento ]]+Rendiciones[[#This Row],[Iva]]</f>
        <v>41317.51</v>
      </c>
      <c r="Q37" s="138"/>
      <c r="R37" s="20"/>
      <c r="S37" s="20">
        <f>Rendiciones[[#This Row],[Total ]]-Rendiciones[[#This Row],[Monto ]]</f>
        <v>41317.51</v>
      </c>
      <c r="U37" s="72"/>
    </row>
    <row r="38" spans="2:21" x14ac:dyDescent="0.3">
      <c r="B38" s="12" t="s">
        <v>509</v>
      </c>
      <c r="C38" s="12">
        <v>1</v>
      </c>
      <c r="D38" s="138">
        <v>46041</v>
      </c>
      <c r="E38" s="12" t="s">
        <v>508</v>
      </c>
      <c r="F38" s="11" t="str">
        <f>IF(Rendiciones[[#This Row],[Fecha ]]&lt;&gt;"",TEXT(Rendiciones[[#This Row],[Fecha ]],"MMMM"),"")</f>
        <v>enero</v>
      </c>
      <c r="G38" s="11" t="s">
        <v>427</v>
      </c>
      <c r="H38" s="12" t="s">
        <v>9</v>
      </c>
      <c r="I38" s="12" t="s">
        <v>28</v>
      </c>
      <c r="K38" s="1" t="s">
        <v>81</v>
      </c>
      <c r="L38" s="20">
        <v>24329</v>
      </c>
      <c r="M38" s="20">
        <f>3973+3075+500</f>
        <v>7548</v>
      </c>
      <c r="N38" s="20">
        <f>Rendiciones[[#This Row],[Monto Neto ]]*19%</f>
        <v>4622.51</v>
      </c>
      <c r="O38" s="6">
        <f>+Rendiciones[[#This Row],[Monto Neto ]]+Rendiciones[[#This Row],[Monto Exento ]]+Rendiciones[[#This Row],[Iva]]</f>
        <v>36499.51</v>
      </c>
      <c r="Q38" s="138"/>
      <c r="R38" s="20"/>
      <c r="S38" s="20">
        <f>Rendiciones[[#This Row],[Total ]]-Rendiciones[[#This Row],[Monto ]]</f>
        <v>36499.51</v>
      </c>
      <c r="U38" s="72"/>
    </row>
    <row r="39" spans="2:21" x14ac:dyDescent="0.3">
      <c r="B39" s="12" t="s">
        <v>509</v>
      </c>
      <c r="C39" s="12">
        <v>1</v>
      </c>
      <c r="D39" s="138">
        <v>46041</v>
      </c>
      <c r="E39" s="12" t="s">
        <v>508</v>
      </c>
      <c r="F39" s="11" t="str">
        <f>IF(Rendiciones[[#This Row],[Fecha ]]&lt;&gt;"",TEXT(Rendiciones[[#This Row],[Fecha ]],"MMMM"),"")</f>
        <v>enero</v>
      </c>
      <c r="G39" s="11" t="s">
        <v>427</v>
      </c>
      <c r="H39" s="12" t="s">
        <v>9</v>
      </c>
      <c r="I39" s="12" t="s">
        <v>28</v>
      </c>
      <c r="K39" s="1" t="s">
        <v>81</v>
      </c>
      <c r="L39" s="20">
        <v>22588</v>
      </c>
      <c r="M39" s="20">
        <f>3753+3369+500</f>
        <v>7622</v>
      </c>
      <c r="N39" s="20">
        <f>Rendiciones[[#This Row],[Monto Neto ]]*19%</f>
        <v>4291.72</v>
      </c>
      <c r="O39" s="6">
        <f>+Rendiciones[[#This Row],[Monto Neto ]]+Rendiciones[[#This Row],[Monto Exento ]]+Rendiciones[[#This Row],[Iva]]</f>
        <v>34501.72</v>
      </c>
      <c r="Q39" s="138"/>
      <c r="R39" s="20"/>
      <c r="S39" s="20">
        <f>Rendiciones[[#This Row],[Total ]]-Rendiciones[[#This Row],[Monto ]]</f>
        <v>34501.72</v>
      </c>
      <c r="U39" s="72"/>
    </row>
    <row r="40" spans="2:21" x14ac:dyDescent="0.3">
      <c r="B40" s="12" t="s">
        <v>509</v>
      </c>
      <c r="C40" s="12">
        <v>1</v>
      </c>
      <c r="D40" s="138">
        <v>46041</v>
      </c>
      <c r="E40" s="12" t="s">
        <v>508</v>
      </c>
      <c r="F40" s="11" t="str">
        <f>IF(Rendiciones[[#This Row],[Fecha ]]&lt;&gt;"",TEXT(Rendiciones[[#This Row],[Fecha ]],"MMMM"),"")</f>
        <v>enero</v>
      </c>
      <c r="G40" s="11" t="s">
        <v>427</v>
      </c>
      <c r="H40" s="12" t="s">
        <v>9</v>
      </c>
      <c r="I40" s="12" t="s">
        <v>28</v>
      </c>
      <c r="K40" s="1" t="s">
        <v>81</v>
      </c>
      <c r="L40" s="20">
        <v>23930</v>
      </c>
      <c r="M40" s="20">
        <f>3975+3569+500</f>
        <v>8044</v>
      </c>
      <c r="N40" s="20">
        <f>Rendiciones[[#This Row],[Monto Neto ]]*19%</f>
        <v>4546.7</v>
      </c>
      <c r="O40" s="6">
        <f>+Rendiciones[[#This Row],[Monto Neto ]]+Rendiciones[[#This Row],[Monto Exento ]]+Rendiciones[[#This Row],[Iva]]</f>
        <v>36520.699999999997</v>
      </c>
      <c r="Q40" s="138"/>
      <c r="R40" s="20"/>
      <c r="S40" s="20">
        <f>Rendiciones[[#This Row],[Total ]]-Rendiciones[[#This Row],[Monto ]]</f>
        <v>36520.699999999997</v>
      </c>
      <c r="U40" s="72"/>
    </row>
    <row r="41" spans="2:21" x14ac:dyDescent="0.3">
      <c r="B41" s="12" t="s">
        <v>509</v>
      </c>
      <c r="C41" s="12">
        <v>1</v>
      </c>
      <c r="D41" s="138">
        <v>46041</v>
      </c>
      <c r="E41" s="12" t="s">
        <v>508</v>
      </c>
      <c r="F41" s="11" t="str">
        <f>IF(Rendiciones[[#This Row],[Fecha ]]&lt;&gt;"",TEXT(Rendiciones[[#This Row],[Fecha ]],"MMMM"),"")</f>
        <v>enero</v>
      </c>
      <c r="G41" s="11" t="s">
        <v>427</v>
      </c>
      <c r="H41" s="12" t="s">
        <v>5</v>
      </c>
      <c r="I41" s="12" t="s">
        <v>56</v>
      </c>
      <c r="L41" s="20"/>
      <c r="M41" s="20">
        <v>9819</v>
      </c>
      <c r="N41" s="20">
        <f>Rendiciones[[#This Row],[Monto Neto ]]*19%</f>
        <v>0</v>
      </c>
      <c r="O41" s="6">
        <f>+Rendiciones[[#This Row],[Monto Neto ]]+Rendiciones[[#This Row],[Monto Exento ]]+Rendiciones[[#This Row],[Iva]]</f>
        <v>9819</v>
      </c>
      <c r="Q41" s="138"/>
      <c r="R41" s="20"/>
      <c r="S41" s="20">
        <f>Rendiciones[[#This Row],[Total ]]-Rendiciones[[#This Row],[Monto ]]</f>
        <v>9819</v>
      </c>
      <c r="U41" s="72"/>
    </row>
    <row r="42" spans="2:21" x14ac:dyDescent="0.3">
      <c r="B42" s="12" t="s">
        <v>509</v>
      </c>
      <c r="C42" s="12">
        <v>1</v>
      </c>
      <c r="D42" s="138">
        <v>46041</v>
      </c>
      <c r="E42" s="12" t="s">
        <v>508</v>
      </c>
      <c r="F42" s="11" t="str">
        <f>IF(Rendiciones[[#This Row],[Fecha ]]&lt;&gt;"",TEXT(Rendiciones[[#This Row],[Fecha ]],"MMMM"),"")</f>
        <v>enero</v>
      </c>
      <c r="G42" s="11" t="s">
        <v>427</v>
      </c>
      <c r="H42" s="12" t="s">
        <v>9</v>
      </c>
      <c r="I42" s="12" t="s">
        <v>429</v>
      </c>
      <c r="L42" s="20"/>
      <c r="M42" s="20">
        <f>5500+6069+2740+3800+4605+5340.4</f>
        <v>28054.400000000001</v>
      </c>
      <c r="N42" s="20">
        <f>Rendiciones[[#This Row],[Monto Neto ]]*19%</f>
        <v>0</v>
      </c>
      <c r="O42" s="6">
        <f>+Rendiciones[[#This Row],[Monto Neto ]]+Rendiciones[[#This Row],[Monto Exento ]]+Rendiciones[[#This Row],[Iva]]</f>
        <v>28054.400000000001</v>
      </c>
      <c r="Q42" s="138"/>
      <c r="R42" s="20"/>
      <c r="S42" s="20">
        <f>Rendiciones[[#This Row],[Total ]]-Rendiciones[[#This Row],[Monto ]]</f>
        <v>28054.400000000001</v>
      </c>
      <c r="U42" s="72"/>
    </row>
    <row r="43" spans="2:21" x14ac:dyDescent="0.3">
      <c r="B43" s="12" t="s">
        <v>509</v>
      </c>
      <c r="C43" s="12">
        <v>1</v>
      </c>
      <c r="D43" s="138">
        <v>46041</v>
      </c>
      <c r="E43" s="12" t="s">
        <v>508</v>
      </c>
      <c r="F43" s="11" t="str">
        <f>IF(Rendiciones[[#This Row],[Fecha ]]&lt;&gt;"",TEXT(Rendiciones[[#This Row],[Fecha ]],"MMMM"),"")</f>
        <v>enero</v>
      </c>
      <c r="G43" s="11" t="s">
        <v>427</v>
      </c>
      <c r="H43" s="12" t="s">
        <v>9</v>
      </c>
      <c r="I43" s="12" t="s">
        <v>39</v>
      </c>
      <c r="L43" s="20"/>
      <c r="M43" s="20">
        <v>3900.4</v>
      </c>
      <c r="N43" s="20">
        <f>Rendiciones[[#This Row],[Monto Neto ]]*19%</f>
        <v>0</v>
      </c>
      <c r="O43" s="6">
        <f>+Rendiciones[[#This Row],[Monto Neto ]]+Rendiciones[[#This Row],[Monto Exento ]]+Rendiciones[[#This Row],[Iva]]</f>
        <v>3900.4</v>
      </c>
      <c r="P43" t="s">
        <v>477</v>
      </c>
      <c r="Q43" s="138">
        <v>46045</v>
      </c>
      <c r="R43" s="20">
        <v>210613.6</v>
      </c>
      <c r="S43" s="20">
        <f>Rendiciones[[#This Row],[Total ]]-Rendiciones[[#This Row],[Monto ]]</f>
        <v>-206713.2</v>
      </c>
      <c r="U43" s="72"/>
    </row>
    <row r="44" spans="2:21" x14ac:dyDescent="0.3">
      <c r="B44" s="12" t="s">
        <v>509</v>
      </c>
      <c r="C44" s="12">
        <v>2</v>
      </c>
      <c r="D44" s="138">
        <v>46050</v>
      </c>
      <c r="E44" s="12" t="s">
        <v>510</v>
      </c>
      <c r="F44" s="11" t="str">
        <f>IF(Rendiciones[[#This Row],[Fecha ]]&lt;&gt;"",TEXT(Rendiciones[[#This Row],[Fecha ]],"MMMM"),"")</f>
        <v>enero</v>
      </c>
      <c r="G44" s="11" t="s">
        <v>427</v>
      </c>
      <c r="H44" s="12" t="s">
        <v>9</v>
      </c>
      <c r="I44" s="12" t="s">
        <v>28</v>
      </c>
      <c r="K44" s="1" t="s">
        <v>81</v>
      </c>
      <c r="L44" s="20">
        <v>19313</v>
      </c>
      <c r="M44" s="20">
        <f>3091+1938+500</f>
        <v>5529</v>
      </c>
      <c r="N44" s="20">
        <f>Rendiciones[[#This Row],[Monto Neto ]]*19%</f>
        <v>3669.4700000000003</v>
      </c>
      <c r="O44" s="6">
        <f>+Rendiciones[[#This Row],[Monto Neto ]]+Rendiciones[[#This Row],[Monto Exento ]]+Rendiciones[[#This Row],[Iva]]</f>
        <v>28511.47</v>
      </c>
      <c r="Q44" s="138"/>
      <c r="R44" s="20"/>
      <c r="S44" s="20">
        <f>Rendiciones[[#This Row],[Total ]]-Rendiciones[[#This Row],[Monto ]]</f>
        <v>28511.47</v>
      </c>
      <c r="U44" s="72"/>
    </row>
    <row r="45" spans="2:21" x14ac:dyDescent="0.3">
      <c r="B45" s="12" t="s">
        <v>509</v>
      </c>
      <c r="C45" s="12">
        <v>2</v>
      </c>
      <c r="D45" s="138">
        <v>46050</v>
      </c>
      <c r="E45" s="12" t="s">
        <v>510</v>
      </c>
      <c r="F45" s="11" t="str">
        <f>IF(Rendiciones[[#This Row],[Fecha ]]&lt;&gt;"",TEXT(Rendiciones[[#This Row],[Fecha ]],"MMMM"),"")</f>
        <v>enero</v>
      </c>
      <c r="G45" s="11" t="s">
        <v>427</v>
      </c>
      <c r="H45" s="12" t="s">
        <v>9</v>
      </c>
      <c r="I45" s="12" t="s">
        <v>429</v>
      </c>
      <c r="L45" s="20"/>
      <c r="M45" s="20">
        <f>4400+5200</f>
        <v>9600</v>
      </c>
      <c r="N45" s="20">
        <f>Rendiciones[[#This Row],[Monto Neto ]]*19%</f>
        <v>0</v>
      </c>
      <c r="O45" s="6">
        <f>+Rendiciones[[#This Row],[Monto Neto ]]+Rendiciones[[#This Row],[Monto Exento ]]+Rendiciones[[#This Row],[Iva]]</f>
        <v>9600</v>
      </c>
      <c r="P45" t="s">
        <v>477</v>
      </c>
      <c r="Q45" s="138">
        <v>46052</v>
      </c>
      <c r="R45" s="20">
        <v>38111.47</v>
      </c>
      <c r="S45" s="20">
        <f>Rendiciones[[#This Row],[Total ]]-Rendiciones[[#This Row],[Monto ]]</f>
        <v>-28511.47</v>
      </c>
      <c r="U45" s="72"/>
    </row>
    <row r="46" spans="2:21" x14ac:dyDescent="0.3">
      <c r="B46" s="12" t="s">
        <v>467</v>
      </c>
      <c r="C46" s="12">
        <v>1</v>
      </c>
      <c r="D46" s="138">
        <v>46038</v>
      </c>
      <c r="E46" s="12" t="s">
        <v>431</v>
      </c>
      <c r="F46" s="11" t="str">
        <f>IF(Rendiciones[[#This Row],[Fecha ]]&lt;&gt;"",TEXT(Rendiciones[[#This Row],[Fecha ]],"MMMM"),"")</f>
        <v>enero</v>
      </c>
      <c r="G46" s="11" t="s">
        <v>428</v>
      </c>
      <c r="H46" s="12" t="s">
        <v>6</v>
      </c>
      <c r="I46" s="12" t="s">
        <v>40</v>
      </c>
      <c r="K46" s="1" t="s">
        <v>81</v>
      </c>
      <c r="L46" s="20"/>
      <c r="M46" s="20">
        <v>315000</v>
      </c>
      <c r="N46" s="20">
        <f>Rendiciones[[#This Row],[Monto Neto ]]*19%</f>
        <v>0</v>
      </c>
      <c r="O46" s="6">
        <f>+Rendiciones[[#This Row],[Monto Neto ]]+Rendiciones[[#This Row],[Monto Exento ]]+Rendiciones[[#This Row],[Iva]]</f>
        <v>315000</v>
      </c>
      <c r="R46" s="20"/>
      <c r="S46" s="20">
        <f>Rendiciones[[#This Row],[Total ]]-Rendiciones[[#This Row],[Monto ]]</f>
        <v>315000</v>
      </c>
      <c r="U46" s="72"/>
    </row>
    <row r="47" spans="2:21" x14ac:dyDescent="0.3">
      <c r="B47" s="12" t="s">
        <v>467</v>
      </c>
      <c r="C47" s="12">
        <v>1</v>
      </c>
      <c r="D47" s="138">
        <v>46038</v>
      </c>
      <c r="E47" s="12" t="s">
        <v>431</v>
      </c>
      <c r="F47" s="11" t="str">
        <f>IF(Rendiciones[[#This Row],[Fecha ]]&lt;&gt;"",TEXT(Rendiciones[[#This Row],[Fecha ]],"MMMM"),"")</f>
        <v>enero</v>
      </c>
      <c r="G47" s="11" t="s">
        <v>428</v>
      </c>
      <c r="H47" s="12" t="s">
        <v>6</v>
      </c>
      <c r="I47" s="12" t="s">
        <v>65</v>
      </c>
      <c r="K47" s="1" t="s">
        <v>81</v>
      </c>
      <c r="L47" s="20">
        <v>49664</v>
      </c>
      <c r="M47" s="20">
        <v>5910</v>
      </c>
      <c r="N47" s="20">
        <f>Rendiciones[[#This Row],[Monto Neto ]]*19%</f>
        <v>9436.16</v>
      </c>
      <c r="O47" s="6">
        <f>+Rendiciones[[#This Row],[Monto Neto ]]+Rendiciones[[#This Row],[Monto Exento ]]+Rendiciones[[#This Row],[Iva]]</f>
        <v>65010.16</v>
      </c>
      <c r="R47" s="20"/>
      <c r="S47" s="20">
        <f>Rendiciones[[#This Row],[Total ]]-Rendiciones[[#This Row],[Monto ]]</f>
        <v>65010.16</v>
      </c>
      <c r="U47" s="72"/>
    </row>
    <row r="48" spans="2:21" x14ac:dyDescent="0.3">
      <c r="B48" s="12" t="s">
        <v>467</v>
      </c>
      <c r="C48" s="12">
        <v>1</v>
      </c>
      <c r="D48" s="138">
        <v>46038</v>
      </c>
      <c r="E48" s="12" t="s">
        <v>431</v>
      </c>
      <c r="F48" s="11" t="str">
        <f>IF(Rendiciones[[#This Row],[Fecha ]]&lt;&gt;"",TEXT(Rendiciones[[#This Row],[Fecha ]],"MMMM"),"")</f>
        <v>enero</v>
      </c>
      <c r="G48" s="11" t="s">
        <v>428</v>
      </c>
      <c r="H48" s="12" t="s">
        <v>6</v>
      </c>
      <c r="I48" s="12" t="s">
        <v>65</v>
      </c>
      <c r="K48" s="1" t="s">
        <v>81</v>
      </c>
      <c r="L48" s="20">
        <v>23487</v>
      </c>
      <c r="M48" s="20">
        <v>2795</v>
      </c>
      <c r="N48" s="20">
        <f>Rendiciones[[#This Row],[Monto Neto ]]*19%</f>
        <v>4462.53</v>
      </c>
      <c r="O48" s="6">
        <f>+Rendiciones[[#This Row],[Monto Neto ]]+Rendiciones[[#This Row],[Monto Exento ]]+Rendiciones[[#This Row],[Iva]]</f>
        <v>30744.53</v>
      </c>
      <c r="R48" s="20"/>
      <c r="S48" s="20">
        <f>Rendiciones[[#This Row],[Total ]]-Rendiciones[[#This Row],[Monto ]]</f>
        <v>30744.53</v>
      </c>
      <c r="U48" s="72"/>
    </row>
    <row r="49" spans="2:21" x14ac:dyDescent="0.3">
      <c r="B49" s="12" t="s">
        <v>467</v>
      </c>
      <c r="C49" s="12">
        <v>1</v>
      </c>
      <c r="D49" s="138">
        <v>46038</v>
      </c>
      <c r="E49" s="12" t="s">
        <v>431</v>
      </c>
      <c r="F49" s="11" t="str">
        <f>IF(Rendiciones[[#This Row],[Fecha ]]&lt;&gt;"",TEXT(Rendiciones[[#This Row],[Fecha ]],"MMMM"),"")</f>
        <v>enero</v>
      </c>
      <c r="G49" s="11" t="s">
        <v>428</v>
      </c>
      <c r="H49" s="12" t="s">
        <v>6</v>
      </c>
      <c r="I49" s="12" t="s">
        <v>31</v>
      </c>
      <c r="L49" s="20"/>
      <c r="M49" s="20">
        <f>25000+5000+2744+6193+2784+6228+5282+6000+4000+4000+5000+6000+6332+4479+6000+6000+6000+25000</f>
        <v>132042</v>
      </c>
      <c r="N49" s="20">
        <f>Rendiciones[[#This Row],[Monto Neto ]]*19%</f>
        <v>0</v>
      </c>
      <c r="O49" s="6">
        <f>+Rendiciones[[#This Row],[Monto Neto ]]+Rendiciones[[#This Row],[Monto Exento ]]+Rendiciones[[#This Row],[Iva]]</f>
        <v>132042</v>
      </c>
      <c r="R49" s="20"/>
      <c r="S49" s="20">
        <f>Rendiciones[[#This Row],[Total ]]-Rendiciones[[#This Row],[Monto ]]</f>
        <v>132042</v>
      </c>
      <c r="U49" s="72"/>
    </row>
    <row r="50" spans="2:21" x14ac:dyDescent="0.3">
      <c r="B50" s="12" t="s">
        <v>467</v>
      </c>
      <c r="C50" s="12">
        <v>1</v>
      </c>
      <c r="D50" s="138">
        <v>46038</v>
      </c>
      <c r="E50" s="12" t="s">
        <v>431</v>
      </c>
      <c r="F50" s="11" t="str">
        <f>IF(Rendiciones[[#This Row],[Fecha ]]&lt;&gt;"",TEXT(Rendiciones[[#This Row],[Fecha ]],"MMMM"),"")</f>
        <v>enero</v>
      </c>
      <c r="G50" s="11" t="s">
        <v>428</v>
      </c>
      <c r="H50" s="12" t="s">
        <v>6</v>
      </c>
      <c r="I50" s="12" t="s">
        <v>429</v>
      </c>
      <c r="L50" s="20"/>
      <c r="M50" s="20">
        <f>15600+27160+29700+8140</f>
        <v>80600</v>
      </c>
      <c r="N50" s="20">
        <f>Rendiciones[[#This Row],[Monto Neto ]]*19%</f>
        <v>0</v>
      </c>
      <c r="O50" s="6">
        <f>+Rendiciones[[#This Row],[Monto Neto ]]+Rendiciones[[#This Row],[Monto Exento ]]+Rendiciones[[#This Row],[Iva]]</f>
        <v>80600</v>
      </c>
      <c r="R50" s="20"/>
      <c r="S50" s="20">
        <f>Rendiciones[[#This Row],[Total ]]-Rendiciones[[#This Row],[Monto ]]</f>
        <v>80600</v>
      </c>
      <c r="U50" s="72"/>
    </row>
    <row r="51" spans="2:21" x14ac:dyDescent="0.3">
      <c r="B51" s="12" t="s">
        <v>467</v>
      </c>
      <c r="C51" s="12">
        <v>2</v>
      </c>
      <c r="D51" s="138">
        <v>46038</v>
      </c>
      <c r="E51" s="12" t="s">
        <v>431</v>
      </c>
      <c r="F51" s="11" t="str">
        <f>IF(Rendiciones[[#This Row],[Fecha ]]&lt;&gt;"",TEXT(Rendiciones[[#This Row],[Fecha ]],"MMMM"),"")</f>
        <v>enero</v>
      </c>
      <c r="G51" s="11" t="s">
        <v>428</v>
      </c>
      <c r="H51" s="12" t="s">
        <v>6</v>
      </c>
      <c r="I51" s="12" t="s">
        <v>429</v>
      </c>
      <c r="K51" s="1" t="s">
        <v>81</v>
      </c>
      <c r="L51" s="20">
        <v>48067</v>
      </c>
      <c r="M51" s="20"/>
      <c r="N51" s="20">
        <f>Rendiciones[[#This Row],[Monto Neto ]]*19%</f>
        <v>9132.73</v>
      </c>
      <c r="O51" s="6">
        <f>+Rendiciones[[#This Row],[Monto Neto ]]+Rendiciones[[#This Row],[Monto Exento ]]+Rendiciones[[#This Row],[Iva]]</f>
        <v>57199.729999999996</v>
      </c>
      <c r="R51" s="20"/>
      <c r="S51" s="20">
        <f>Rendiciones[[#This Row],[Total ]]-Rendiciones[[#This Row],[Monto ]]</f>
        <v>57199.729999999996</v>
      </c>
      <c r="U51" s="72"/>
    </row>
    <row r="52" spans="2:21" x14ac:dyDescent="0.3">
      <c r="B52" s="12" t="s">
        <v>467</v>
      </c>
      <c r="C52" s="12">
        <v>2</v>
      </c>
      <c r="D52" s="138">
        <v>46038</v>
      </c>
      <c r="E52" s="12" t="s">
        <v>431</v>
      </c>
      <c r="F52" s="11" t="str">
        <f>IF(Rendiciones[[#This Row],[Fecha ]]&lt;&gt;"",TEXT(Rendiciones[[#This Row],[Fecha ]],"MMMM"),"")</f>
        <v>enero</v>
      </c>
      <c r="G52" s="11" t="s">
        <v>428</v>
      </c>
      <c r="H52" s="12" t="s">
        <v>6</v>
      </c>
      <c r="I52" s="12" t="s">
        <v>28</v>
      </c>
      <c r="K52" s="1" t="s">
        <v>81</v>
      </c>
      <c r="L52" s="20">
        <v>12490</v>
      </c>
      <c r="M52" s="20">
        <v>10137</v>
      </c>
      <c r="N52" s="20">
        <f>Rendiciones[[#This Row],[Monto Neto ]]*19%</f>
        <v>2373.1</v>
      </c>
      <c r="O52" s="6">
        <f>+Rendiciones[[#This Row],[Monto Neto ]]+Rendiciones[[#This Row],[Monto Exento ]]+Rendiciones[[#This Row],[Iva]]</f>
        <v>25000.1</v>
      </c>
      <c r="R52" s="20"/>
      <c r="S52" s="20">
        <f>Rendiciones[[#This Row],[Total ]]-Rendiciones[[#This Row],[Monto ]]</f>
        <v>25000.1</v>
      </c>
      <c r="U52" s="72"/>
    </row>
    <row r="53" spans="2:21" x14ac:dyDescent="0.3">
      <c r="B53" s="12" t="s">
        <v>467</v>
      </c>
      <c r="C53" s="12">
        <v>2</v>
      </c>
      <c r="D53" s="138">
        <v>46038</v>
      </c>
      <c r="E53" s="12" t="s">
        <v>431</v>
      </c>
      <c r="F53" s="11" t="str">
        <f>IF(Rendiciones[[#This Row],[Fecha ]]&lt;&gt;"",TEXT(Rendiciones[[#This Row],[Fecha ]],"MMMM"),"")</f>
        <v>enero</v>
      </c>
      <c r="G53" s="11" t="s">
        <v>428</v>
      </c>
      <c r="H53" s="12" t="s">
        <v>6</v>
      </c>
      <c r="I53" s="12" t="s">
        <v>28</v>
      </c>
      <c r="K53" s="1" t="s">
        <v>81</v>
      </c>
      <c r="L53" s="20">
        <v>23750</v>
      </c>
      <c r="M53" s="20">
        <v>21103</v>
      </c>
      <c r="N53" s="20">
        <f>Rendiciones[[#This Row],[Monto Neto ]]*19%</f>
        <v>4512.5</v>
      </c>
      <c r="O53" s="6">
        <f>+Rendiciones[[#This Row],[Monto Neto ]]+Rendiciones[[#This Row],[Monto Exento ]]+Rendiciones[[#This Row],[Iva]]</f>
        <v>49365.5</v>
      </c>
      <c r="R53" s="20"/>
      <c r="S53" s="20">
        <f>Rendiciones[[#This Row],[Total ]]-Rendiciones[[#This Row],[Monto ]]</f>
        <v>49365.5</v>
      </c>
      <c r="U53" s="72"/>
    </row>
    <row r="54" spans="2:21" x14ac:dyDescent="0.3">
      <c r="B54" s="12" t="s">
        <v>467</v>
      </c>
      <c r="C54" s="12">
        <v>2</v>
      </c>
      <c r="D54" s="138">
        <v>46038</v>
      </c>
      <c r="E54" s="12" t="s">
        <v>431</v>
      </c>
      <c r="F54" s="11" t="str">
        <f>IF(Rendiciones[[#This Row],[Fecha ]]&lt;&gt;"",TEXT(Rendiciones[[#This Row],[Fecha ]],"MMMM"),"")</f>
        <v>enero</v>
      </c>
      <c r="G54" s="11" t="s">
        <v>428</v>
      </c>
      <c r="H54" s="12" t="s">
        <v>6</v>
      </c>
      <c r="I54" s="12" t="s">
        <v>29</v>
      </c>
      <c r="L54" s="20"/>
      <c r="M54" s="20">
        <f>7560+6500</f>
        <v>14060</v>
      </c>
      <c r="N54" s="20">
        <f>Rendiciones[[#This Row],[Monto Neto ]]*19%</f>
        <v>0</v>
      </c>
      <c r="O54" s="6">
        <f>+Rendiciones[[#This Row],[Monto Neto ]]+Rendiciones[[#This Row],[Monto Exento ]]+Rendiciones[[#This Row],[Iva]]</f>
        <v>14060</v>
      </c>
      <c r="P54" t="s">
        <v>477</v>
      </c>
      <c r="Q54" s="138">
        <v>46052</v>
      </c>
      <c r="R54" s="20">
        <v>402023</v>
      </c>
      <c r="S54" s="20">
        <f>Rendiciones[[#This Row],[Total ]]-Rendiciones[[#This Row],[Monto ]]</f>
        <v>-387963</v>
      </c>
      <c r="U54" s="72"/>
    </row>
    <row r="55" spans="2:21" x14ac:dyDescent="0.3">
      <c r="B55" s="12" t="s">
        <v>113</v>
      </c>
      <c r="C55" s="12">
        <v>4</v>
      </c>
      <c r="D55" s="138">
        <v>46058</v>
      </c>
      <c r="E55" s="12" t="s">
        <v>511</v>
      </c>
      <c r="F55" s="11" t="str">
        <f>IF(Rendiciones[[#This Row],[Fecha ]]&lt;&gt;"",TEXT(Rendiciones[[#This Row],[Fecha ]],"MMMM"),"")</f>
        <v>febrero</v>
      </c>
      <c r="G55" s="11" t="s">
        <v>427</v>
      </c>
      <c r="H55" s="12" t="s">
        <v>5</v>
      </c>
      <c r="I55" s="12" t="s">
        <v>502</v>
      </c>
      <c r="L55" s="20"/>
      <c r="M55" s="20">
        <v>54023</v>
      </c>
      <c r="N55" s="20">
        <f>Rendiciones[[#This Row],[Monto Neto ]]*19%</f>
        <v>0</v>
      </c>
      <c r="O55" s="6">
        <f>+Rendiciones[[#This Row],[Monto Neto ]]+Rendiciones[[#This Row],[Monto Exento ]]+Rendiciones[[#This Row],[Iva]]</f>
        <v>54023</v>
      </c>
      <c r="P55" t="s">
        <v>89</v>
      </c>
      <c r="Q55" s="138">
        <v>46059</v>
      </c>
      <c r="R55" s="20">
        <v>54023</v>
      </c>
      <c r="S55" s="20">
        <f>Rendiciones[[#This Row],[Total ]]-Rendiciones[[#This Row],[Monto ]]</f>
        <v>0</v>
      </c>
      <c r="U55" s="72"/>
    </row>
    <row r="56" spans="2:21" x14ac:dyDescent="0.3">
      <c r="B56" s="12" t="s">
        <v>16</v>
      </c>
      <c r="C56" s="12">
        <v>1</v>
      </c>
      <c r="D56" s="138">
        <v>46055</v>
      </c>
      <c r="E56" s="12" t="s">
        <v>511</v>
      </c>
      <c r="F56" s="11" t="str">
        <f>IF(Rendiciones[[#This Row],[Fecha ]]&lt;&gt;"",TEXT(Rendiciones[[#This Row],[Fecha ]],"MMMM"),"")</f>
        <v>febrero</v>
      </c>
      <c r="G56" s="11" t="s">
        <v>428</v>
      </c>
      <c r="H56" s="12" t="s">
        <v>5</v>
      </c>
      <c r="I56" s="12" t="s">
        <v>26</v>
      </c>
      <c r="L56" s="20"/>
      <c r="M56" s="20">
        <v>30928</v>
      </c>
      <c r="N56" s="20">
        <f>Rendiciones[[#This Row],[Monto Neto ]]*19%</f>
        <v>0</v>
      </c>
      <c r="O56" s="6">
        <f>+Rendiciones[[#This Row],[Monto Neto ]]+Rendiciones[[#This Row],[Monto Exento ]]+Rendiciones[[#This Row],[Iva]]</f>
        <v>30928</v>
      </c>
      <c r="P56" t="s">
        <v>89</v>
      </c>
      <c r="Q56" s="138">
        <v>46059</v>
      </c>
      <c r="R56" s="20">
        <v>30928</v>
      </c>
      <c r="S56" s="20">
        <f>Rendiciones[[#This Row],[Total ]]-Rendiciones[[#This Row],[Monto ]]</f>
        <v>0</v>
      </c>
      <c r="U56" s="72"/>
    </row>
    <row r="57" spans="2:21" x14ac:dyDescent="0.3">
      <c r="B57" s="12" t="s">
        <v>509</v>
      </c>
      <c r="C57" s="12">
        <v>3</v>
      </c>
      <c r="D57" s="138">
        <v>46052</v>
      </c>
      <c r="E57" s="12" t="s">
        <v>510</v>
      </c>
      <c r="F57" s="11" t="str">
        <f>IF(Rendiciones[[#This Row],[Fecha ]]&lt;&gt;"",TEXT(Rendiciones[[#This Row],[Fecha ]],"MMMM"),"")</f>
        <v>enero</v>
      </c>
      <c r="G57" s="11" t="s">
        <v>427</v>
      </c>
      <c r="H57" s="12" t="s">
        <v>6</v>
      </c>
      <c r="I57" s="12" t="s">
        <v>500</v>
      </c>
      <c r="K57" s="1" t="s">
        <v>81</v>
      </c>
      <c r="L57" s="20">
        <v>17101</v>
      </c>
      <c r="M57" s="20"/>
      <c r="N57" s="20">
        <f>Rendiciones[[#This Row],[Monto Neto ]]*19%</f>
        <v>3249.19</v>
      </c>
      <c r="O57" s="6">
        <f>+Rendiciones[[#This Row],[Monto Neto ]]+Rendiciones[[#This Row],[Monto Exento ]]+Rendiciones[[#This Row],[Iva]]</f>
        <v>20350.189999999999</v>
      </c>
      <c r="Q57" s="138"/>
      <c r="R57" s="20"/>
      <c r="S57" s="20">
        <f>Rendiciones[[#This Row],[Total ]]-Rendiciones[[#This Row],[Monto ]]</f>
        <v>20350.189999999999</v>
      </c>
      <c r="U57" s="72"/>
    </row>
    <row r="58" spans="2:21" x14ac:dyDescent="0.3">
      <c r="B58" s="12" t="s">
        <v>509</v>
      </c>
      <c r="C58" s="12">
        <v>3</v>
      </c>
      <c r="D58" s="138">
        <v>46052</v>
      </c>
      <c r="E58" s="12" t="s">
        <v>510</v>
      </c>
      <c r="F58" s="11" t="str">
        <f>IF(Rendiciones[[#This Row],[Fecha ]]&lt;&gt;"",TEXT(Rendiciones[[#This Row],[Fecha ]],"MMMM"),"")</f>
        <v>enero</v>
      </c>
      <c r="G58" s="11" t="s">
        <v>427</v>
      </c>
      <c r="H58" s="12" t="s">
        <v>6</v>
      </c>
      <c r="I58" s="12" t="s">
        <v>500</v>
      </c>
      <c r="L58" s="20"/>
      <c r="M58" s="20">
        <v>18000</v>
      </c>
      <c r="N58" s="20">
        <f>Rendiciones[[#This Row],[Monto Neto ]]*19%</f>
        <v>0</v>
      </c>
      <c r="O58" s="6">
        <f>+Rendiciones[[#This Row],[Monto Neto ]]+Rendiciones[[#This Row],[Monto Exento ]]+Rendiciones[[#This Row],[Iva]]</f>
        <v>18000</v>
      </c>
      <c r="P58" t="s">
        <v>89</v>
      </c>
      <c r="Q58" s="138">
        <v>46059</v>
      </c>
      <c r="R58" s="20">
        <v>38350.19</v>
      </c>
      <c r="S58" s="20">
        <f>Rendiciones[[#This Row],[Total ]]-Rendiciones[[#This Row],[Monto ]]</f>
        <v>-20350.190000000002</v>
      </c>
      <c r="U58" s="72"/>
    </row>
    <row r="59" spans="2:21" x14ac:dyDescent="0.3">
      <c r="B59" s="12" t="s">
        <v>20</v>
      </c>
      <c r="D59" s="138">
        <v>46048</v>
      </c>
      <c r="E59" s="12" t="s">
        <v>510</v>
      </c>
      <c r="F59" s="11" t="str">
        <f>IF(Rendiciones[[#This Row],[Fecha ]]&lt;&gt;"",TEXT(Rendiciones[[#This Row],[Fecha ]],"MMMM"),"")</f>
        <v>enero</v>
      </c>
      <c r="G59" s="11" t="s">
        <v>427</v>
      </c>
      <c r="L59" s="20"/>
      <c r="M59" s="20"/>
      <c r="N59" s="20">
        <f>Rendiciones[[#This Row],[Monto Neto ]]*19%</f>
        <v>0</v>
      </c>
      <c r="O59" s="6">
        <f>+Rendiciones[[#This Row],[Monto Neto ]]+Rendiciones[[#This Row],[Monto Exento ]]+Rendiciones[[#This Row],[Iva]]</f>
        <v>0</v>
      </c>
      <c r="P59" t="s">
        <v>477</v>
      </c>
      <c r="Q59" s="138">
        <v>46048</v>
      </c>
      <c r="R59" s="20">
        <v>743599</v>
      </c>
      <c r="S59" s="20">
        <f>Rendiciones[[#This Row],[Total ]]-Rendiciones[[#This Row],[Monto ]]</f>
        <v>-743599</v>
      </c>
      <c r="U59" s="72"/>
    </row>
    <row r="60" spans="2:21" x14ac:dyDescent="0.3">
      <c r="B60" s="12" t="s">
        <v>20</v>
      </c>
      <c r="C60" s="12">
        <v>2</v>
      </c>
      <c r="D60" s="138">
        <v>46052</v>
      </c>
      <c r="E60" s="12" t="s">
        <v>510</v>
      </c>
      <c r="F60" s="11" t="str">
        <f>IF(Rendiciones[[#This Row],[Fecha ]]&lt;&gt;"",TEXT(Rendiciones[[#This Row],[Fecha ]],"MMMM"),"")</f>
        <v>enero</v>
      </c>
      <c r="G60" s="11" t="s">
        <v>428</v>
      </c>
      <c r="H60" s="12" t="s">
        <v>6</v>
      </c>
      <c r="I60" s="12" t="s">
        <v>47</v>
      </c>
      <c r="K60" s="1" t="s">
        <v>512</v>
      </c>
      <c r="L60" s="20"/>
      <c r="M60" s="20">
        <v>7000</v>
      </c>
      <c r="N60" s="20">
        <f>Rendiciones[[#This Row],[Monto Neto ]]*19%</f>
        <v>0</v>
      </c>
      <c r="O60" s="6">
        <f>+Rendiciones[[#This Row],[Monto Neto ]]+Rendiciones[[#This Row],[Monto Exento ]]+Rendiciones[[#This Row],[Iva]]</f>
        <v>7000</v>
      </c>
      <c r="P60" t="s">
        <v>89</v>
      </c>
      <c r="Q60" s="138">
        <v>46059</v>
      </c>
      <c r="R60" s="20">
        <v>7000</v>
      </c>
      <c r="S60" s="20">
        <f>Rendiciones[[#This Row],[Total ]]-Rendiciones[[#This Row],[Monto ]]</f>
        <v>0</v>
      </c>
      <c r="U60" s="72"/>
    </row>
    <row r="61" spans="2:21" x14ac:dyDescent="0.3">
      <c r="B61" s="12" t="s">
        <v>241</v>
      </c>
      <c r="C61" s="12">
        <v>3</v>
      </c>
      <c r="D61" s="138">
        <v>46050</v>
      </c>
      <c r="E61" s="12" t="s">
        <v>510</v>
      </c>
      <c r="F61" s="11" t="str">
        <f>IF(Rendiciones[[#This Row],[Fecha ]]&lt;&gt;"",TEXT(Rendiciones[[#This Row],[Fecha ]],"MMMM"),"")</f>
        <v>enero</v>
      </c>
      <c r="G61" s="11" t="s">
        <v>427</v>
      </c>
      <c r="H61" s="12" t="s">
        <v>6</v>
      </c>
      <c r="I61" s="12" t="s">
        <v>28</v>
      </c>
      <c r="K61" s="1" t="s">
        <v>81</v>
      </c>
      <c r="L61" s="20">
        <v>28488</v>
      </c>
      <c r="M61" s="20">
        <f>4554+2855+300</f>
        <v>7709</v>
      </c>
      <c r="N61" s="20">
        <f>Rendiciones[[#This Row],[Monto Neto ]]*19%</f>
        <v>5412.72</v>
      </c>
      <c r="O61" s="6">
        <f>+Rendiciones[[#This Row],[Monto Neto ]]+Rendiciones[[#This Row],[Monto Exento ]]+Rendiciones[[#This Row],[Iva]]</f>
        <v>41609.72</v>
      </c>
      <c r="Q61" s="138"/>
      <c r="R61" s="20"/>
      <c r="S61" s="20">
        <f>Rendiciones[[#This Row],[Total ]]-Rendiciones[[#This Row],[Monto ]]</f>
        <v>41609.72</v>
      </c>
      <c r="U61" s="72"/>
    </row>
    <row r="62" spans="2:21" x14ac:dyDescent="0.3">
      <c r="B62" s="12" t="s">
        <v>241</v>
      </c>
      <c r="C62" s="12">
        <v>3</v>
      </c>
      <c r="D62" s="138">
        <v>46050</v>
      </c>
      <c r="E62" s="12" t="s">
        <v>510</v>
      </c>
      <c r="F62" s="11" t="str">
        <f>IF(Rendiciones[[#This Row],[Fecha ]]&lt;&gt;"",TEXT(Rendiciones[[#This Row],[Fecha ]],"MMMM"),"")</f>
        <v>enero</v>
      </c>
      <c r="G62" s="11" t="s">
        <v>427</v>
      </c>
      <c r="H62" s="12" t="s">
        <v>6</v>
      </c>
      <c r="I62" s="12" t="s">
        <v>27</v>
      </c>
      <c r="K62" s="1" t="s">
        <v>81</v>
      </c>
      <c r="L62" s="20">
        <v>10151</v>
      </c>
      <c r="M62" s="20"/>
      <c r="N62" s="20">
        <f>Rendiciones[[#This Row],[Monto Neto ]]*19%</f>
        <v>1928.69</v>
      </c>
      <c r="O62" s="6">
        <f>+Rendiciones[[#This Row],[Monto Neto ]]+Rendiciones[[#This Row],[Monto Exento ]]+Rendiciones[[#This Row],[Iva]]</f>
        <v>12079.69</v>
      </c>
      <c r="Q62" s="138"/>
      <c r="R62" s="20"/>
      <c r="S62" s="20">
        <f>Rendiciones[[#This Row],[Total ]]-Rendiciones[[#This Row],[Monto ]]</f>
        <v>12079.69</v>
      </c>
      <c r="U62" s="72"/>
    </row>
    <row r="63" spans="2:21" x14ac:dyDescent="0.3">
      <c r="B63" s="12" t="s">
        <v>241</v>
      </c>
      <c r="C63" s="12">
        <v>3</v>
      </c>
      <c r="D63" s="138">
        <v>46050</v>
      </c>
      <c r="E63" s="12" t="s">
        <v>510</v>
      </c>
      <c r="F63" s="11" t="str">
        <f>IF(Rendiciones[[#This Row],[Fecha ]]&lt;&gt;"",TEXT(Rendiciones[[#This Row],[Fecha ]],"MMMM"),"")</f>
        <v>enero</v>
      </c>
      <c r="G63" s="11" t="s">
        <v>427</v>
      </c>
      <c r="H63" s="12" t="s">
        <v>6</v>
      </c>
      <c r="I63" s="12" t="s">
        <v>57</v>
      </c>
      <c r="K63" s="1" t="s">
        <v>81</v>
      </c>
      <c r="L63" s="20">
        <v>15126</v>
      </c>
      <c r="M63" s="20"/>
      <c r="N63" s="20">
        <f>Rendiciones[[#This Row],[Monto Neto ]]*19%</f>
        <v>2873.94</v>
      </c>
      <c r="O63" s="6">
        <f>+Rendiciones[[#This Row],[Monto Neto ]]+Rendiciones[[#This Row],[Monto Exento ]]+Rendiciones[[#This Row],[Iva]]</f>
        <v>17999.939999999999</v>
      </c>
      <c r="Q63" s="138"/>
      <c r="R63" s="20"/>
      <c r="S63" s="20">
        <f>Rendiciones[[#This Row],[Total ]]-Rendiciones[[#This Row],[Monto ]]</f>
        <v>17999.939999999999</v>
      </c>
      <c r="U63" s="72"/>
    </row>
    <row r="64" spans="2:21" x14ac:dyDescent="0.3">
      <c r="B64" s="12" t="s">
        <v>241</v>
      </c>
      <c r="C64" s="12">
        <v>3</v>
      </c>
      <c r="D64" s="138">
        <v>46050</v>
      </c>
      <c r="E64" s="12" t="s">
        <v>510</v>
      </c>
      <c r="F64" s="11" t="str">
        <f>IF(Rendiciones[[#This Row],[Fecha ]]&lt;&gt;"",TEXT(Rendiciones[[#This Row],[Fecha ]],"MMMM"),"")</f>
        <v>enero</v>
      </c>
      <c r="G64" s="11" t="s">
        <v>427</v>
      </c>
      <c r="H64" s="12" t="s">
        <v>6</v>
      </c>
      <c r="I64" s="12" t="s">
        <v>28</v>
      </c>
      <c r="K64" s="1" t="s">
        <v>81</v>
      </c>
      <c r="L64" s="20">
        <v>28460</v>
      </c>
      <c r="M64" s="20">
        <f>4550+2852+500</f>
        <v>7902</v>
      </c>
      <c r="N64" s="20">
        <f>Rendiciones[[#This Row],[Monto Neto ]]*19%</f>
        <v>5407.4</v>
      </c>
      <c r="O64" s="6">
        <f>+Rendiciones[[#This Row],[Monto Neto ]]+Rendiciones[[#This Row],[Monto Exento ]]+Rendiciones[[#This Row],[Iva]]</f>
        <v>41769.4</v>
      </c>
      <c r="Q64" s="138"/>
      <c r="R64" s="20"/>
      <c r="S64" s="20">
        <f>Rendiciones[[#This Row],[Total ]]-Rendiciones[[#This Row],[Monto ]]</f>
        <v>41769.4</v>
      </c>
      <c r="U64" s="72"/>
    </row>
    <row r="65" spans="2:21" x14ac:dyDescent="0.3">
      <c r="B65" s="12" t="s">
        <v>241</v>
      </c>
      <c r="C65" s="12">
        <v>3</v>
      </c>
      <c r="D65" s="138">
        <v>46050</v>
      </c>
      <c r="E65" s="12" t="s">
        <v>510</v>
      </c>
      <c r="F65" s="11" t="str">
        <f>IF(Rendiciones[[#This Row],[Fecha ]]&lt;&gt;"",TEXT(Rendiciones[[#This Row],[Fecha ]],"MMMM"),"")</f>
        <v>enero</v>
      </c>
      <c r="G65" s="11" t="s">
        <v>427</v>
      </c>
      <c r="H65" s="12" t="s">
        <v>6</v>
      </c>
      <c r="I65" s="12" t="s">
        <v>27</v>
      </c>
      <c r="K65" s="1" t="s">
        <v>81</v>
      </c>
      <c r="L65" s="20">
        <v>32200</v>
      </c>
      <c r="M65" s="20"/>
      <c r="N65" s="20">
        <f>Rendiciones[[#This Row],[Monto Neto ]]*19%</f>
        <v>6118</v>
      </c>
      <c r="O65" s="6">
        <f>+Rendiciones[[#This Row],[Monto Neto ]]+Rendiciones[[#This Row],[Monto Exento ]]+Rendiciones[[#This Row],[Iva]]</f>
        <v>38318</v>
      </c>
      <c r="Q65" s="138"/>
      <c r="R65" s="20"/>
      <c r="S65" s="20">
        <f>Rendiciones[[#This Row],[Total ]]-Rendiciones[[#This Row],[Monto ]]</f>
        <v>38318</v>
      </c>
      <c r="U65" s="72"/>
    </row>
    <row r="66" spans="2:21" x14ac:dyDescent="0.3">
      <c r="B66" s="12" t="s">
        <v>241</v>
      </c>
      <c r="C66" s="12">
        <v>3</v>
      </c>
      <c r="D66" s="138">
        <v>46050</v>
      </c>
      <c r="E66" s="12" t="s">
        <v>510</v>
      </c>
      <c r="F66" s="11" t="str">
        <f>IF(Rendiciones[[#This Row],[Fecha ]]&lt;&gt;"",TEXT(Rendiciones[[#This Row],[Fecha ]],"MMMM"),"")</f>
        <v>enero</v>
      </c>
      <c r="G66" s="11" t="s">
        <v>427</v>
      </c>
      <c r="H66" s="12" t="s">
        <v>6</v>
      </c>
      <c r="I66" s="12" t="s">
        <v>27</v>
      </c>
      <c r="K66" s="1" t="s">
        <v>81</v>
      </c>
      <c r="L66" s="20">
        <v>30869</v>
      </c>
      <c r="M66" s="20"/>
      <c r="N66" s="20">
        <f>Rendiciones[[#This Row],[Monto Neto ]]*19%</f>
        <v>5865.11</v>
      </c>
      <c r="O66" s="6">
        <f>+Rendiciones[[#This Row],[Monto Neto ]]+Rendiciones[[#This Row],[Monto Exento ]]+Rendiciones[[#This Row],[Iva]]</f>
        <v>36734.11</v>
      </c>
      <c r="Q66" s="138"/>
      <c r="R66" s="20"/>
      <c r="S66" s="20">
        <f>Rendiciones[[#This Row],[Total ]]-Rendiciones[[#This Row],[Monto ]]</f>
        <v>36734.11</v>
      </c>
      <c r="U66" s="72"/>
    </row>
    <row r="67" spans="2:21" x14ac:dyDescent="0.3">
      <c r="B67" s="12" t="s">
        <v>241</v>
      </c>
      <c r="C67" s="12">
        <v>3</v>
      </c>
      <c r="D67" s="138">
        <v>46050</v>
      </c>
      <c r="E67" s="12" t="s">
        <v>510</v>
      </c>
      <c r="F67" s="11" t="str">
        <f>IF(Rendiciones[[#This Row],[Fecha ]]&lt;&gt;"",TEXT(Rendiciones[[#This Row],[Fecha ]],"MMMM"),"")</f>
        <v>enero</v>
      </c>
      <c r="G67" s="11" t="s">
        <v>427</v>
      </c>
      <c r="H67" s="12" t="s">
        <v>6</v>
      </c>
      <c r="I67" s="12" t="s">
        <v>27</v>
      </c>
      <c r="K67" s="1" t="s">
        <v>81</v>
      </c>
      <c r="L67" s="20">
        <v>30252</v>
      </c>
      <c r="M67" s="20"/>
      <c r="N67" s="20">
        <f>Rendiciones[[#This Row],[Monto Neto ]]*19%</f>
        <v>5747.88</v>
      </c>
      <c r="O67" s="6">
        <f>+Rendiciones[[#This Row],[Monto Neto ]]+Rendiciones[[#This Row],[Monto Exento ]]+Rendiciones[[#This Row],[Iva]]</f>
        <v>35999.879999999997</v>
      </c>
      <c r="Q67" s="138"/>
      <c r="R67" s="20"/>
      <c r="S67" s="20">
        <f>Rendiciones[[#This Row],[Total ]]-Rendiciones[[#This Row],[Monto ]]</f>
        <v>35999.879999999997</v>
      </c>
      <c r="U67" s="72"/>
    </row>
    <row r="68" spans="2:21" x14ac:dyDescent="0.3">
      <c r="B68" s="12" t="s">
        <v>241</v>
      </c>
      <c r="C68" s="12">
        <v>3</v>
      </c>
      <c r="D68" s="138">
        <v>46050</v>
      </c>
      <c r="E68" s="12" t="s">
        <v>510</v>
      </c>
      <c r="F68" s="11" t="str">
        <f>IF(Rendiciones[[#This Row],[Fecha ]]&lt;&gt;"",TEXT(Rendiciones[[#This Row],[Fecha ]],"MMMM"),"")</f>
        <v>enero</v>
      </c>
      <c r="G68" s="11" t="s">
        <v>427</v>
      </c>
      <c r="H68" s="12" t="s">
        <v>6</v>
      </c>
      <c r="I68" s="12" t="s">
        <v>27</v>
      </c>
      <c r="K68" s="1" t="s">
        <v>81</v>
      </c>
      <c r="L68" s="20">
        <v>5874</v>
      </c>
      <c r="M68" s="20"/>
      <c r="N68" s="20">
        <f>Rendiciones[[#This Row],[Monto Neto ]]*19%</f>
        <v>1116.06</v>
      </c>
      <c r="O68" s="6">
        <f>+Rendiciones[[#This Row],[Monto Neto ]]+Rendiciones[[#This Row],[Monto Exento ]]+Rendiciones[[#This Row],[Iva]]</f>
        <v>6990.0599999999995</v>
      </c>
      <c r="Q68" s="138"/>
      <c r="R68" s="20"/>
      <c r="S68" s="20">
        <f>Rendiciones[[#This Row],[Total ]]-Rendiciones[[#This Row],[Monto ]]</f>
        <v>6990.0599999999995</v>
      </c>
      <c r="U68" s="72"/>
    </row>
    <row r="69" spans="2:21" x14ac:dyDescent="0.3">
      <c r="B69" s="12" t="s">
        <v>241</v>
      </c>
      <c r="C69" s="12">
        <v>3</v>
      </c>
      <c r="D69" s="138">
        <v>46050</v>
      </c>
      <c r="E69" s="12" t="s">
        <v>510</v>
      </c>
      <c r="F69" s="11" t="str">
        <f>IF(Rendiciones[[#This Row],[Fecha ]]&lt;&gt;"",TEXT(Rendiciones[[#This Row],[Fecha ]],"MMMM"),"")</f>
        <v>enero</v>
      </c>
      <c r="G69" s="11" t="s">
        <v>427</v>
      </c>
      <c r="H69" s="12" t="s">
        <v>6</v>
      </c>
      <c r="I69" s="12" t="s">
        <v>39</v>
      </c>
      <c r="L69" s="20"/>
      <c r="M69" s="20">
        <f>1200+700+300+400</f>
        <v>2600</v>
      </c>
      <c r="N69" s="20">
        <f>Rendiciones[[#This Row],[Monto Neto ]]*19%</f>
        <v>0</v>
      </c>
      <c r="O69" s="6">
        <f>+Rendiciones[[#This Row],[Monto Neto ]]+Rendiciones[[#This Row],[Monto Exento ]]+Rendiciones[[#This Row],[Iva]]</f>
        <v>2600</v>
      </c>
      <c r="Q69" s="138"/>
      <c r="R69" s="20"/>
      <c r="S69" s="20">
        <f>Rendiciones[[#This Row],[Total ]]-Rendiciones[[#This Row],[Monto ]]</f>
        <v>2600</v>
      </c>
      <c r="U69" s="72"/>
    </row>
    <row r="70" spans="2:21" x14ac:dyDescent="0.3">
      <c r="B70" s="12" t="s">
        <v>241</v>
      </c>
      <c r="C70" s="12">
        <v>3</v>
      </c>
      <c r="D70" s="138">
        <v>46050</v>
      </c>
      <c r="E70" s="12" t="s">
        <v>510</v>
      </c>
      <c r="F70" s="11" t="str">
        <f>IF(Rendiciones[[#This Row],[Fecha ]]&lt;&gt;"",TEXT(Rendiciones[[#This Row],[Fecha ]],"MMMM"),"")</f>
        <v>enero</v>
      </c>
      <c r="G70" s="11" t="s">
        <v>427</v>
      </c>
      <c r="H70" s="12" t="s">
        <v>6</v>
      </c>
      <c r="I70" s="12" t="s">
        <v>31</v>
      </c>
      <c r="L70" s="20"/>
      <c r="M70" s="20">
        <v>2865</v>
      </c>
      <c r="N70" s="20">
        <f>Rendiciones[[#This Row],[Monto Neto ]]*19%</f>
        <v>0</v>
      </c>
      <c r="O70" s="6">
        <f>+Rendiciones[[#This Row],[Monto Neto ]]+Rendiciones[[#This Row],[Monto Exento ]]+Rendiciones[[#This Row],[Iva]]</f>
        <v>2865</v>
      </c>
      <c r="Q70" s="138"/>
      <c r="R70" s="20"/>
      <c r="S70" s="20">
        <f>Rendiciones[[#This Row],[Total ]]-Rendiciones[[#This Row],[Monto ]]</f>
        <v>2865</v>
      </c>
      <c r="U70" s="72"/>
    </row>
    <row r="71" spans="2:21" x14ac:dyDescent="0.3">
      <c r="B71" s="12" t="s">
        <v>241</v>
      </c>
      <c r="C71" s="12">
        <v>3</v>
      </c>
      <c r="D71" s="138">
        <v>46050</v>
      </c>
      <c r="E71" s="12" t="s">
        <v>510</v>
      </c>
      <c r="F71" s="11" t="str">
        <f>IF(Rendiciones[[#This Row],[Fecha ]]&lt;&gt;"",TEXT(Rendiciones[[#This Row],[Fecha ]],"MMMM"),"")</f>
        <v>enero</v>
      </c>
      <c r="G71" s="11" t="s">
        <v>427</v>
      </c>
      <c r="H71" s="12" t="s">
        <v>6</v>
      </c>
      <c r="I71" s="12" t="s">
        <v>429</v>
      </c>
      <c r="L71" s="20"/>
      <c r="M71" s="20">
        <f>7400+7990</f>
        <v>15390</v>
      </c>
      <c r="N71" s="20">
        <f>Rendiciones[[#This Row],[Monto Neto ]]*19%</f>
        <v>0</v>
      </c>
      <c r="O71" s="6">
        <f>+Rendiciones[[#This Row],[Monto Neto ]]+Rendiciones[[#This Row],[Monto Exento ]]+Rendiciones[[#This Row],[Iva]]</f>
        <v>15390</v>
      </c>
      <c r="Q71" s="138"/>
      <c r="R71" s="20"/>
      <c r="S71" s="20">
        <f>Rendiciones[[#This Row],[Total ]]-Rendiciones[[#This Row],[Monto ]]</f>
        <v>15390</v>
      </c>
      <c r="U71" s="72"/>
    </row>
    <row r="72" spans="2:21" x14ac:dyDescent="0.3">
      <c r="B72" s="12" t="s">
        <v>241</v>
      </c>
      <c r="C72" s="12">
        <v>3</v>
      </c>
      <c r="D72" s="138">
        <v>46050</v>
      </c>
      <c r="E72" s="12" t="s">
        <v>510</v>
      </c>
      <c r="F72" s="11" t="str">
        <f>IF(Rendiciones[[#This Row],[Fecha ]]&lt;&gt;"",TEXT(Rendiciones[[#This Row],[Fecha ]],"MMMM"),"")</f>
        <v>enero</v>
      </c>
      <c r="G72" s="11" t="s">
        <v>427</v>
      </c>
      <c r="H72" s="12" t="s">
        <v>6</v>
      </c>
      <c r="I72" s="12" t="s">
        <v>27</v>
      </c>
      <c r="L72" s="20"/>
      <c r="M72" s="20">
        <f>30000+5290</f>
        <v>35290</v>
      </c>
      <c r="N72" s="20">
        <f>Rendiciones[[#This Row],[Monto Neto ]]*19%</f>
        <v>0</v>
      </c>
      <c r="O72" s="6">
        <f>+Rendiciones[[#This Row],[Monto Neto ]]+Rendiciones[[#This Row],[Monto Exento ]]+Rendiciones[[#This Row],[Iva]]</f>
        <v>35290</v>
      </c>
      <c r="P72" t="s">
        <v>89</v>
      </c>
      <c r="Q72" s="138">
        <v>46057</v>
      </c>
      <c r="R72" s="20">
        <v>287645.8</v>
      </c>
      <c r="S72" s="20">
        <f>Rendiciones[[#This Row],[Total ]]-Rendiciones[[#This Row],[Monto ]]</f>
        <v>-252355.8</v>
      </c>
      <c r="U72" s="72"/>
    </row>
    <row r="73" spans="2:21" x14ac:dyDescent="0.3">
      <c r="B73" s="12" t="s">
        <v>241</v>
      </c>
      <c r="C73" s="12">
        <v>4</v>
      </c>
      <c r="D73" s="138">
        <v>46062</v>
      </c>
      <c r="E73" s="12" t="s">
        <v>514</v>
      </c>
      <c r="F73" s="11" t="str">
        <f>IF(Rendiciones[[#This Row],[Fecha ]]&lt;&gt;"",TEXT(Rendiciones[[#This Row],[Fecha ]],"MMMM"),"")</f>
        <v>febrero</v>
      </c>
      <c r="G73" s="11" t="s">
        <v>427</v>
      </c>
      <c r="H73" s="12" t="s">
        <v>6</v>
      </c>
      <c r="I73" s="12" t="s">
        <v>28</v>
      </c>
      <c r="K73" s="1" t="s">
        <v>81</v>
      </c>
      <c r="L73" s="20">
        <v>30926</v>
      </c>
      <c r="M73" s="20">
        <f>4898+1926</f>
        <v>6824</v>
      </c>
      <c r="N73" s="20">
        <f>Rendiciones[[#This Row],[Monto Neto ]]*19%</f>
        <v>5875.9400000000005</v>
      </c>
      <c r="O73" s="6">
        <f>+Rendiciones[[#This Row],[Monto Neto ]]+Rendiciones[[#This Row],[Monto Exento ]]+Rendiciones[[#This Row],[Iva]]</f>
        <v>43625.94</v>
      </c>
      <c r="Q73" s="138"/>
      <c r="R73" s="20"/>
      <c r="S73" s="20">
        <f>Rendiciones[[#This Row],[Total ]]-Rendiciones[[#This Row],[Monto ]]</f>
        <v>43625.94</v>
      </c>
      <c r="U73" s="72"/>
    </row>
    <row r="74" spans="2:21" x14ac:dyDescent="0.3">
      <c r="B74" s="12" t="s">
        <v>241</v>
      </c>
      <c r="C74" s="12">
        <v>4</v>
      </c>
      <c r="D74" s="138">
        <v>46062</v>
      </c>
      <c r="E74" s="12" t="s">
        <v>514</v>
      </c>
      <c r="F74" s="11" t="str">
        <f>IF(Rendiciones[[#This Row],[Fecha ]]&lt;&gt;"",TEXT(Rendiciones[[#This Row],[Fecha ]],"MMMM"),"")</f>
        <v>febrero</v>
      </c>
      <c r="G74" s="11" t="s">
        <v>427</v>
      </c>
      <c r="H74" s="12" t="s">
        <v>6</v>
      </c>
      <c r="I74" s="12" t="s">
        <v>57</v>
      </c>
      <c r="K74" s="1" t="s">
        <v>81</v>
      </c>
      <c r="L74" s="20">
        <v>8403</v>
      </c>
      <c r="M74" s="20"/>
      <c r="N74" s="20">
        <f>Rendiciones[[#This Row],[Monto Neto ]]*19%</f>
        <v>1596.57</v>
      </c>
      <c r="O74" s="6">
        <f>+Rendiciones[[#This Row],[Monto Neto ]]+Rendiciones[[#This Row],[Monto Exento ]]+Rendiciones[[#This Row],[Iva]]</f>
        <v>9999.57</v>
      </c>
      <c r="Q74" s="138"/>
      <c r="R74" s="20"/>
      <c r="S74" s="20">
        <f>Rendiciones[[#This Row],[Total ]]-Rendiciones[[#This Row],[Monto ]]</f>
        <v>9999.57</v>
      </c>
      <c r="U74" s="72"/>
    </row>
    <row r="75" spans="2:21" x14ac:dyDescent="0.3">
      <c r="B75" s="12" t="s">
        <v>241</v>
      </c>
      <c r="C75" s="12">
        <v>4</v>
      </c>
      <c r="D75" s="138">
        <v>46062</v>
      </c>
      <c r="E75" s="12" t="s">
        <v>514</v>
      </c>
      <c r="F75" s="11" t="str">
        <f>IF(Rendiciones[[#This Row],[Fecha ]]&lt;&gt;"",TEXT(Rendiciones[[#This Row],[Fecha ]],"MMMM"),"")</f>
        <v>febrero</v>
      </c>
      <c r="G75" s="11" t="s">
        <v>427</v>
      </c>
      <c r="H75" s="12" t="s">
        <v>6</v>
      </c>
      <c r="I75" s="12" t="s">
        <v>39</v>
      </c>
      <c r="L75" s="20"/>
      <c r="M75" s="20">
        <f>630+1461</f>
        <v>2091</v>
      </c>
      <c r="N75" s="20">
        <f>Rendiciones[[#This Row],[Monto Neto ]]*19%</f>
        <v>0</v>
      </c>
      <c r="O75" s="6">
        <f>+Rendiciones[[#This Row],[Monto Neto ]]+Rendiciones[[#This Row],[Monto Exento ]]+Rendiciones[[#This Row],[Iva]]</f>
        <v>2091</v>
      </c>
      <c r="P75" t="s">
        <v>89</v>
      </c>
      <c r="Q75" s="138">
        <v>46066</v>
      </c>
      <c r="R75" s="20">
        <v>55716.505999999987</v>
      </c>
      <c r="S75" s="20">
        <f>Rendiciones[[#This Row],[Total ]]-Rendiciones[[#This Row],[Monto ]]</f>
        <v>-53625.505999999987</v>
      </c>
      <c r="U75" s="72"/>
    </row>
    <row r="76" spans="2:21" x14ac:dyDescent="0.3">
      <c r="B76" s="12" t="s">
        <v>445</v>
      </c>
      <c r="C76" s="12">
        <v>2</v>
      </c>
      <c r="D76" s="138">
        <v>46062</v>
      </c>
      <c r="E76" s="12" t="s">
        <v>514</v>
      </c>
      <c r="F76" s="11" t="str">
        <f>IF(Rendiciones[[#This Row],[Fecha ]]&lt;&gt;"",TEXT(Rendiciones[[#This Row],[Fecha ]],"MMMM"),"")</f>
        <v>febrero</v>
      </c>
      <c r="G76" s="11" t="s">
        <v>428</v>
      </c>
      <c r="H76" s="12" t="s">
        <v>6</v>
      </c>
      <c r="I76" s="12" t="s">
        <v>28</v>
      </c>
      <c r="K76" s="1" t="s">
        <v>81</v>
      </c>
      <c r="L76" s="20">
        <v>25365</v>
      </c>
      <c r="M76" s="20">
        <f>3851+965</f>
        <v>4816</v>
      </c>
      <c r="N76" s="20">
        <f>Rendiciones[[#This Row],[Monto Neto ]]*19%</f>
        <v>4819.3500000000004</v>
      </c>
      <c r="O76" s="6">
        <f>+Rendiciones[[#This Row],[Monto Neto ]]+Rendiciones[[#This Row],[Monto Exento ]]+Rendiciones[[#This Row],[Iva]]</f>
        <v>35000.35</v>
      </c>
      <c r="Q76" s="138"/>
      <c r="R76" s="20"/>
      <c r="S76" s="20">
        <f>Rendiciones[[#This Row],[Total ]]-Rendiciones[[#This Row],[Monto ]]</f>
        <v>35000.35</v>
      </c>
      <c r="U76" s="72"/>
    </row>
    <row r="77" spans="2:21" x14ac:dyDescent="0.3">
      <c r="B77" s="12" t="s">
        <v>445</v>
      </c>
      <c r="C77" s="12">
        <v>2</v>
      </c>
      <c r="D77" s="138">
        <v>46062</v>
      </c>
      <c r="E77" s="12" t="s">
        <v>514</v>
      </c>
      <c r="F77" s="11" t="str">
        <f>IF(Rendiciones[[#This Row],[Fecha ]]&lt;&gt;"",TEXT(Rendiciones[[#This Row],[Fecha ]],"MMMM"),"")</f>
        <v>febrero</v>
      </c>
      <c r="G77" s="11" t="s">
        <v>428</v>
      </c>
      <c r="H77" s="12" t="s">
        <v>6</v>
      </c>
      <c r="I77" s="12" t="s">
        <v>29</v>
      </c>
      <c r="L77" s="20"/>
      <c r="M77" s="20">
        <v>760</v>
      </c>
      <c r="N77" s="20">
        <f>Rendiciones[[#This Row],[Monto Neto ]]*19%</f>
        <v>0</v>
      </c>
      <c r="O77" s="6">
        <f>+Rendiciones[[#This Row],[Monto Neto ]]+Rendiciones[[#This Row],[Monto Exento ]]+Rendiciones[[#This Row],[Iva]]</f>
        <v>760</v>
      </c>
      <c r="Q77" s="138"/>
      <c r="R77" s="20"/>
      <c r="S77" s="20">
        <f>Rendiciones[[#This Row],[Total ]]-Rendiciones[[#This Row],[Monto ]]</f>
        <v>760</v>
      </c>
      <c r="U77" s="72"/>
    </row>
    <row r="78" spans="2:21" x14ac:dyDescent="0.3">
      <c r="B78" s="12" t="s">
        <v>445</v>
      </c>
      <c r="C78" s="12">
        <v>2</v>
      </c>
      <c r="D78" s="138">
        <v>46062</v>
      </c>
      <c r="E78" s="12" t="s">
        <v>514</v>
      </c>
      <c r="F78" s="11" t="str">
        <f>IF(Rendiciones[[#This Row],[Fecha ]]&lt;&gt;"",TEXT(Rendiciones[[#This Row],[Fecha ]],"MMMM"),"")</f>
        <v>febrero</v>
      </c>
      <c r="G78" s="11" t="s">
        <v>428</v>
      </c>
      <c r="H78" s="12" t="s">
        <v>6</v>
      </c>
      <c r="I78" s="12" t="s">
        <v>429</v>
      </c>
      <c r="L78" s="20"/>
      <c r="M78" s="20">
        <v>4500</v>
      </c>
      <c r="N78" s="20">
        <f>Rendiciones[[#This Row],[Monto Neto ]]*19%</f>
        <v>0</v>
      </c>
      <c r="O78" s="6">
        <f>+Rendiciones[[#This Row],[Monto Neto ]]+Rendiciones[[#This Row],[Monto Exento ]]+Rendiciones[[#This Row],[Iva]]</f>
        <v>4500</v>
      </c>
      <c r="Q78" s="138"/>
      <c r="R78" s="20"/>
      <c r="S78" s="20">
        <f>Rendiciones[[#This Row],[Total ]]-Rendiciones[[#This Row],[Monto ]]</f>
        <v>4500</v>
      </c>
      <c r="U78" s="72"/>
    </row>
    <row r="79" spans="2:21" x14ac:dyDescent="0.3">
      <c r="B79" s="12" t="s">
        <v>17</v>
      </c>
      <c r="C79" s="12">
        <v>5</v>
      </c>
      <c r="D79" s="138">
        <v>46063</v>
      </c>
      <c r="E79" s="12" t="s">
        <v>514</v>
      </c>
      <c r="F79" s="11" t="str">
        <f>IF(Rendiciones[[#This Row],[Fecha ]]&lt;&gt;"",TEXT(Rendiciones[[#This Row],[Fecha ]],"MMMM"),"")</f>
        <v>febrero</v>
      </c>
      <c r="G79" s="11" t="s">
        <v>428</v>
      </c>
      <c r="H79" s="12" t="s">
        <v>6</v>
      </c>
      <c r="I79" s="12" t="s">
        <v>57</v>
      </c>
      <c r="K79" s="1" t="s">
        <v>81</v>
      </c>
      <c r="L79" s="20">
        <v>142017</v>
      </c>
      <c r="M79" s="20"/>
      <c r="N79" s="20">
        <f>Rendiciones[[#This Row],[Monto Neto ]]*19%</f>
        <v>26983.23</v>
      </c>
      <c r="O79" s="6">
        <f>+Rendiciones[[#This Row],[Monto Neto ]]+Rendiciones[[#This Row],[Monto Exento ]]+Rendiciones[[#This Row],[Iva]]</f>
        <v>169000.23</v>
      </c>
      <c r="P79" t="s">
        <v>89</v>
      </c>
      <c r="Q79" s="138">
        <v>46066</v>
      </c>
      <c r="R79" s="20">
        <v>169000</v>
      </c>
      <c r="S79" s="20">
        <f>Rendiciones[[#This Row],[Total ]]-Rendiciones[[#This Row],[Monto ]]</f>
        <v>0.23000000001047738</v>
      </c>
      <c r="U79" s="72"/>
    </row>
    <row r="80" spans="2:21" x14ac:dyDescent="0.3">
      <c r="B80" s="12" t="s">
        <v>17</v>
      </c>
      <c r="C80" s="12">
        <v>6</v>
      </c>
      <c r="D80" s="138">
        <v>46065</v>
      </c>
      <c r="E80" s="12" t="s">
        <v>514</v>
      </c>
      <c r="F80" s="11" t="str">
        <f>IF(Rendiciones[[#This Row],[Fecha ]]&lt;&gt;"",TEXT(Rendiciones[[#This Row],[Fecha ]],"MMMM"),"")</f>
        <v>febrero</v>
      </c>
      <c r="G80" s="11" t="s">
        <v>427</v>
      </c>
      <c r="H80" s="12" t="s">
        <v>5</v>
      </c>
      <c r="I80" s="12" t="s">
        <v>27</v>
      </c>
      <c r="K80" s="1" t="s">
        <v>81</v>
      </c>
      <c r="L80" s="20">
        <v>29948.9</v>
      </c>
      <c r="M80" s="20"/>
      <c r="N80" s="20">
        <f>Rendiciones[[#This Row],[Monto Neto ]]*19%</f>
        <v>5690.2910000000002</v>
      </c>
      <c r="O80" s="6">
        <f>+Rendiciones[[#This Row],[Monto Neto ]]+Rendiciones[[#This Row],[Monto Exento ]]+Rendiciones[[#This Row],[Iva]]</f>
        <v>35639.190999999999</v>
      </c>
      <c r="P80" t="s">
        <v>89</v>
      </c>
      <c r="Q80" s="138">
        <v>46073</v>
      </c>
      <c r="R80" s="20">
        <v>35639.421000000009</v>
      </c>
      <c r="S80" s="20">
        <f>Rendiciones[[#This Row],[Total ]]-Rendiciones[[#This Row],[Monto ]]</f>
        <v>-0.23000000001047738</v>
      </c>
      <c r="U80" s="72"/>
    </row>
    <row r="81" spans="2:21" x14ac:dyDescent="0.3">
      <c r="B81" s="12" t="s">
        <v>445</v>
      </c>
      <c r="C81" s="12">
        <v>3</v>
      </c>
      <c r="D81" s="138">
        <v>46070</v>
      </c>
      <c r="E81" s="12" t="s">
        <v>515</v>
      </c>
      <c r="F81" s="11" t="str">
        <f>IF(Rendiciones[[#This Row],[Fecha ]]&lt;&gt;"",TEXT(Rendiciones[[#This Row],[Fecha ]],"MMMM"),"")</f>
        <v>febrero</v>
      </c>
      <c r="G81" s="11" t="s">
        <v>428</v>
      </c>
      <c r="H81" s="12" t="s">
        <v>6</v>
      </c>
      <c r="I81" s="12" t="s">
        <v>28</v>
      </c>
      <c r="K81" s="1" t="s">
        <v>81</v>
      </c>
      <c r="L81" s="20">
        <v>36470</v>
      </c>
      <c r="M81" s="20">
        <v>5365</v>
      </c>
      <c r="N81" s="20">
        <f>Rendiciones[[#This Row],[Monto Neto ]]*19%</f>
        <v>6929.3</v>
      </c>
      <c r="O81" s="6">
        <f>+Rendiciones[[#This Row],[Monto Neto ]]+Rendiciones[[#This Row],[Monto Exento ]]+Rendiciones[[#This Row],[Iva]]</f>
        <v>48764.3</v>
      </c>
      <c r="Q81" s="138"/>
      <c r="R81" s="20"/>
      <c r="S81" s="20">
        <f>Rendiciones[[#This Row],[Total ]]-Rendiciones[[#This Row],[Monto ]]</f>
        <v>48764.3</v>
      </c>
      <c r="U81" s="72"/>
    </row>
    <row r="82" spans="2:21" x14ac:dyDescent="0.3">
      <c r="B82" s="12" t="s">
        <v>445</v>
      </c>
      <c r="C82" s="12">
        <v>3</v>
      </c>
      <c r="D82" s="138">
        <v>46070</v>
      </c>
      <c r="E82" s="12" t="s">
        <v>515</v>
      </c>
      <c r="F82" s="11" t="str">
        <f>IF(Rendiciones[[#This Row],[Fecha ]]&lt;&gt;"",TEXT(Rendiciones[[#This Row],[Fecha ]],"MMMM"),"")</f>
        <v>febrero</v>
      </c>
      <c r="G82" s="11" t="s">
        <v>428</v>
      </c>
      <c r="H82" s="12" t="s">
        <v>6</v>
      </c>
      <c r="I82" s="12" t="s">
        <v>57</v>
      </c>
      <c r="K82" s="1" t="s">
        <v>81</v>
      </c>
      <c r="L82" s="20">
        <v>6008</v>
      </c>
      <c r="M82" s="20"/>
      <c r="N82" s="20">
        <f>Rendiciones[[#This Row],[Monto Neto ]]*19%</f>
        <v>1141.52</v>
      </c>
      <c r="O82" s="6">
        <f>+Rendiciones[[#This Row],[Monto Neto ]]+Rendiciones[[#This Row],[Monto Exento ]]+Rendiciones[[#This Row],[Iva]]</f>
        <v>7149.52</v>
      </c>
      <c r="Q82" s="138"/>
      <c r="R82" s="20"/>
      <c r="S82" s="20">
        <f>Rendiciones[[#This Row],[Total ]]-Rendiciones[[#This Row],[Monto ]]</f>
        <v>7149.52</v>
      </c>
      <c r="U82" s="72"/>
    </row>
    <row r="83" spans="2:21" x14ac:dyDescent="0.3">
      <c r="B83" s="12" t="s">
        <v>445</v>
      </c>
      <c r="C83" s="12">
        <v>3</v>
      </c>
      <c r="D83" s="138">
        <v>46070</v>
      </c>
      <c r="E83" s="12" t="s">
        <v>515</v>
      </c>
      <c r="F83" s="11" t="str">
        <f>IF(Rendiciones[[#This Row],[Fecha ]]&lt;&gt;"",TEXT(Rendiciones[[#This Row],[Fecha ]],"MMMM"),"")</f>
        <v>febrero</v>
      </c>
      <c r="G83" s="11" t="s">
        <v>428</v>
      </c>
      <c r="H83" s="12" t="s">
        <v>6</v>
      </c>
      <c r="I83" s="12" t="s">
        <v>29</v>
      </c>
      <c r="L83" s="20"/>
      <c r="M83" s="20">
        <v>2030</v>
      </c>
      <c r="N83" s="20">
        <f>Rendiciones[[#This Row],[Monto Neto ]]*19%</f>
        <v>0</v>
      </c>
      <c r="O83" s="6">
        <f>+Rendiciones[[#This Row],[Monto Neto ]]+Rendiciones[[#This Row],[Monto Exento ]]+Rendiciones[[#This Row],[Iva]]</f>
        <v>2030</v>
      </c>
      <c r="Q83" s="138"/>
      <c r="R83" s="20"/>
      <c r="S83" s="20">
        <f>Rendiciones[[#This Row],[Total ]]-Rendiciones[[#This Row],[Monto ]]</f>
        <v>2030</v>
      </c>
      <c r="U83" s="72"/>
    </row>
    <row r="84" spans="2:21" x14ac:dyDescent="0.3">
      <c r="B84" s="12" t="s">
        <v>445</v>
      </c>
      <c r="C84" s="12">
        <v>3</v>
      </c>
      <c r="D84" s="138">
        <v>46070</v>
      </c>
      <c r="E84" s="12" t="s">
        <v>515</v>
      </c>
      <c r="F84" s="11" t="str">
        <f>IF(Rendiciones[[#This Row],[Fecha ]]&lt;&gt;"",TEXT(Rendiciones[[#This Row],[Fecha ]],"MMMM"),"")</f>
        <v>febrero</v>
      </c>
      <c r="G84" s="11" t="s">
        <v>428</v>
      </c>
      <c r="H84" s="12" t="s">
        <v>6</v>
      </c>
      <c r="I84" s="12" t="s">
        <v>429</v>
      </c>
      <c r="L84" s="20"/>
      <c r="M84" s="20">
        <f>7000+5850</f>
        <v>12850</v>
      </c>
      <c r="N84" s="20">
        <f>Rendiciones[[#This Row],[Monto Neto ]]*19%</f>
        <v>0</v>
      </c>
      <c r="O84" s="6">
        <f>+Rendiciones[[#This Row],[Monto Neto ]]+Rendiciones[[#This Row],[Monto Exento ]]+Rendiciones[[#This Row],[Iva]]</f>
        <v>12850</v>
      </c>
      <c r="P84" t="s">
        <v>89</v>
      </c>
      <c r="Q84" s="138">
        <v>46066</v>
      </c>
      <c r="R84" s="20">
        <v>119736</v>
      </c>
      <c r="S84" s="20">
        <f>Rendiciones[[#This Row],[Total ]]-Rendiciones[[#This Row],[Monto ]]</f>
        <v>-106886</v>
      </c>
      <c r="U84" s="72"/>
    </row>
    <row r="85" spans="2:21" x14ac:dyDescent="0.3">
      <c r="B85" s="12" t="s">
        <v>100</v>
      </c>
      <c r="C85" s="12">
        <v>0</v>
      </c>
      <c r="D85" s="138">
        <v>46023</v>
      </c>
      <c r="E85" s="12" t="s">
        <v>516</v>
      </c>
      <c r="F85" s="11" t="str">
        <f>IF(Rendiciones[[#This Row],[Fecha ]]&lt;&gt;"",TEXT(Rendiciones[[#This Row],[Fecha ]],"MMMM"),"")</f>
        <v>enero</v>
      </c>
      <c r="G85" s="11" t="s">
        <v>428</v>
      </c>
      <c r="L85" s="20"/>
      <c r="M85" s="20"/>
      <c r="N85" s="20">
        <f>Rendiciones[[#This Row],[Monto Neto ]]*19%</f>
        <v>0</v>
      </c>
      <c r="O85" s="6">
        <f>+Rendiciones[[#This Row],[Monto Neto ]]+Rendiciones[[#This Row],[Monto Exento ]]+Rendiciones[[#This Row],[Iva]]</f>
        <v>0</v>
      </c>
      <c r="P85" t="s">
        <v>89</v>
      </c>
      <c r="Q85" s="138">
        <v>46022</v>
      </c>
      <c r="R85" s="20">
        <v>85348</v>
      </c>
      <c r="S85" s="20">
        <f>Rendiciones[[#This Row],[Total ]]-Rendiciones[[#This Row],[Monto ]]</f>
        <v>-85348</v>
      </c>
      <c r="U85" s="72"/>
    </row>
    <row r="86" spans="2:21" x14ac:dyDescent="0.3">
      <c r="B86" s="12" t="s">
        <v>100</v>
      </c>
      <c r="C86" s="12">
        <v>1</v>
      </c>
      <c r="D86" s="138">
        <v>46065</v>
      </c>
      <c r="E86" s="12" t="s">
        <v>431</v>
      </c>
      <c r="F86" s="11" t="str">
        <f>IF(Rendiciones[[#This Row],[Fecha ]]&lt;&gt;"",TEXT(Rendiciones[[#This Row],[Fecha ]],"MMMM"),"")</f>
        <v>febrero</v>
      </c>
      <c r="G86" s="11" t="s">
        <v>428</v>
      </c>
      <c r="H86" s="12" t="s">
        <v>8</v>
      </c>
      <c r="I86" s="12" t="s">
        <v>60</v>
      </c>
      <c r="K86" s="1" t="s">
        <v>81</v>
      </c>
      <c r="L86" s="20"/>
      <c r="M86" s="20">
        <v>121386</v>
      </c>
      <c r="N86" s="20">
        <f>Rendiciones[[#This Row],[Monto Neto ]]*19%</f>
        <v>0</v>
      </c>
      <c r="O86" s="6">
        <f>+Rendiciones[[#This Row],[Monto Neto ]]+Rendiciones[[#This Row],[Monto Exento ]]+Rendiciones[[#This Row],[Iva]]</f>
        <v>121386</v>
      </c>
      <c r="Q86" s="138"/>
      <c r="R86" s="20"/>
      <c r="S86" s="20">
        <f>Rendiciones[[#This Row],[Total ]]-Rendiciones[[#This Row],[Monto ]]</f>
        <v>121386</v>
      </c>
      <c r="U86" s="72"/>
    </row>
    <row r="87" spans="2:21" x14ac:dyDescent="0.3">
      <c r="B87" s="12" t="s">
        <v>100</v>
      </c>
      <c r="C87" s="12">
        <v>1</v>
      </c>
      <c r="D87" s="138">
        <v>46065</v>
      </c>
      <c r="E87" s="12" t="s">
        <v>431</v>
      </c>
      <c r="F87" s="11" t="str">
        <f>IF(Rendiciones[[#This Row],[Fecha ]]&lt;&gt;"",TEXT(Rendiciones[[#This Row],[Fecha ]],"MMMM"),"")</f>
        <v>febrero</v>
      </c>
      <c r="G87" s="11" t="s">
        <v>428</v>
      </c>
      <c r="H87" s="12" t="s">
        <v>8</v>
      </c>
      <c r="I87" s="12" t="s">
        <v>60</v>
      </c>
      <c r="L87" s="20"/>
      <c r="M87" s="20">
        <f>3000+3000+42400+110732+14000+15800+3000+3000+145804+4000+3000</f>
        <v>347736</v>
      </c>
      <c r="N87" s="20">
        <f>Rendiciones[[#This Row],[Monto Neto ]]*19%</f>
        <v>0</v>
      </c>
      <c r="O87" s="6">
        <f>+Rendiciones[[#This Row],[Monto Neto ]]+Rendiciones[[#This Row],[Monto Exento ]]+Rendiciones[[#This Row],[Iva]]</f>
        <v>347736</v>
      </c>
      <c r="Q87" s="138"/>
      <c r="R87" s="20"/>
      <c r="S87" s="20">
        <f>Rendiciones[[#This Row],[Total ]]-Rendiciones[[#This Row],[Monto ]]</f>
        <v>347736</v>
      </c>
      <c r="U87" s="72"/>
    </row>
    <row r="88" spans="2:21" x14ac:dyDescent="0.3">
      <c r="B88" s="12" t="s">
        <v>100</v>
      </c>
      <c r="C88" s="12">
        <v>1</v>
      </c>
      <c r="D88" s="138">
        <v>46065</v>
      </c>
      <c r="E88" s="12" t="s">
        <v>431</v>
      </c>
      <c r="F88" s="11" t="str">
        <f>IF(Rendiciones[[#This Row],[Fecha ]]&lt;&gt;"",TEXT(Rendiciones[[#This Row],[Fecha ]],"MMMM"),"")</f>
        <v>febrero</v>
      </c>
      <c r="G88" s="11" t="s">
        <v>428</v>
      </c>
      <c r="H88" s="12" t="s">
        <v>8</v>
      </c>
      <c r="I88" s="12" t="s">
        <v>31</v>
      </c>
      <c r="L88" s="20"/>
      <c r="M88" s="20">
        <f>2996+3194+7010+6144+8990+9293+7937+2058+3711+4048+7597+2595+3598+5098+4099+13307+12992+2663+3076+5326+2359+3698+3098+3400+7050+3300+3395</f>
        <v>142032</v>
      </c>
      <c r="N88" s="20">
        <f>Rendiciones[[#This Row],[Monto Neto ]]*19%</f>
        <v>0</v>
      </c>
      <c r="O88" s="6">
        <f>+Rendiciones[[#This Row],[Monto Neto ]]+Rendiciones[[#This Row],[Monto Exento ]]+Rendiciones[[#This Row],[Iva]]</f>
        <v>142032</v>
      </c>
      <c r="Q88" s="138"/>
      <c r="R88" s="20"/>
      <c r="S88" s="20">
        <f>Rendiciones[[#This Row],[Total ]]-Rendiciones[[#This Row],[Monto ]]</f>
        <v>142032</v>
      </c>
      <c r="U88" s="72"/>
    </row>
    <row r="89" spans="2:21" x14ac:dyDescent="0.3">
      <c r="B89" s="12" t="s">
        <v>100</v>
      </c>
      <c r="C89" s="12">
        <v>1</v>
      </c>
      <c r="D89" s="138">
        <v>46065</v>
      </c>
      <c r="E89" s="12" t="s">
        <v>431</v>
      </c>
      <c r="F89" s="11" t="str">
        <f>IF(Rendiciones[[#This Row],[Fecha ]]&lt;&gt;"",TEXT(Rendiciones[[#This Row],[Fecha ]],"MMMM"),"")</f>
        <v>febrero</v>
      </c>
      <c r="G89" s="11" t="s">
        <v>428</v>
      </c>
      <c r="H89" s="12" t="s">
        <v>8</v>
      </c>
      <c r="I89" s="12" t="s">
        <v>429</v>
      </c>
      <c r="L89" s="20"/>
      <c r="M89" s="20">
        <f>4400+13500+5000+12600+17490+6500+2200+10840+19470+30140+5390+21670+9990</f>
        <v>159190</v>
      </c>
      <c r="N89" s="20">
        <f>Rendiciones[[#This Row],[Monto Neto ]]*19%</f>
        <v>0</v>
      </c>
      <c r="O89" s="6">
        <f>+Rendiciones[[#This Row],[Monto Neto ]]+Rendiciones[[#This Row],[Monto Exento ]]+Rendiciones[[#This Row],[Iva]]</f>
        <v>159190</v>
      </c>
      <c r="Q89" s="138"/>
      <c r="R89" s="20"/>
      <c r="S89" s="20">
        <f>Rendiciones[[#This Row],[Total ]]-Rendiciones[[#This Row],[Monto ]]</f>
        <v>159190</v>
      </c>
      <c r="U89" s="72"/>
    </row>
    <row r="90" spans="2:21" x14ac:dyDescent="0.3">
      <c r="B90" s="12" t="s">
        <v>100</v>
      </c>
      <c r="C90" s="12">
        <v>1</v>
      </c>
      <c r="D90" s="138">
        <v>46065</v>
      </c>
      <c r="E90" s="12" t="s">
        <v>431</v>
      </c>
      <c r="F90" s="11" t="str">
        <f>IF(Rendiciones[[#This Row],[Fecha ]]&lt;&gt;"",TEXT(Rendiciones[[#This Row],[Fecha ]],"MMMM"),"")</f>
        <v>febrero</v>
      </c>
      <c r="G90" s="11" t="s">
        <v>428</v>
      </c>
      <c r="H90" s="12" t="s">
        <v>8</v>
      </c>
      <c r="I90" s="12" t="s">
        <v>40</v>
      </c>
      <c r="L90" s="20"/>
      <c r="M90" s="20">
        <v>53500</v>
      </c>
      <c r="N90" s="20">
        <f>Rendiciones[[#This Row],[Monto Neto ]]*19%</f>
        <v>0</v>
      </c>
      <c r="O90" s="6">
        <f>+Rendiciones[[#This Row],[Monto Neto ]]+Rendiciones[[#This Row],[Monto Exento ]]+Rendiciones[[#This Row],[Iva]]</f>
        <v>53500</v>
      </c>
      <c r="Q90" s="138"/>
      <c r="R90" s="20"/>
      <c r="S90" s="20">
        <f>Rendiciones[[#This Row],[Total ]]-Rendiciones[[#This Row],[Monto ]]</f>
        <v>53500</v>
      </c>
      <c r="U90" s="72"/>
    </row>
    <row r="91" spans="2:21" x14ac:dyDescent="0.3">
      <c r="B91" s="12" t="s">
        <v>100</v>
      </c>
      <c r="C91" s="12">
        <v>1</v>
      </c>
      <c r="D91" s="138">
        <v>46065</v>
      </c>
      <c r="E91" s="12" t="s">
        <v>431</v>
      </c>
      <c r="F91" s="11" t="str">
        <f>IF(Rendiciones[[#This Row],[Fecha ]]&lt;&gt;"",TEXT(Rendiciones[[#This Row],[Fecha ]],"MMMM"),"")</f>
        <v>febrero</v>
      </c>
      <c r="G91" s="11" t="s">
        <v>428</v>
      </c>
      <c r="H91" s="12" t="s">
        <v>8</v>
      </c>
      <c r="I91" s="12" t="s">
        <v>60</v>
      </c>
      <c r="L91" s="20"/>
      <c r="M91" s="20">
        <v>29000</v>
      </c>
      <c r="N91" s="20">
        <f>Rendiciones[[#This Row],[Monto Neto ]]*19%</f>
        <v>0</v>
      </c>
      <c r="O91" s="6">
        <f>+Rendiciones[[#This Row],[Monto Neto ]]+Rendiciones[[#This Row],[Monto Exento ]]+Rendiciones[[#This Row],[Iva]]</f>
        <v>29000</v>
      </c>
      <c r="Q91" s="138"/>
      <c r="R91" s="20"/>
      <c r="S91" s="20">
        <f>Rendiciones[[#This Row],[Total ]]-Rendiciones[[#This Row],[Monto ]]</f>
        <v>29000</v>
      </c>
      <c r="U91" s="72"/>
    </row>
    <row r="92" spans="2:21" x14ac:dyDescent="0.3">
      <c r="B92" s="12" t="s">
        <v>100</v>
      </c>
      <c r="C92" s="12">
        <v>1</v>
      </c>
      <c r="D92" s="138">
        <v>46065</v>
      </c>
      <c r="E92" s="12" t="s">
        <v>431</v>
      </c>
      <c r="F92" s="11" t="str">
        <f>IF(Rendiciones[[#This Row],[Fecha ]]&lt;&gt;"",TEXT(Rendiciones[[#This Row],[Fecha ]],"MMMM"),"")</f>
        <v>febrero</v>
      </c>
      <c r="G92" s="11" t="s">
        <v>428</v>
      </c>
      <c r="H92" s="12" t="s">
        <v>8</v>
      </c>
      <c r="I92" s="12" t="s">
        <v>65</v>
      </c>
      <c r="L92" s="20"/>
      <c r="M92" s="20">
        <v>8162</v>
      </c>
      <c r="N92" s="20">
        <f>Rendiciones[[#This Row],[Monto Neto ]]*19%</f>
        <v>0</v>
      </c>
      <c r="O92" s="6">
        <f>+Rendiciones[[#This Row],[Monto Neto ]]+Rendiciones[[#This Row],[Monto Exento ]]+Rendiciones[[#This Row],[Iva]]</f>
        <v>8162</v>
      </c>
      <c r="P92" t="s">
        <v>89</v>
      </c>
      <c r="Q92" s="138">
        <v>46073</v>
      </c>
      <c r="R92" s="20">
        <v>775658</v>
      </c>
      <c r="S92" s="20">
        <f>Rendiciones[[#This Row],[Total ]]-Rendiciones[[#This Row],[Monto ]]</f>
        <v>-767496</v>
      </c>
      <c r="U92" s="72"/>
    </row>
    <row r="93" spans="2:21" x14ac:dyDescent="0.3">
      <c r="B93" s="12" t="s">
        <v>445</v>
      </c>
      <c r="D93" s="138">
        <v>46073</v>
      </c>
      <c r="E93" s="12" t="s">
        <v>515</v>
      </c>
      <c r="F93" s="11" t="str">
        <f>IF(Rendiciones[[#This Row],[Fecha ]]&lt;&gt;"",TEXT(Rendiciones[[#This Row],[Fecha ]],"MMMM"),"")</f>
        <v>febrero</v>
      </c>
      <c r="G93" s="11"/>
      <c r="L93" s="20"/>
      <c r="M93" s="20"/>
      <c r="N93" s="20">
        <f>Rendiciones[[#This Row],[Monto Neto ]]*19%</f>
        <v>0</v>
      </c>
      <c r="O93" s="6">
        <f>+Rendiciones[[#This Row],[Monto Neto ]]+Rendiciones[[#This Row],[Monto Exento ]]+Rendiciones[[#This Row],[Iva]]</f>
        <v>0</v>
      </c>
      <c r="P93" t="s">
        <v>89</v>
      </c>
      <c r="Q93" s="138">
        <v>45708</v>
      </c>
      <c r="R93" s="20">
        <v>70794</v>
      </c>
      <c r="S93" s="20">
        <f>Rendiciones[[#This Row],[Total ]]-Rendiciones[[#This Row],[Monto ]]</f>
        <v>-70794</v>
      </c>
      <c r="U93" s="72"/>
    </row>
    <row r="94" spans="2:21" x14ac:dyDescent="0.3">
      <c r="B94" s="12" t="s">
        <v>445</v>
      </c>
      <c r="C94" s="12">
        <v>4</v>
      </c>
      <c r="D94" s="138">
        <v>46076</v>
      </c>
      <c r="E94" s="12" t="s">
        <v>517</v>
      </c>
      <c r="F94" s="11" t="str">
        <f>IF(Rendiciones[[#This Row],[Fecha ]]&lt;&gt;"",TEXT(Rendiciones[[#This Row],[Fecha ]],"MMMM"),"")</f>
        <v>febrero</v>
      </c>
      <c r="G94" s="11" t="s">
        <v>428</v>
      </c>
      <c r="H94" s="12" t="s">
        <v>6</v>
      </c>
      <c r="I94" s="12" t="s">
        <v>56</v>
      </c>
      <c r="K94" s="1" t="s">
        <v>81</v>
      </c>
      <c r="L94" s="20">
        <v>73916</v>
      </c>
      <c r="M94" s="20"/>
      <c r="N94" s="20">
        <f>Rendiciones[[#This Row],[Monto Neto ]]*19%</f>
        <v>14044.04</v>
      </c>
      <c r="O94" s="6">
        <f>+Rendiciones[[#This Row],[Monto Neto ]]+Rendiciones[[#This Row],[Monto Exento ]]+Rendiciones[[#This Row],[Iva]]</f>
        <v>87960.040000000008</v>
      </c>
      <c r="Q94" s="138"/>
      <c r="R94" s="20"/>
      <c r="S94" s="20">
        <f>Rendiciones[[#This Row],[Total ]]-Rendiciones[[#This Row],[Monto ]]</f>
        <v>87960.040000000008</v>
      </c>
      <c r="U94" s="72"/>
    </row>
    <row r="95" spans="2:21" x14ac:dyDescent="0.3">
      <c r="B95" s="12" t="s">
        <v>445</v>
      </c>
      <c r="C95" s="12">
        <v>4</v>
      </c>
      <c r="D95" s="138">
        <v>46076</v>
      </c>
      <c r="E95" s="12" t="s">
        <v>517</v>
      </c>
      <c r="F95" s="11" t="str">
        <f>IF(Rendiciones[[#This Row],[Fecha ]]&lt;&gt;"",TEXT(Rendiciones[[#This Row],[Fecha ]],"MMMM"),"")</f>
        <v>febrero</v>
      </c>
      <c r="G95" s="11" t="s">
        <v>428</v>
      </c>
      <c r="H95" s="12" t="s">
        <v>6</v>
      </c>
      <c r="I95" s="12" t="s">
        <v>39</v>
      </c>
      <c r="L95" s="20"/>
      <c r="M95" s="20">
        <v>1780</v>
      </c>
      <c r="N95" s="20">
        <f>Rendiciones[[#This Row],[Monto Neto ]]*19%</f>
        <v>0</v>
      </c>
      <c r="O95" s="6">
        <f>+Rendiciones[[#This Row],[Monto Neto ]]+Rendiciones[[#This Row],[Monto Exento ]]+Rendiciones[[#This Row],[Iva]]</f>
        <v>1780</v>
      </c>
      <c r="P95" t="s">
        <v>89</v>
      </c>
      <c r="Q95" s="138">
        <v>46078</v>
      </c>
      <c r="R95" s="20">
        <v>89740</v>
      </c>
      <c r="S95" s="20">
        <f>Rendiciones[[#This Row],[Total ]]-Rendiciones[[#This Row],[Monto ]]</f>
        <v>-87960</v>
      </c>
      <c r="U95" s="72"/>
    </row>
    <row r="96" spans="2:21" x14ac:dyDescent="0.3">
      <c r="B96" s="12" t="s">
        <v>100</v>
      </c>
      <c r="C96" s="12">
        <v>2</v>
      </c>
      <c r="D96" s="138">
        <v>46072</v>
      </c>
      <c r="E96" s="12" t="s">
        <v>515</v>
      </c>
      <c r="F96" s="11" t="str">
        <f>IF(Rendiciones[[#This Row],[Fecha ]]&lt;&gt;"",TEXT(Rendiciones[[#This Row],[Fecha ]],"MMMM"),"")</f>
        <v>febrero</v>
      </c>
      <c r="G96" s="11" t="s">
        <v>428</v>
      </c>
      <c r="H96" s="12" t="s">
        <v>6</v>
      </c>
      <c r="I96" s="12" t="s">
        <v>31</v>
      </c>
      <c r="L96" s="20"/>
      <c r="M96" s="20">
        <f>13328+3798+4082</f>
        <v>21208</v>
      </c>
      <c r="N96" s="20">
        <f>Rendiciones[[#This Row],[Monto Neto ]]*19%</f>
        <v>0</v>
      </c>
      <c r="O96" s="6">
        <f>+Rendiciones[[#This Row],[Monto Neto ]]+Rendiciones[[#This Row],[Monto Exento ]]+Rendiciones[[#This Row],[Iva]]</f>
        <v>21208</v>
      </c>
      <c r="Q96" s="138"/>
      <c r="R96" s="20"/>
      <c r="S96" s="20">
        <f>Rendiciones[[#This Row],[Total ]]-Rendiciones[[#This Row],[Monto ]]</f>
        <v>21208</v>
      </c>
      <c r="U96" s="72"/>
    </row>
    <row r="97" spans="2:21" x14ac:dyDescent="0.3">
      <c r="B97" s="12" t="s">
        <v>100</v>
      </c>
      <c r="C97" s="12">
        <v>2</v>
      </c>
      <c r="D97" s="138">
        <v>46072</v>
      </c>
      <c r="E97" s="12" t="s">
        <v>515</v>
      </c>
      <c r="F97" s="11" t="str">
        <f>IF(Rendiciones[[#This Row],[Fecha ]]&lt;&gt;"",TEXT(Rendiciones[[#This Row],[Fecha ]],"MMMM"),"")</f>
        <v>febrero</v>
      </c>
      <c r="G97" s="11" t="s">
        <v>428</v>
      </c>
      <c r="H97" s="12" t="s">
        <v>9</v>
      </c>
      <c r="I97" s="12" t="s">
        <v>47</v>
      </c>
      <c r="L97" s="20"/>
      <c r="M97" s="20">
        <v>200000</v>
      </c>
      <c r="N97" s="20">
        <f>Rendiciones[[#This Row],[Monto Neto ]]*19%</f>
        <v>0</v>
      </c>
      <c r="O97" s="6">
        <f>+Rendiciones[[#This Row],[Monto Neto ]]+Rendiciones[[#This Row],[Monto Exento ]]+Rendiciones[[#This Row],[Iva]]</f>
        <v>200000</v>
      </c>
      <c r="P97" t="s">
        <v>89</v>
      </c>
      <c r="Q97" s="138">
        <v>46092</v>
      </c>
      <c r="R97" s="20">
        <v>221208</v>
      </c>
      <c r="S97" s="20">
        <f>Rendiciones[[#This Row],[Total ]]-Rendiciones[[#This Row],[Monto ]]</f>
        <v>-21208</v>
      </c>
      <c r="U97" s="72"/>
    </row>
    <row r="98" spans="2:21" x14ac:dyDescent="0.3">
      <c r="B98" s="12" t="s">
        <v>445</v>
      </c>
      <c r="C98" s="12">
        <v>5</v>
      </c>
      <c r="D98" s="138">
        <v>46080</v>
      </c>
      <c r="E98" s="12" t="s">
        <v>517</v>
      </c>
      <c r="F98" s="11" t="str">
        <f>IF(Rendiciones[[#This Row],[Fecha ]]&lt;&gt;"",TEXT(Rendiciones[[#This Row],[Fecha ]],"MMMM"),"")</f>
        <v>febrero</v>
      </c>
      <c r="G98" s="11" t="s">
        <v>428</v>
      </c>
      <c r="H98" s="12" t="s">
        <v>6</v>
      </c>
      <c r="I98" s="12" t="s">
        <v>28</v>
      </c>
      <c r="K98" s="1" t="s">
        <v>81</v>
      </c>
      <c r="L98" s="20">
        <v>17103</v>
      </c>
      <c r="M98" s="20">
        <f>2563+84.5</f>
        <v>2647.5</v>
      </c>
      <c r="N98" s="20">
        <f>Rendiciones[[#This Row],[Monto Neto ]]*19%</f>
        <v>3249.57</v>
      </c>
      <c r="O98" s="6">
        <f>+Rendiciones[[#This Row],[Monto Neto ]]+Rendiciones[[#This Row],[Monto Exento ]]+Rendiciones[[#This Row],[Iva]]</f>
        <v>23000.07</v>
      </c>
      <c r="Q98" s="138"/>
      <c r="R98" s="20"/>
      <c r="S98" s="20">
        <f>Rendiciones[[#This Row],[Total ]]-Rendiciones[[#This Row],[Monto ]]</f>
        <v>23000.07</v>
      </c>
      <c r="U98" s="72"/>
    </row>
    <row r="99" spans="2:21" x14ac:dyDescent="0.3">
      <c r="B99" s="12" t="s">
        <v>445</v>
      </c>
      <c r="C99" s="12">
        <v>5</v>
      </c>
      <c r="D99" s="138">
        <v>46080</v>
      </c>
      <c r="E99" s="12" t="s">
        <v>517</v>
      </c>
      <c r="F99" s="11" t="str">
        <f>IF(Rendiciones[[#This Row],[Fecha ]]&lt;&gt;"",TEXT(Rendiciones[[#This Row],[Fecha ]],"MMMM"),"")</f>
        <v>febrero</v>
      </c>
      <c r="G99" s="11" t="s">
        <v>428</v>
      </c>
      <c r="H99" s="12" t="s">
        <v>6</v>
      </c>
      <c r="I99" s="12" t="s">
        <v>56</v>
      </c>
      <c r="K99" s="1" t="s">
        <v>81</v>
      </c>
      <c r="L99" s="20">
        <v>60546</v>
      </c>
      <c r="M99" s="20"/>
      <c r="N99" s="20">
        <f>Rendiciones[[#This Row],[Monto Neto ]]*19%</f>
        <v>11503.74</v>
      </c>
      <c r="O99" s="6">
        <f>+Rendiciones[[#This Row],[Monto Neto ]]+Rendiciones[[#This Row],[Monto Exento ]]+Rendiciones[[#This Row],[Iva]]</f>
        <v>72049.740000000005</v>
      </c>
      <c r="P99" t="s">
        <v>89</v>
      </c>
      <c r="Q99" s="138">
        <v>46083</v>
      </c>
      <c r="R99" s="20">
        <v>95050</v>
      </c>
      <c r="S99" s="20">
        <f>Rendiciones[[#This Row],[Total ]]-Rendiciones[[#This Row],[Monto ]]</f>
        <v>-23000.259999999995</v>
      </c>
      <c r="U99" s="72"/>
    </row>
    <row r="100" spans="2:21" x14ac:dyDescent="0.3">
      <c r="B100" s="12" t="s">
        <v>241</v>
      </c>
      <c r="C100" s="12">
        <v>5</v>
      </c>
      <c r="D100" s="138">
        <v>46076</v>
      </c>
      <c r="E100" s="12" t="s">
        <v>517</v>
      </c>
      <c r="F100" s="11" t="str">
        <f>IF(Rendiciones[[#This Row],[Fecha ]]&lt;&gt;"",TEXT(Rendiciones[[#This Row],[Fecha ]],"MMMM"),"")</f>
        <v>febrero</v>
      </c>
      <c r="G100" s="11" t="s">
        <v>428</v>
      </c>
      <c r="H100" s="12" t="s">
        <v>6</v>
      </c>
      <c r="I100" s="12" t="s">
        <v>28</v>
      </c>
      <c r="K100" s="1" t="s">
        <v>81</v>
      </c>
      <c r="L100" s="20">
        <v>18225</v>
      </c>
      <c r="M100" s="20">
        <f>2833+710+500.02</f>
        <v>4043.02</v>
      </c>
      <c r="N100" s="20">
        <f>Rendiciones[[#This Row],[Monto Neto ]]*19%</f>
        <v>3462.75</v>
      </c>
      <c r="O100" s="6">
        <f>+Rendiciones[[#This Row],[Monto Neto ]]+Rendiciones[[#This Row],[Monto Exento ]]+Rendiciones[[#This Row],[Iva]]</f>
        <v>25730.77</v>
      </c>
      <c r="Q100" s="138"/>
      <c r="R100" s="20"/>
      <c r="S100" s="20">
        <f>Rendiciones[[#This Row],[Total ]]-Rendiciones[[#This Row],[Monto ]]</f>
        <v>25730.77</v>
      </c>
      <c r="U100" s="72"/>
    </row>
    <row r="101" spans="2:21" x14ac:dyDescent="0.3">
      <c r="B101" s="12" t="s">
        <v>241</v>
      </c>
      <c r="C101" s="12">
        <v>5</v>
      </c>
      <c r="D101" s="138">
        <v>46076</v>
      </c>
      <c r="E101" s="12" t="s">
        <v>517</v>
      </c>
      <c r="F101" s="11" t="str">
        <f>IF(Rendiciones[[#This Row],[Fecha ]]&lt;&gt;"",TEXT(Rendiciones[[#This Row],[Fecha ]],"MMMM"),"")</f>
        <v>febrero</v>
      </c>
      <c r="G101" s="11" t="s">
        <v>428</v>
      </c>
      <c r="H101" s="12" t="s">
        <v>5</v>
      </c>
      <c r="I101" s="12" t="s">
        <v>56</v>
      </c>
      <c r="K101" s="1" t="s">
        <v>81</v>
      </c>
      <c r="L101" s="20">
        <v>6688</v>
      </c>
      <c r="M101" s="20"/>
      <c r="N101" s="20">
        <f>Rendiciones[[#This Row],[Monto Neto ]]*19%</f>
        <v>1270.72</v>
      </c>
      <c r="O101" s="6">
        <f>+Rendiciones[[#This Row],[Monto Neto ]]+Rendiciones[[#This Row],[Monto Exento ]]+Rendiciones[[#This Row],[Iva]]</f>
        <v>7958.72</v>
      </c>
      <c r="Q101" s="138"/>
      <c r="R101" s="20"/>
      <c r="S101" s="20">
        <f>Rendiciones[[#This Row],[Total ]]-Rendiciones[[#This Row],[Monto ]]</f>
        <v>7958.72</v>
      </c>
      <c r="U101" s="72"/>
    </row>
    <row r="102" spans="2:21" x14ac:dyDescent="0.3">
      <c r="B102" s="12" t="s">
        <v>241</v>
      </c>
      <c r="C102" s="12">
        <v>5</v>
      </c>
      <c r="D102" s="138">
        <v>46076</v>
      </c>
      <c r="E102" s="12" t="s">
        <v>517</v>
      </c>
      <c r="F102" s="11" t="str">
        <f>IF(Rendiciones[[#This Row],[Fecha ]]&lt;&gt;"",TEXT(Rendiciones[[#This Row],[Fecha ]],"MMMM"),"")</f>
        <v>febrero</v>
      </c>
      <c r="G102" s="11" t="s">
        <v>428</v>
      </c>
      <c r="H102" s="12" t="s">
        <v>6</v>
      </c>
      <c r="I102" s="12" t="s">
        <v>28</v>
      </c>
      <c r="K102" s="1" t="s">
        <v>81</v>
      </c>
      <c r="L102" s="20">
        <v>24687</v>
      </c>
      <c r="M102" s="20">
        <f>3693+500</f>
        <v>4193</v>
      </c>
      <c r="N102" s="20">
        <f>Rendiciones[[#This Row],[Monto Neto ]]*19%</f>
        <v>4690.53</v>
      </c>
      <c r="O102" s="6">
        <f>+Rendiciones[[#This Row],[Monto Neto ]]+Rendiciones[[#This Row],[Monto Exento ]]+Rendiciones[[#This Row],[Iva]]</f>
        <v>33570.53</v>
      </c>
      <c r="Q102" s="138"/>
      <c r="R102" s="20"/>
      <c r="S102" s="20">
        <f>Rendiciones[[#This Row],[Total ]]-Rendiciones[[#This Row],[Monto ]]</f>
        <v>33570.53</v>
      </c>
      <c r="U102" s="72"/>
    </row>
    <row r="103" spans="2:21" x14ac:dyDescent="0.3">
      <c r="B103" s="12" t="s">
        <v>241</v>
      </c>
      <c r="C103" s="12">
        <v>5</v>
      </c>
      <c r="D103" s="138">
        <v>46076</v>
      </c>
      <c r="E103" s="12" t="s">
        <v>517</v>
      </c>
      <c r="F103" s="11" t="str">
        <f>IF(Rendiciones[[#This Row],[Fecha ]]&lt;&gt;"",TEXT(Rendiciones[[#This Row],[Fecha ]],"MMMM"),"")</f>
        <v>febrero</v>
      </c>
      <c r="G103" s="11" t="s">
        <v>428</v>
      </c>
      <c r="H103" s="12" t="s">
        <v>6</v>
      </c>
      <c r="I103" s="12" t="s">
        <v>28</v>
      </c>
      <c r="K103" s="1" t="s">
        <v>81</v>
      </c>
      <c r="L103" s="20">
        <v>37355</v>
      </c>
      <c r="M103" s="20">
        <f>5691+815+500</f>
        <v>7006</v>
      </c>
      <c r="N103" s="20">
        <f>Rendiciones[[#This Row],[Monto Neto ]]*19%</f>
        <v>7097.45</v>
      </c>
      <c r="O103" s="6">
        <f>+Rendiciones[[#This Row],[Monto Neto ]]+Rendiciones[[#This Row],[Monto Exento ]]+Rendiciones[[#This Row],[Iva]]</f>
        <v>51458.45</v>
      </c>
      <c r="Q103" s="138"/>
      <c r="R103" s="20"/>
      <c r="S103" s="20">
        <f>Rendiciones[[#This Row],[Total ]]-Rendiciones[[#This Row],[Monto ]]</f>
        <v>51458.45</v>
      </c>
      <c r="U103" s="72"/>
    </row>
    <row r="104" spans="2:21" x14ac:dyDescent="0.3">
      <c r="B104" s="12" t="s">
        <v>241</v>
      </c>
      <c r="C104" s="12">
        <v>5</v>
      </c>
      <c r="D104" s="138">
        <v>46076</v>
      </c>
      <c r="E104" s="12" t="s">
        <v>517</v>
      </c>
      <c r="F104" s="11" t="str">
        <f>IF(Rendiciones[[#This Row],[Fecha ]]&lt;&gt;"",TEXT(Rendiciones[[#This Row],[Fecha ]],"MMMM"),"")</f>
        <v>febrero</v>
      </c>
      <c r="G104" s="11" t="s">
        <v>428</v>
      </c>
      <c r="H104" s="12" t="s">
        <v>6</v>
      </c>
      <c r="I104" s="12" t="s">
        <v>28</v>
      </c>
      <c r="K104" s="1" t="s">
        <v>81</v>
      </c>
      <c r="L104" s="20">
        <v>24837</v>
      </c>
      <c r="M104" s="20">
        <f>3889+557</f>
        <v>4446</v>
      </c>
      <c r="N104" s="20">
        <f>Rendiciones[[#This Row],[Monto Neto ]]*19%</f>
        <v>4719.03</v>
      </c>
      <c r="O104" s="6">
        <f>+Rendiciones[[#This Row],[Monto Neto ]]+Rendiciones[[#This Row],[Monto Exento ]]+Rendiciones[[#This Row],[Iva]]</f>
        <v>34002.03</v>
      </c>
      <c r="Q104" s="138"/>
      <c r="R104" s="20"/>
      <c r="S104" s="20">
        <f>Rendiciones[[#This Row],[Total ]]-Rendiciones[[#This Row],[Monto ]]</f>
        <v>34002.03</v>
      </c>
      <c r="U104" s="72"/>
    </row>
    <row r="105" spans="2:21" x14ac:dyDescent="0.3">
      <c r="B105" s="12" t="s">
        <v>241</v>
      </c>
      <c r="C105" s="12">
        <v>5</v>
      </c>
      <c r="D105" s="138">
        <v>46076</v>
      </c>
      <c r="E105" s="12" t="s">
        <v>517</v>
      </c>
      <c r="F105" s="11" t="str">
        <f>IF(Rendiciones[[#This Row],[Fecha ]]&lt;&gt;"",TEXT(Rendiciones[[#This Row],[Fecha ]],"MMMM"),"")</f>
        <v>febrero</v>
      </c>
      <c r="G105" s="11" t="s">
        <v>428</v>
      </c>
      <c r="H105" s="12" t="s">
        <v>6</v>
      </c>
      <c r="I105" s="12" t="s">
        <v>429</v>
      </c>
      <c r="L105" s="20"/>
      <c r="M105" s="20">
        <f>7400+7900</f>
        <v>15300</v>
      </c>
      <c r="N105" s="20">
        <f>Rendiciones[[#This Row],[Monto Neto ]]*19%</f>
        <v>0</v>
      </c>
      <c r="O105" s="6">
        <f>+Rendiciones[[#This Row],[Monto Neto ]]+Rendiciones[[#This Row],[Monto Exento ]]+Rendiciones[[#This Row],[Iva]]</f>
        <v>15300</v>
      </c>
      <c r="Q105" s="138"/>
      <c r="R105" s="20"/>
      <c r="S105" s="20">
        <f>Rendiciones[[#This Row],[Total ]]-Rendiciones[[#This Row],[Monto ]]</f>
        <v>15300</v>
      </c>
      <c r="U105" s="72"/>
    </row>
    <row r="106" spans="2:21" x14ac:dyDescent="0.3">
      <c r="B106" s="12" t="s">
        <v>241</v>
      </c>
      <c r="C106" s="12">
        <v>5</v>
      </c>
      <c r="D106" s="138">
        <v>46076</v>
      </c>
      <c r="E106" s="12" t="s">
        <v>517</v>
      </c>
      <c r="F106" s="11" t="str">
        <f>IF(Rendiciones[[#This Row],[Fecha ]]&lt;&gt;"",TEXT(Rendiciones[[#This Row],[Fecha ]],"MMMM"),"")</f>
        <v>febrero</v>
      </c>
      <c r="G106" s="11" t="s">
        <v>428</v>
      </c>
      <c r="H106" s="12" t="s">
        <v>6</v>
      </c>
      <c r="I106" s="12" t="s">
        <v>39</v>
      </c>
      <c r="L106" s="20"/>
      <c r="M106" s="20">
        <v>5000</v>
      </c>
      <c r="N106" s="20">
        <f>Rendiciones[[#This Row],[Monto Neto ]]*19%</f>
        <v>0</v>
      </c>
      <c r="O106" s="6">
        <f>+Rendiciones[[#This Row],[Monto Neto ]]+Rendiciones[[#This Row],[Monto Exento ]]+Rendiciones[[#This Row],[Iva]]</f>
        <v>5000</v>
      </c>
      <c r="Q106" s="138"/>
      <c r="R106" s="20"/>
      <c r="S106" s="20">
        <f>Rendiciones[[#This Row],[Total ]]-Rendiciones[[#This Row],[Monto ]]</f>
        <v>5000</v>
      </c>
      <c r="U106" s="72"/>
    </row>
    <row r="107" spans="2:21" x14ac:dyDescent="0.3">
      <c r="B107" s="12" t="s">
        <v>241</v>
      </c>
      <c r="C107" s="12">
        <v>6</v>
      </c>
      <c r="D107" s="138">
        <v>46080</v>
      </c>
      <c r="E107" s="12" t="s">
        <v>517</v>
      </c>
      <c r="F107" s="11" t="str">
        <f>IF(Rendiciones[[#This Row],[Fecha ]]&lt;&gt;"",TEXT(Rendiciones[[#This Row],[Fecha ]],"MMMM"),"")</f>
        <v>febrero</v>
      </c>
      <c r="G107" s="11" t="s">
        <v>427</v>
      </c>
      <c r="H107" s="12" t="s">
        <v>5</v>
      </c>
      <c r="I107" s="12" t="s">
        <v>429</v>
      </c>
      <c r="L107" s="20"/>
      <c r="M107" s="20">
        <v>58980</v>
      </c>
      <c r="N107" s="20">
        <f>Rendiciones[[#This Row],[Monto Neto ]]*19%</f>
        <v>0</v>
      </c>
      <c r="O107" s="6">
        <f>+Rendiciones[[#This Row],[Monto Neto ]]+Rendiciones[[#This Row],[Monto Exento ]]+Rendiciones[[#This Row],[Iva]]</f>
        <v>58980</v>
      </c>
      <c r="P107" t="s">
        <v>89</v>
      </c>
      <c r="Q107" s="138">
        <v>46083</v>
      </c>
      <c r="R107" s="20">
        <v>232000.5</v>
      </c>
      <c r="S107" s="20">
        <f>Rendiciones[[#This Row],[Total ]]-Rendiciones[[#This Row],[Monto ]]</f>
        <v>-173020.5</v>
      </c>
      <c r="U107" s="72"/>
    </row>
    <row r="108" spans="2:21" x14ac:dyDescent="0.3">
      <c r="B108" s="12" t="s">
        <v>435</v>
      </c>
      <c r="C108" s="12">
        <v>1</v>
      </c>
      <c r="D108" s="138">
        <v>46072</v>
      </c>
      <c r="E108" s="12" t="s">
        <v>515</v>
      </c>
      <c r="F108" s="11" t="str">
        <f>IF(Rendiciones[[#This Row],[Fecha ]]&lt;&gt;"",TEXT(Rendiciones[[#This Row],[Fecha ]],"MMMM"),"")</f>
        <v>febrero</v>
      </c>
      <c r="G108" s="11" t="s">
        <v>428</v>
      </c>
      <c r="H108" s="12" t="s">
        <v>9</v>
      </c>
      <c r="I108" s="12" t="s">
        <v>66</v>
      </c>
      <c r="K108" s="1" t="s">
        <v>81</v>
      </c>
      <c r="L108" s="20"/>
      <c r="M108" s="20">
        <v>169414</v>
      </c>
      <c r="N108" s="20">
        <f>Rendiciones[[#This Row],[Monto Neto ]]*19%</f>
        <v>0</v>
      </c>
      <c r="O108" s="6">
        <f>+Rendiciones[[#This Row],[Monto Neto ]]+Rendiciones[[#This Row],[Monto Exento ]]+Rendiciones[[#This Row],[Iva]]</f>
        <v>169414</v>
      </c>
      <c r="P108" t="s">
        <v>89</v>
      </c>
      <c r="Q108" s="138">
        <v>46073</v>
      </c>
      <c r="R108" s="20">
        <v>169414</v>
      </c>
      <c r="S108" s="20">
        <f>Rendiciones[[#This Row],[Total ]]-Rendiciones[[#This Row],[Monto ]]</f>
        <v>0</v>
      </c>
      <c r="U108" s="72"/>
    </row>
    <row r="109" spans="2:21" x14ac:dyDescent="0.3">
      <c r="B109" s="12" t="s">
        <v>19</v>
      </c>
      <c r="C109" s="12">
        <v>1</v>
      </c>
      <c r="D109" s="138">
        <v>46065</v>
      </c>
      <c r="E109" s="12" t="s">
        <v>514</v>
      </c>
      <c r="F109" s="11" t="str">
        <f>IF(Rendiciones[[#This Row],[Fecha ]]&lt;&gt;"",TEXT(Rendiciones[[#This Row],[Fecha ]],"MMMM"),"")</f>
        <v>febrero</v>
      </c>
      <c r="G109" s="11" t="s">
        <v>428</v>
      </c>
      <c r="H109" s="12" t="s">
        <v>6</v>
      </c>
      <c r="I109" s="12" t="s">
        <v>28</v>
      </c>
      <c r="K109" s="1" t="s">
        <v>81</v>
      </c>
      <c r="L109" s="20">
        <v>41543</v>
      </c>
      <c r="M109" s="20">
        <f>6323+1584</f>
        <v>7907</v>
      </c>
      <c r="N109" s="20">
        <f>Rendiciones[[#This Row],[Monto Neto ]]*19%</f>
        <v>7893.17</v>
      </c>
      <c r="O109" s="6">
        <f>+Rendiciones[[#This Row],[Monto Neto ]]+Rendiciones[[#This Row],[Monto Exento ]]+Rendiciones[[#This Row],[Iva]]</f>
        <v>57343.17</v>
      </c>
      <c r="P109" t="s">
        <v>89</v>
      </c>
      <c r="Q109" s="138">
        <v>46066</v>
      </c>
      <c r="R109" s="20">
        <v>57343.17</v>
      </c>
      <c r="S109" s="20">
        <f>Rendiciones[[#This Row],[Total ]]-Rendiciones[[#This Row],[Monto ]]</f>
        <v>0</v>
      </c>
      <c r="U109" s="72"/>
    </row>
    <row r="110" spans="2:21" x14ac:dyDescent="0.3">
      <c r="B110" s="12" t="s">
        <v>113</v>
      </c>
      <c r="C110" s="12">
        <v>5</v>
      </c>
      <c r="D110" s="138">
        <v>46065</v>
      </c>
      <c r="E110" s="12" t="s">
        <v>514</v>
      </c>
      <c r="F110" s="11" t="str">
        <f>IF(Rendiciones[[#This Row],[Fecha ]]&lt;&gt;"",TEXT(Rendiciones[[#This Row],[Fecha ]],"MMMM"),"")</f>
        <v>febrero</v>
      </c>
      <c r="G110" s="11" t="s">
        <v>427</v>
      </c>
      <c r="H110" s="12" t="s">
        <v>5</v>
      </c>
      <c r="I110" s="12" t="s">
        <v>502</v>
      </c>
      <c r="L110" s="20"/>
      <c r="M110" s="20">
        <v>19441</v>
      </c>
      <c r="N110" s="20">
        <f>Rendiciones[[#This Row],[Monto Neto ]]*19%</f>
        <v>0</v>
      </c>
      <c r="O110" s="6">
        <f>+Rendiciones[[#This Row],[Monto Neto ]]+Rendiciones[[#This Row],[Monto Exento ]]+Rendiciones[[#This Row],[Iva]]</f>
        <v>19441</v>
      </c>
      <c r="P110" t="s">
        <v>89</v>
      </c>
      <c r="Q110" s="138">
        <v>46066</v>
      </c>
      <c r="R110" s="20">
        <v>19441</v>
      </c>
      <c r="S110" s="20">
        <f>Rendiciones[[#This Row],[Total ]]-Rendiciones[[#This Row],[Monto ]]</f>
        <v>0</v>
      </c>
      <c r="U110" s="72"/>
    </row>
    <row r="111" spans="2:21" x14ac:dyDescent="0.3">
      <c r="B111" s="12" t="s">
        <v>20</v>
      </c>
      <c r="C111" s="12">
        <v>3</v>
      </c>
      <c r="D111" s="138">
        <v>46080</v>
      </c>
      <c r="E111" s="12" t="s">
        <v>517</v>
      </c>
      <c r="F111" s="11" t="str">
        <f>IF(Rendiciones[[#This Row],[Fecha ]]&lt;&gt;"",TEXT(Rendiciones[[#This Row],[Fecha ]],"MMMM"),"")</f>
        <v>febrero</v>
      </c>
      <c r="G111" s="11" t="s">
        <v>428</v>
      </c>
      <c r="H111" s="12" t="s">
        <v>5</v>
      </c>
      <c r="I111" s="12" t="s">
        <v>26</v>
      </c>
      <c r="L111" s="20"/>
      <c r="M111" s="20">
        <v>26168</v>
      </c>
      <c r="N111" s="20">
        <f>Rendiciones[[#This Row],[Monto Neto ]]*19%</f>
        <v>0</v>
      </c>
      <c r="O111" s="6">
        <f>+Rendiciones[[#This Row],[Monto Neto ]]+Rendiciones[[#This Row],[Monto Exento ]]+Rendiciones[[#This Row],[Iva]]</f>
        <v>26168</v>
      </c>
      <c r="P111" t="s">
        <v>89</v>
      </c>
      <c r="Q111" s="138">
        <v>46092</v>
      </c>
      <c r="R111" s="20">
        <v>26168</v>
      </c>
      <c r="S111" s="20">
        <f>Rendiciones[[#This Row],[Total ]]-Rendiciones[[#This Row],[Monto ]]</f>
        <v>0</v>
      </c>
      <c r="U111" s="72"/>
    </row>
    <row r="112" spans="2:21" x14ac:dyDescent="0.3">
      <c r="B112" s="12" t="s">
        <v>17</v>
      </c>
      <c r="C112" s="12">
        <v>7</v>
      </c>
      <c r="D112" s="138">
        <v>46085</v>
      </c>
      <c r="E112" s="12" t="s">
        <v>511</v>
      </c>
      <c r="F112" s="11" t="str">
        <f>IF(Rendiciones[[#This Row],[Fecha ]]&lt;&gt;"",TEXT(Rendiciones[[#This Row],[Fecha ]],"MMMM"),"")</f>
        <v>marzo</v>
      </c>
      <c r="G112" s="11" t="s">
        <v>427</v>
      </c>
      <c r="H112" s="12" t="s">
        <v>9</v>
      </c>
      <c r="I112" s="12" t="s">
        <v>505</v>
      </c>
      <c r="K112" s="1" t="s">
        <v>81</v>
      </c>
      <c r="L112" s="20">
        <v>142849</v>
      </c>
      <c r="M112" s="20"/>
      <c r="N112" s="20">
        <f>Rendiciones[[#This Row],[Monto Neto ]]*19%</f>
        <v>27141.31</v>
      </c>
      <c r="O112" s="6">
        <f>+Rendiciones[[#This Row],[Monto Neto ]]+Rendiciones[[#This Row],[Monto Exento ]]+Rendiciones[[#This Row],[Iva]]</f>
        <v>169990.31</v>
      </c>
      <c r="P112" t="s">
        <v>89</v>
      </c>
      <c r="Q112" s="138">
        <v>46091</v>
      </c>
      <c r="R112" s="20">
        <v>169990</v>
      </c>
      <c r="S112" s="20">
        <f>Rendiciones[[#This Row],[Total ]]-Rendiciones[[#This Row],[Monto ]]</f>
        <v>0.30999999999767169</v>
      </c>
      <c r="U112" s="72"/>
    </row>
    <row r="113" spans="2:21" x14ac:dyDescent="0.3">
      <c r="B113" s="12" t="s">
        <v>17</v>
      </c>
      <c r="C113" s="12">
        <v>8</v>
      </c>
      <c r="D113" s="138">
        <v>46086</v>
      </c>
      <c r="E113" s="12" t="s">
        <v>511</v>
      </c>
      <c r="F113" s="11" t="str">
        <f>IF(Rendiciones[[#This Row],[Fecha ]]&lt;&gt;"",TEXT(Rendiciones[[#This Row],[Fecha ]],"MMMM"),"")</f>
        <v>marzo</v>
      </c>
      <c r="G113" s="11" t="s">
        <v>427</v>
      </c>
      <c r="H113" s="12" t="s">
        <v>9</v>
      </c>
      <c r="I113" s="12" t="s">
        <v>62</v>
      </c>
      <c r="K113" s="1" t="s">
        <v>518</v>
      </c>
      <c r="L113" s="20"/>
      <c r="M113" s="20">
        <v>159990</v>
      </c>
      <c r="N113" s="20">
        <f>Rendiciones[[#This Row],[Monto Neto ]]*19%</f>
        <v>0</v>
      </c>
      <c r="O113" s="6">
        <f>+Rendiciones[[#This Row],[Monto Neto ]]+Rendiciones[[#This Row],[Monto Exento ]]+Rendiciones[[#This Row],[Iva]]</f>
        <v>159990</v>
      </c>
      <c r="P113" t="s">
        <v>89</v>
      </c>
      <c r="Q113" s="138">
        <v>46092</v>
      </c>
      <c r="R113" s="20">
        <v>159990</v>
      </c>
      <c r="S113" s="20">
        <f>Rendiciones[[#This Row],[Total ]]-Rendiciones[[#This Row],[Monto ]]</f>
        <v>0</v>
      </c>
      <c r="U113" s="72"/>
    </row>
    <row r="114" spans="2:21" x14ac:dyDescent="0.3">
      <c r="B114" s="12" t="s">
        <v>17</v>
      </c>
      <c r="C114" s="12">
        <v>9</v>
      </c>
      <c r="D114" s="138">
        <v>46085</v>
      </c>
      <c r="E114" s="12" t="s">
        <v>511</v>
      </c>
      <c r="F114" s="11" t="str">
        <f>IF(Rendiciones[[#This Row],[Fecha ]]&lt;&gt;"",TEXT(Rendiciones[[#This Row],[Fecha ]],"MMMM"),"")</f>
        <v>marzo</v>
      </c>
      <c r="G114" s="11" t="s">
        <v>427</v>
      </c>
      <c r="H114" s="12" t="s">
        <v>102</v>
      </c>
      <c r="I114" s="12" t="s">
        <v>98</v>
      </c>
      <c r="K114" s="1" t="s">
        <v>81</v>
      </c>
      <c r="L114" s="20"/>
      <c r="M114" s="20">
        <f>68009*4</f>
        <v>272036</v>
      </c>
      <c r="N114" s="20">
        <f>Rendiciones[[#This Row],[Monto Neto ]]*19%</f>
        <v>0</v>
      </c>
      <c r="O114" s="6">
        <f>+Rendiciones[[#This Row],[Monto Neto ]]+Rendiciones[[#This Row],[Monto Exento ]]+Rendiciones[[#This Row],[Iva]]</f>
        <v>272036</v>
      </c>
      <c r="P114" t="s">
        <v>89</v>
      </c>
      <c r="Q114" s="138">
        <v>46092</v>
      </c>
      <c r="R114" s="20">
        <v>272036</v>
      </c>
      <c r="S114" s="20">
        <f>Rendiciones[[#This Row],[Total ]]-Rendiciones[[#This Row],[Monto ]]</f>
        <v>0</v>
      </c>
      <c r="U114" s="72"/>
    </row>
    <row r="115" spans="2:21" x14ac:dyDescent="0.3">
      <c r="B115" s="12" t="s">
        <v>16</v>
      </c>
      <c r="C115" s="12">
        <v>2</v>
      </c>
      <c r="D115" s="138">
        <v>46076</v>
      </c>
      <c r="E115" s="12" t="s">
        <v>517</v>
      </c>
      <c r="F115" s="11" t="str">
        <f>IF(Rendiciones[[#This Row],[Fecha ]]&lt;&gt;"",TEXT(Rendiciones[[#This Row],[Fecha ]],"MMMM"),"")</f>
        <v>febrero</v>
      </c>
      <c r="G115" s="11" t="s">
        <v>427</v>
      </c>
      <c r="H115" s="12" t="s">
        <v>5</v>
      </c>
      <c r="I115" s="12" t="s">
        <v>26</v>
      </c>
      <c r="L115" s="20"/>
      <c r="M115" s="20">
        <v>21358</v>
      </c>
      <c r="N115" s="20">
        <f>Rendiciones[[#This Row],[Monto Neto ]]*19%</f>
        <v>0</v>
      </c>
      <c r="O115" s="6">
        <f>+Rendiciones[[#This Row],[Monto Neto ]]+Rendiciones[[#This Row],[Monto Exento ]]+Rendiciones[[#This Row],[Iva]]</f>
        <v>21358</v>
      </c>
      <c r="P115" t="s">
        <v>89</v>
      </c>
      <c r="Q115" s="138">
        <v>46083</v>
      </c>
      <c r="R115" s="20">
        <v>21358</v>
      </c>
      <c r="S115" s="20">
        <f>Rendiciones[[#This Row],[Total ]]-Rendiciones[[#This Row],[Monto ]]</f>
        <v>0</v>
      </c>
      <c r="U115" s="72"/>
    </row>
    <row r="116" spans="2:21" x14ac:dyDescent="0.3">
      <c r="B116" s="12" t="s">
        <v>16</v>
      </c>
      <c r="C116" s="12">
        <v>3</v>
      </c>
      <c r="D116" s="138">
        <v>46084</v>
      </c>
      <c r="E116" s="12" t="s">
        <v>511</v>
      </c>
      <c r="F116" s="11" t="str">
        <f>IF(Rendiciones[[#This Row],[Fecha ]]&lt;&gt;"",TEXT(Rendiciones[[#This Row],[Fecha ]],"MMMM"),"")</f>
        <v>marzo</v>
      </c>
      <c r="G116" s="11" t="s">
        <v>427</v>
      </c>
      <c r="H116" s="12" t="s">
        <v>5</v>
      </c>
      <c r="I116" s="12" t="s">
        <v>26</v>
      </c>
      <c r="L116" s="20"/>
      <c r="M116" s="20">
        <v>34639</v>
      </c>
      <c r="N116" s="20">
        <f>Rendiciones[[#This Row],[Monto Neto ]]*19%</f>
        <v>0</v>
      </c>
      <c r="O116" s="6">
        <f>+Rendiciones[[#This Row],[Monto Neto ]]+Rendiciones[[#This Row],[Monto Exento ]]+Rendiciones[[#This Row],[Iva]]</f>
        <v>34639</v>
      </c>
      <c r="P116" t="s">
        <v>89</v>
      </c>
      <c r="Q116" s="138">
        <v>46092</v>
      </c>
      <c r="R116" s="20">
        <v>34639.1</v>
      </c>
      <c r="S116" s="20">
        <f>Rendiciones[[#This Row],[Total ]]-Rendiciones[[#This Row],[Monto ]]</f>
        <v>-9.9999999998544808E-2</v>
      </c>
      <c r="U116" s="72"/>
    </row>
    <row r="117" spans="2:21" x14ac:dyDescent="0.3">
      <c r="B117" s="12" t="s">
        <v>20</v>
      </c>
      <c r="C117" s="12">
        <v>4</v>
      </c>
      <c r="D117" s="138">
        <v>46093</v>
      </c>
      <c r="E117" s="12" t="s">
        <v>514</v>
      </c>
      <c r="F117" s="11" t="str">
        <f>IF(Rendiciones[[#This Row],[Fecha ]]&lt;&gt;"",TEXT(Rendiciones[[#This Row],[Fecha ]],"MMMM"),"")</f>
        <v>marzo</v>
      </c>
      <c r="G117" s="11" t="s">
        <v>428</v>
      </c>
      <c r="H117" s="12" t="s">
        <v>9</v>
      </c>
      <c r="I117" s="12" t="s">
        <v>25</v>
      </c>
      <c r="K117" s="1" t="s">
        <v>512</v>
      </c>
      <c r="L117" s="20"/>
      <c r="M117" s="20">
        <v>50000</v>
      </c>
      <c r="N117" s="20">
        <f>Rendiciones[[#This Row],[Monto Neto ]]*19%</f>
        <v>0</v>
      </c>
      <c r="O117" s="6">
        <f>+Rendiciones[[#This Row],[Monto Neto ]]+Rendiciones[[#This Row],[Monto Exento ]]+Rendiciones[[#This Row],[Iva]]</f>
        <v>50000</v>
      </c>
      <c r="P117" t="s">
        <v>89</v>
      </c>
      <c r="Q117" s="138">
        <v>46097</v>
      </c>
      <c r="R117" s="20">
        <v>50000</v>
      </c>
      <c r="S117" s="20">
        <f>Rendiciones[[#This Row],[Total ]]-Rendiciones[[#This Row],[Monto ]]</f>
        <v>0</v>
      </c>
      <c r="U117" s="72"/>
    </row>
    <row r="118" spans="2:21" x14ac:dyDescent="0.3">
      <c r="B118" s="12" t="s">
        <v>445</v>
      </c>
      <c r="C118" s="12">
        <v>6</v>
      </c>
      <c r="D118" s="138">
        <v>46093</v>
      </c>
      <c r="E118" s="12" t="s">
        <v>514</v>
      </c>
      <c r="F118" s="11" t="str">
        <f>IF(Rendiciones[[#This Row],[Fecha ]]&lt;&gt;"",TEXT(Rendiciones[[#This Row],[Fecha ]],"MMMM"),"")</f>
        <v>marzo</v>
      </c>
      <c r="G118" s="11" t="s">
        <v>428</v>
      </c>
      <c r="H118" s="12" t="s">
        <v>6</v>
      </c>
      <c r="I118" s="12" t="s">
        <v>28</v>
      </c>
      <c r="K118" s="1" t="s">
        <v>81</v>
      </c>
      <c r="L118" s="20">
        <v>33798</v>
      </c>
      <c r="M118" s="20">
        <f>4910+164</f>
        <v>5074</v>
      </c>
      <c r="N118" s="20">
        <f>Rendiciones[[#This Row],[Monto Neto ]]*19%</f>
        <v>6421.62</v>
      </c>
      <c r="O118" s="6">
        <f>+Rendiciones[[#This Row],[Monto Neto ]]+Rendiciones[[#This Row],[Monto Exento ]]+Rendiciones[[#This Row],[Iva]]</f>
        <v>45293.62</v>
      </c>
      <c r="Q118" s="138"/>
      <c r="R118" s="20"/>
      <c r="S118" s="20">
        <f>Rendiciones[[#This Row],[Total ]]-Rendiciones[[#This Row],[Monto ]]</f>
        <v>45293.62</v>
      </c>
      <c r="U118" s="72"/>
    </row>
    <row r="119" spans="2:21" x14ac:dyDescent="0.3">
      <c r="B119" s="12" t="s">
        <v>445</v>
      </c>
      <c r="C119" s="12">
        <v>6</v>
      </c>
      <c r="D119" s="138">
        <v>46093</v>
      </c>
      <c r="E119" s="12" t="s">
        <v>514</v>
      </c>
      <c r="F119" s="11" t="str">
        <f>IF(Rendiciones[[#This Row],[Fecha ]]&lt;&gt;"",TEXT(Rendiciones[[#This Row],[Fecha ]],"MMMM"),"")</f>
        <v>marzo</v>
      </c>
      <c r="G119" s="11" t="s">
        <v>428</v>
      </c>
      <c r="H119" s="12" t="s">
        <v>6</v>
      </c>
      <c r="I119" s="12" t="s">
        <v>28</v>
      </c>
      <c r="K119" s="1" t="s">
        <v>81</v>
      </c>
      <c r="L119" s="20">
        <v>38268</v>
      </c>
      <c r="M119" s="20">
        <v>-5539</v>
      </c>
      <c r="N119" s="20">
        <f>Rendiciones[[#This Row],[Monto Neto ]]*19%</f>
        <v>7270.92</v>
      </c>
      <c r="O119" s="6">
        <f>+Rendiciones[[#This Row],[Monto Neto ]]+Rendiciones[[#This Row],[Monto Exento ]]+Rendiciones[[#This Row],[Iva]]</f>
        <v>39999.919999999998</v>
      </c>
      <c r="Q119" s="138"/>
      <c r="R119" s="20"/>
      <c r="S119" s="20">
        <f>Rendiciones[[#This Row],[Total ]]-Rendiciones[[#This Row],[Monto ]]</f>
        <v>39999.919999999998</v>
      </c>
      <c r="U119" s="72"/>
    </row>
    <row r="120" spans="2:21" x14ac:dyDescent="0.3">
      <c r="B120" s="12" t="s">
        <v>445</v>
      </c>
      <c r="C120" s="12">
        <v>6</v>
      </c>
      <c r="D120" s="138">
        <v>46093</v>
      </c>
      <c r="E120" s="12" t="s">
        <v>514</v>
      </c>
      <c r="F120" s="11" t="str">
        <f>IF(Rendiciones[[#This Row],[Fecha ]]&lt;&gt;"",TEXT(Rendiciones[[#This Row],[Fecha ]],"MMMM"),"")</f>
        <v>marzo</v>
      </c>
      <c r="G120" s="11" t="s">
        <v>428</v>
      </c>
      <c r="H120" s="12" t="s">
        <v>6</v>
      </c>
      <c r="I120" s="12" t="s">
        <v>39</v>
      </c>
      <c r="L120" s="20"/>
      <c r="M120" s="20">
        <v>1440</v>
      </c>
      <c r="N120" s="20">
        <f>Rendiciones[[#This Row],[Monto Neto ]]*19%</f>
        <v>0</v>
      </c>
      <c r="O120" s="6">
        <f>+Rendiciones[[#This Row],[Monto Neto ]]+Rendiciones[[#This Row],[Monto Exento ]]+Rendiciones[[#This Row],[Iva]]</f>
        <v>1440</v>
      </c>
      <c r="P120" t="s">
        <v>89</v>
      </c>
      <c r="Q120" s="138">
        <v>46097</v>
      </c>
      <c r="R120" s="20">
        <v>86734</v>
      </c>
      <c r="S120" s="20">
        <f>Rendiciones[[#This Row],[Total ]]-Rendiciones[[#This Row],[Monto ]]</f>
        <v>-85294</v>
      </c>
      <c r="U120" s="72"/>
    </row>
    <row r="121" spans="2:21" x14ac:dyDescent="0.3">
      <c r="B121" s="12" t="s">
        <v>17</v>
      </c>
      <c r="C121" s="12">
        <v>10</v>
      </c>
      <c r="D121" s="138">
        <v>46099</v>
      </c>
      <c r="E121" s="12" t="s">
        <v>515</v>
      </c>
      <c r="F121" s="11" t="str">
        <f>IF(Rendiciones[[#This Row],[Fecha ]]&lt;&gt;"",TEXT(Rendiciones[[#This Row],[Fecha ]],"MMMM"),"")</f>
        <v>marzo</v>
      </c>
      <c r="G121" s="11" t="s">
        <v>427</v>
      </c>
      <c r="H121" s="12" t="s">
        <v>102</v>
      </c>
      <c r="I121" s="12" t="s">
        <v>98</v>
      </c>
      <c r="K121" s="1" t="s">
        <v>81</v>
      </c>
      <c r="L121" s="20"/>
      <c r="M121" s="20">
        <v>70389</v>
      </c>
      <c r="N121" s="20">
        <f>Rendiciones[[#This Row],[Monto Neto ]]*19%</f>
        <v>0</v>
      </c>
      <c r="O121" s="6">
        <f>+Rendiciones[[#This Row],[Monto Neto ]]+Rendiciones[[#This Row],[Monto Exento ]]+Rendiciones[[#This Row],[Iva]]</f>
        <v>70389</v>
      </c>
      <c r="Q121" s="138"/>
      <c r="R121" s="20"/>
      <c r="S121" s="20">
        <f>Rendiciones[[#This Row],[Total ]]-Rendiciones[[#This Row],[Monto ]]</f>
        <v>70389</v>
      </c>
      <c r="U121" s="72"/>
    </row>
    <row r="122" spans="2:21" x14ac:dyDescent="0.3">
      <c r="B122" s="12" t="s">
        <v>17</v>
      </c>
      <c r="C122" s="12">
        <v>10</v>
      </c>
      <c r="D122" s="138">
        <v>46099</v>
      </c>
      <c r="E122" s="12" t="s">
        <v>515</v>
      </c>
      <c r="F122" s="11" t="str">
        <f>IF(Rendiciones[[#This Row],[Fecha ]]&lt;&gt;"",TEXT(Rendiciones[[#This Row],[Fecha ]],"MMMM"),"")</f>
        <v>marzo</v>
      </c>
      <c r="G122" s="11" t="s">
        <v>427</v>
      </c>
      <c r="H122" s="12" t="s">
        <v>102</v>
      </c>
      <c r="I122" s="12" t="s">
        <v>98</v>
      </c>
      <c r="K122" s="1" t="s">
        <v>81</v>
      </c>
      <c r="L122" s="20"/>
      <c r="M122" s="20">
        <v>4764</v>
      </c>
      <c r="N122" s="20">
        <f>Rendiciones[[#This Row],[Monto Neto ]]*19%</f>
        <v>0</v>
      </c>
      <c r="O122" s="6">
        <f>+Rendiciones[[#This Row],[Monto Neto ]]+Rendiciones[[#This Row],[Monto Exento ]]+Rendiciones[[#This Row],[Iva]]</f>
        <v>4764</v>
      </c>
      <c r="P122" t="s">
        <v>89</v>
      </c>
      <c r="Q122" s="138">
        <v>46100</v>
      </c>
      <c r="R122" s="20">
        <v>75153</v>
      </c>
      <c r="S122" s="20">
        <f>Rendiciones[[#This Row],[Total ]]-Rendiciones[[#This Row],[Monto ]]</f>
        <v>-70389</v>
      </c>
      <c r="U122" s="72"/>
    </row>
    <row r="123" spans="2:21" x14ac:dyDescent="0.3">
      <c r="B123" s="12" t="s">
        <v>519</v>
      </c>
      <c r="C123" s="12">
        <v>1</v>
      </c>
      <c r="D123" s="138">
        <v>46076</v>
      </c>
      <c r="E123" s="12" t="s">
        <v>517</v>
      </c>
      <c r="F123" s="11" t="str">
        <f>IF(Rendiciones[[#This Row],[Fecha ]]&lt;&gt;"",TEXT(Rendiciones[[#This Row],[Fecha ]],"MMMM"),"")</f>
        <v>febrero</v>
      </c>
      <c r="G123" s="11" t="s">
        <v>428</v>
      </c>
      <c r="H123" s="12" t="s">
        <v>6</v>
      </c>
      <c r="I123" s="12" t="s">
        <v>31</v>
      </c>
      <c r="L123" s="20"/>
      <c r="M123" s="20">
        <f>41649+4596</f>
        <v>46245</v>
      </c>
      <c r="N123" s="20">
        <f>Rendiciones[[#This Row],[Monto Neto ]]*19%</f>
        <v>0</v>
      </c>
      <c r="O123" s="6">
        <f>+Rendiciones[[#This Row],[Monto Neto ]]+Rendiciones[[#This Row],[Monto Exento ]]+Rendiciones[[#This Row],[Iva]]</f>
        <v>46245</v>
      </c>
      <c r="Q123" s="138"/>
      <c r="R123" s="20"/>
      <c r="S123" s="20">
        <f>Rendiciones[[#This Row],[Total ]]-Rendiciones[[#This Row],[Monto ]]</f>
        <v>46245</v>
      </c>
      <c r="U123" s="72"/>
    </row>
    <row r="124" spans="2:21" x14ac:dyDescent="0.3">
      <c r="B124" s="12" t="s">
        <v>519</v>
      </c>
      <c r="C124" s="12">
        <v>1</v>
      </c>
      <c r="D124" s="138">
        <v>46076</v>
      </c>
      <c r="E124" s="12" t="s">
        <v>517</v>
      </c>
      <c r="F124" s="11" t="str">
        <f>IF(Rendiciones[[#This Row],[Fecha ]]&lt;&gt;"",TEXT(Rendiciones[[#This Row],[Fecha ]],"MMMM"),"")</f>
        <v>febrero</v>
      </c>
      <c r="G124" s="11" t="s">
        <v>428</v>
      </c>
      <c r="H124" s="12" t="s">
        <v>6</v>
      </c>
      <c r="I124" s="12" t="s">
        <v>28</v>
      </c>
      <c r="K124" s="1" t="s">
        <v>81</v>
      </c>
      <c r="L124" s="20">
        <v>13742</v>
      </c>
      <c r="M124" s="20">
        <f>2088+299</f>
        <v>2387</v>
      </c>
      <c r="N124" s="20">
        <f>Rendiciones[[#This Row],[Monto Neto ]]*19%</f>
        <v>2610.98</v>
      </c>
      <c r="O124" s="6">
        <f>+Rendiciones[[#This Row],[Monto Neto ]]+Rendiciones[[#This Row],[Monto Exento ]]+Rendiciones[[#This Row],[Iva]]</f>
        <v>18739.98</v>
      </c>
      <c r="Q124" s="138"/>
      <c r="R124" s="20"/>
      <c r="S124" s="20">
        <f>Rendiciones[[#This Row],[Total ]]-Rendiciones[[#This Row],[Monto ]]</f>
        <v>18739.98</v>
      </c>
      <c r="U124" s="72"/>
    </row>
    <row r="125" spans="2:21" x14ac:dyDescent="0.3">
      <c r="B125" s="12" t="s">
        <v>519</v>
      </c>
      <c r="C125" s="12">
        <v>1</v>
      </c>
      <c r="D125" s="138">
        <v>46076</v>
      </c>
      <c r="E125" s="12" t="s">
        <v>517</v>
      </c>
      <c r="F125" s="11" t="str">
        <f>IF(Rendiciones[[#This Row],[Fecha ]]&lt;&gt;"",TEXT(Rendiciones[[#This Row],[Fecha ]],"MMMM"),"")</f>
        <v>febrero</v>
      </c>
      <c r="G125" s="11" t="s">
        <v>428</v>
      </c>
      <c r="H125" s="12" t="s">
        <v>6</v>
      </c>
      <c r="I125" s="12" t="s">
        <v>429</v>
      </c>
      <c r="L125" s="20"/>
      <c r="M125" s="20">
        <f>13490</f>
        <v>13490</v>
      </c>
      <c r="N125" s="20">
        <f>Rendiciones[[#This Row],[Monto Neto ]]*19%</f>
        <v>0</v>
      </c>
      <c r="O125" s="6">
        <f>+Rendiciones[[#This Row],[Monto Neto ]]+Rendiciones[[#This Row],[Monto Exento ]]+Rendiciones[[#This Row],[Iva]]</f>
        <v>13490</v>
      </c>
      <c r="Q125" s="138"/>
      <c r="R125" s="20"/>
      <c r="S125" s="20">
        <f>Rendiciones[[#This Row],[Total ]]-Rendiciones[[#This Row],[Monto ]]</f>
        <v>13490</v>
      </c>
      <c r="U125" s="72"/>
    </row>
    <row r="126" spans="2:21" x14ac:dyDescent="0.3">
      <c r="B126" s="12" t="s">
        <v>519</v>
      </c>
      <c r="C126" s="12">
        <v>1</v>
      </c>
      <c r="D126" s="138">
        <v>46087</v>
      </c>
      <c r="E126" s="12" t="s">
        <v>511</v>
      </c>
      <c r="F126" s="11" t="str">
        <f>IF(Rendiciones[[#This Row],[Fecha ]]&lt;&gt;"",TEXT(Rendiciones[[#This Row],[Fecha ]],"MMMM"),"")</f>
        <v>marzo</v>
      </c>
      <c r="G126" s="11" t="s">
        <v>428</v>
      </c>
      <c r="H126" s="12" t="s">
        <v>6</v>
      </c>
      <c r="I126" s="12" t="s">
        <v>429</v>
      </c>
      <c r="L126" s="20"/>
      <c r="M126" s="20">
        <v>9570</v>
      </c>
      <c r="N126" s="20">
        <f>Rendiciones[[#This Row],[Monto Neto ]]*19%</f>
        <v>0</v>
      </c>
      <c r="O126" s="6">
        <f>+Rendiciones[[#This Row],[Monto Neto ]]+Rendiciones[[#This Row],[Monto Exento ]]+Rendiciones[[#This Row],[Iva]]</f>
        <v>9570</v>
      </c>
      <c r="Q126" s="138"/>
      <c r="R126" s="20"/>
      <c r="S126" s="20">
        <f>Rendiciones[[#This Row],[Total ]]-Rendiciones[[#This Row],[Monto ]]</f>
        <v>9570</v>
      </c>
      <c r="U126" s="72"/>
    </row>
    <row r="127" spans="2:21" x14ac:dyDescent="0.3">
      <c r="B127" s="12" t="s">
        <v>519</v>
      </c>
      <c r="C127" s="12">
        <v>1</v>
      </c>
      <c r="D127" s="138">
        <v>46076</v>
      </c>
      <c r="E127" s="12" t="s">
        <v>517</v>
      </c>
      <c r="F127" s="11" t="str">
        <f>IF(Rendiciones[[#This Row],[Fecha ]]&lt;&gt;"",TEXT(Rendiciones[[#This Row],[Fecha ]],"MMMM"),"")</f>
        <v>febrero</v>
      </c>
      <c r="G127" s="11" t="s">
        <v>428</v>
      </c>
      <c r="H127" s="12" t="s">
        <v>6</v>
      </c>
      <c r="I127" s="12" t="s">
        <v>39</v>
      </c>
      <c r="L127" s="20"/>
      <c r="M127" s="20">
        <f>10470+3930</f>
        <v>14400</v>
      </c>
      <c r="N127" s="20">
        <f>Rendiciones[[#This Row],[Monto Neto ]]*19%</f>
        <v>0</v>
      </c>
      <c r="O127" s="6">
        <f>+Rendiciones[[#This Row],[Monto Neto ]]+Rendiciones[[#This Row],[Monto Exento ]]+Rendiciones[[#This Row],[Iva]]</f>
        <v>14400</v>
      </c>
      <c r="Q127" s="138"/>
      <c r="R127" s="20"/>
      <c r="S127" s="20">
        <f>Rendiciones[[#This Row],[Total ]]-Rendiciones[[#This Row],[Monto ]]</f>
        <v>14400</v>
      </c>
      <c r="U127" s="72"/>
    </row>
    <row r="128" spans="2:21" x14ac:dyDescent="0.3">
      <c r="B128" s="12" t="s">
        <v>519</v>
      </c>
      <c r="C128" s="12">
        <v>1</v>
      </c>
      <c r="D128" s="138">
        <v>46092</v>
      </c>
      <c r="E128" s="12" t="s">
        <v>514</v>
      </c>
      <c r="F128" s="11" t="str">
        <f>IF(Rendiciones[[#This Row],[Fecha ]]&lt;&gt;"",TEXT(Rendiciones[[#This Row],[Fecha ]],"MMMM"),"")</f>
        <v>marzo</v>
      </c>
      <c r="G128" s="11" t="s">
        <v>428</v>
      </c>
      <c r="H128" s="12" t="s">
        <v>6</v>
      </c>
      <c r="I128" s="12" t="s">
        <v>39</v>
      </c>
      <c r="L128" s="20"/>
      <c r="M128" s="20">
        <f>1610+1159+950+2353+3210</f>
        <v>9282</v>
      </c>
      <c r="N128" s="20">
        <f>Rendiciones[[#This Row],[Monto Neto ]]*19%</f>
        <v>0</v>
      </c>
      <c r="O128" s="6">
        <f>+Rendiciones[[#This Row],[Monto Neto ]]+Rendiciones[[#This Row],[Monto Exento ]]+Rendiciones[[#This Row],[Iva]]</f>
        <v>9282</v>
      </c>
      <c r="Q128" s="138"/>
      <c r="R128" s="20"/>
      <c r="S128" s="20">
        <f>Rendiciones[[#This Row],[Total ]]-Rendiciones[[#This Row],[Monto ]]</f>
        <v>9282</v>
      </c>
      <c r="U128" s="72"/>
    </row>
    <row r="129" spans="2:21" x14ac:dyDescent="0.3">
      <c r="B129" s="12" t="s">
        <v>519</v>
      </c>
      <c r="C129" s="12">
        <v>1</v>
      </c>
      <c r="D129" s="138">
        <v>46076</v>
      </c>
      <c r="E129" s="12" t="s">
        <v>517</v>
      </c>
      <c r="F129" s="11" t="str">
        <f>IF(Rendiciones[[#This Row],[Fecha ]]&lt;&gt;"",TEXT(Rendiciones[[#This Row],[Fecha ]],"MMMM"),"")</f>
        <v>febrero</v>
      </c>
      <c r="G129" s="11" t="s">
        <v>428</v>
      </c>
      <c r="H129" s="12" t="s">
        <v>6</v>
      </c>
      <c r="I129" s="12" t="s">
        <v>28</v>
      </c>
      <c r="K129" s="1" t="s">
        <v>81</v>
      </c>
      <c r="L129" s="20">
        <v>28143</v>
      </c>
      <c r="M129" s="20">
        <v>4390</v>
      </c>
      <c r="N129" s="20">
        <f>Rendiciones[[#This Row],[Monto Neto ]]*19%</f>
        <v>5347.17</v>
      </c>
      <c r="O129" s="6">
        <f>+Rendiciones[[#This Row],[Monto Neto ]]+Rendiciones[[#This Row],[Monto Exento ]]+Rendiciones[[#This Row],[Iva]]</f>
        <v>37880.17</v>
      </c>
      <c r="Q129" s="138"/>
      <c r="R129" s="20"/>
      <c r="S129" s="20">
        <f>Rendiciones[[#This Row],[Total ]]-Rendiciones[[#This Row],[Monto ]]</f>
        <v>37880.17</v>
      </c>
      <c r="U129" s="72"/>
    </row>
    <row r="130" spans="2:21" x14ac:dyDescent="0.3">
      <c r="B130" s="12" t="s">
        <v>519</v>
      </c>
      <c r="C130" s="12">
        <v>1</v>
      </c>
      <c r="D130" s="138">
        <v>46086</v>
      </c>
      <c r="E130" s="12" t="s">
        <v>511</v>
      </c>
      <c r="F130" s="11" t="str">
        <f>IF(Rendiciones[[#This Row],[Fecha ]]&lt;&gt;"",TEXT(Rendiciones[[#This Row],[Fecha ]],"MMMM"),"")</f>
        <v>marzo</v>
      </c>
      <c r="G130" s="11" t="s">
        <v>428</v>
      </c>
      <c r="H130" s="12" t="s">
        <v>6</v>
      </c>
      <c r="I130" s="12" t="s">
        <v>28</v>
      </c>
      <c r="K130" s="1" t="s">
        <v>81</v>
      </c>
      <c r="L130" s="20">
        <v>32759</v>
      </c>
      <c r="M130" s="20">
        <v>4403</v>
      </c>
      <c r="N130" s="20">
        <f>Rendiciones[[#This Row],[Monto Neto ]]*19%</f>
        <v>6224.21</v>
      </c>
      <c r="O130" s="6">
        <f>+Rendiciones[[#This Row],[Monto Neto ]]+Rendiciones[[#This Row],[Monto Exento ]]+Rendiciones[[#This Row],[Iva]]</f>
        <v>43386.21</v>
      </c>
      <c r="Q130" s="138"/>
      <c r="R130" s="20"/>
      <c r="S130" s="20">
        <f>Rendiciones[[#This Row],[Total ]]-Rendiciones[[#This Row],[Monto ]]</f>
        <v>43386.21</v>
      </c>
      <c r="U130" s="72"/>
    </row>
    <row r="131" spans="2:21" x14ac:dyDescent="0.3">
      <c r="B131" s="12" t="s">
        <v>519</v>
      </c>
      <c r="C131" s="12">
        <v>1</v>
      </c>
      <c r="D131" s="138">
        <v>46094</v>
      </c>
      <c r="E131" s="12" t="s">
        <v>517</v>
      </c>
      <c r="F131" s="11" t="str">
        <f>IF(Rendiciones[[#This Row],[Fecha ]]&lt;&gt;"",TEXT(Rendiciones[[#This Row],[Fecha ]],"MMMM"),"")</f>
        <v>marzo</v>
      </c>
      <c r="G131" s="11" t="s">
        <v>428</v>
      </c>
      <c r="H131" s="12" t="s">
        <v>6</v>
      </c>
      <c r="I131" s="12" t="s">
        <v>28</v>
      </c>
      <c r="K131" s="1" t="s">
        <v>81</v>
      </c>
      <c r="L131" s="20">
        <v>38717</v>
      </c>
      <c r="M131" s="20">
        <v>-5730.4</v>
      </c>
      <c r="N131" s="20">
        <f>Rendiciones[[#This Row],[Monto Neto ]]*19%</f>
        <v>7356.2300000000005</v>
      </c>
      <c r="O131" s="6">
        <f>+Rendiciones[[#This Row],[Monto Neto ]]+Rendiciones[[#This Row],[Monto Exento ]]+Rendiciones[[#This Row],[Iva]]</f>
        <v>40342.83</v>
      </c>
      <c r="P131" t="s">
        <v>89</v>
      </c>
      <c r="Q131" s="138">
        <v>46104</v>
      </c>
      <c r="R131" s="20">
        <v>235336.19</v>
      </c>
      <c r="S131" s="20">
        <f>Rendiciones[[#This Row],[Total ]]-Rendiciones[[#This Row],[Monto ]]</f>
        <v>-194993.36</v>
      </c>
      <c r="U131" s="72"/>
    </row>
    <row r="132" spans="2:21" x14ac:dyDescent="0.3">
      <c r="B132" s="12" t="s">
        <v>17</v>
      </c>
      <c r="C132" s="12">
        <v>11</v>
      </c>
      <c r="D132" s="138">
        <v>46104</v>
      </c>
      <c r="E132" s="12" t="s">
        <v>517</v>
      </c>
      <c r="F132" s="11" t="str">
        <f>IF(Rendiciones[[#This Row],[Fecha ]]&lt;&gt;"",TEXT(Rendiciones[[#This Row],[Fecha ]],"MMMM"),"")</f>
        <v>marzo</v>
      </c>
      <c r="G132" s="11" t="s">
        <v>428</v>
      </c>
      <c r="H132" s="12" t="s">
        <v>102</v>
      </c>
      <c r="I132" s="12" t="s">
        <v>98</v>
      </c>
      <c r="K132" s="1" t="s">
        <v>81</v>
      </c>
      <c r="L132" s="20"/>
      <c r="M132" s="20">
        <v>70389</v>
      </c>
      <c r="N132" s="20">
        <f>Rendiciones[[#This Row],[Monto Neto ]]*19%</f>
        <v>0</v>
      </c>
      <c r="O132" s="6">
        <f>+Rendiciones[[#This Row],[Monto Neto ]]+Rendiciones[[#This Row],[Monto Exento ]]+Rendiciones[[#This Row],[Iva]]</f>
        <v>70389</v>
      </c>
      <c r="Q132" s="138"/>
      <c r="R132" s="20"/>
      <c r="S132" s="20">
        <f>Rendiciones[[#This Row],[Total ]]-Rendiciones[[#This Row],[Monto ]]</f>
        <v>70389</v>
      </c>
      <c r="U132" s="72"/>
    </row>
    <row r="133" spans="2:21" x14ac:dyDescent="0.3">
      <c r="B133" s="12" t="s">
        <v>17</v>
      </c>
      <c r="C133" s="12">
        <v>12</v>
      </c>
      <c r="D133" s="138">
        <v>46107</v>
      </c>
      <c r="E133" s="12" t="s">
        <v>517</v>
      </c>
      <c r="F133" s="11" t="str">
        <f>IF(Rendiciones[[#This Row],[Fecha ]]&lt;&gt;"",TEXT(Rendiciones[[#This Row],[Fecha ]],"MMMM"),"")</f>
        <v>marzo</v>
      </c>
      <c r="G133" s="11" t="s">
        <v>428</v>
      </c>
      <c r="H133" s="12" t="s">
        <v>102</v>
      </c>
      <c r="I133" s="12" t="s">
        <v>98</v>
      </c>
      <c r="K133" s="1" t="s">
        <v>81</v>
      </c>
      <c r="L133" s="20"/>
      <c r="M133" s="20">
        <v>70389</v>
      </c>
      <c r="N133" s="20">
        <f>Rendiciones[[#This Row],[Monto Neto ]]*19%</f>
        <v>0</v>
      </c>
      <c r="O133" s="6">
        <f>+Rendiciones[[#This Row],[Monto Neto ]]+Rendiciones[[#This Row],[Monto Exento ]]+Rendiciones[[#This Row],[Iva]]</f>
        <v>70389</v>
      </c>
      <c r="P133" t="s">
        <v>89</v>
      </c>
      <c r="Q133" s="138">
        <v>46108</v>
      </c>
      <c r="R133" s="20">
        <v>140778.31</v>
      </c>
      <c r="S133" s="20">
        <f>Rendiciones[[#This Row],[Total ]]-Rendiciones[[#This Row],[Monto ]]</f>
        <v>-70389.31</v>
      </c>
      <c r="U133" s="72"/>
    </row>
    <row r="134" spans="2:21" x14ac:dyDescent="0.3">
      <c r="B134" s="12" t="s">
        <v>21</v>
      </c>
      <c r="C134" s="12">
        <v>1</v>
      </c>
      <c r="D134" s="138">
        <v>46104</v>
      </c>
      <c r="E134" s="12" t="s">
        <v>517</v>
      </c>
      <c r="F134" s="11" t="str">
        <f>IF(Rendiciones[[#This Row],[Fecha ]]&lt;&gt;"",TEXT(Rendiciones[[#This Row],[Fecha ]],"MMMM"),"")</f>
        <v>marzo</v>
      </c>
      <c r="G134" s="11" t="s">
        <v>427</v>
      </c>
      <c r="H134" s="12" t="s">
        <v>6</v>
      </c>
      <c r="I134" s="12" t="s">
        <v>59</v>
      </c>
      <c r="L134" s="20"/>
      <c r="M134" s="20">
        <v>9157</v>
      </c>
      <c r="N134" s="20">
        <f>Rendiciones[[#This Row],[Monto Neto ]]*19%</f>
        <v>0</v>
      </c>
      <c r="O134" s="6">
        <f>+Rendiciones[[#This Row],[Monto Neto ]]+Rendiciones[[#This Row],[Monto Exento ]]+Rendiciones[[#This Row],[Iva]]</f>
        <v>9157</v>
      </c>
      <c r="P134" t="s">
        <v>89</v>
      </c>
      <c r="Q134" s="138">
        <v>46108</v>
      </c>
      <c r="R134" s="20">
        <v>9157</v>
      </c>
      <c r="S134" s="20">
        <f>Rendiciones[[#This Row],[Total ]]-Rendiciones[[#This Row],[Monto ]]</f>
        <v>0</v>
      </c>
      <c r="U134" s="72"/>
    </row>
    <row r="135" spans="2:21" x14ac:dyDescent="0.3">
      <c r="B135" s="12" t="s">
        <v>435</v>
      </c>
      <c r="C135" s="12">
        <v>1</v>
      </c>
      <c r="D135" s="138">
        <v>46092</v>
      </c>
      <c r="E135" s="12" t="s">
        <v>514</v>
      </c>
      <c r="F135" s="11" t="str">
        <f>IF(Rendiciones[[#This Row],[Fecha ]]&lt;&gt;"",TEXT(Rendiciones[[#This Row],[Fecha ]],"MMMM"),"")</f>
        <v>marzo</v>
      </c>
      <c r="G135" s="11" t="s">
        <v>428</v>
      </c>
      <c r="H135" s="12" t="s">
        <v>102</v>
      </c>
      <c r="I135" s="12" t="s">
        <v>520</v>
      </c>
      <c r="L135" s="20"/>
      <c r="M135" s="20">
        <v>30393</v>
      </c>
      <c r="N135" s="20">
        <f>Rendiciones[[#This Row],[Monto Neto ]]*19%</f>
        <v>0</v>
      </c>
      <c r="O135" s="6">
        <f>+Rendiciones[[#This Row],[Monto Neto ]]+Rendiciones[[#This Row],[Monto Exento ]]+Rendiciones[[#This Row],[Iva]]</f>
        <v>30393</v>
      </c>
      <c r="P135" t="s">
        <v>89</v>
      </c>
      <c r="Q135" s="138">
        <v>46108</v>
      </c>
      <c r="R135" s="20">
        <v>30393</v>
      </c>
      <c r="S135" s="20">
        <f>Rendiciones[[#This Row],[Total ]]-Rendiciones[[#This Row],[Monto ]]</f>
        <v>0</v>
      </c>
      <c r="U135" s="72"/>
    </row>
    <row r="136" spans="2:21" x14ac:dyDescent="0.3">
      <c r="B136" s="12" t="s">
        <v>519</v>
      </c>
      <c r="C136" s="12">
        <v>2</v>
      </c>
      <c r="D136" s="138">
        <v>46107</v>
      </c>
      <c r="E136" s="12" t="s">
        <v>517</v>
      </c>
      <c r="F136" s="11" t="str">
        <f>IF(Rendiciones[[#This Row],[Fecha ]]&lt;&gt;"",TEXT(Rendiciones[[#This Row],[Fecha ]],"MMMM"),"")</f>
        <v>marzo</v>
      </c>
      <c r="G136" s="11" t="s">
        <v>428</v>
      </c>
      <c r="H136" s="12" t="s">
        <v>6</v>
      </c>
      <c r="I136" s="12" t="s">
        <v>39</v>
      </c>
      <c r="L136" s="20"/>
      <c r="M136" s="20">
        <f>2550+11350+2450+1550+6500+2950+3350+600+4850</f>
        <v>36150</v>
      </c>
      <c r="N136" s="20">
        <f>Rendiciones[[#This Row],[Monto Neto ]]*19%</f>
        <v>0</v>
      </c>
      <c r="O136" s="6">
        <f>+Rendiciones[[#This Row],[Monto Neto ]]+Rendiciones[[#This Row],[Monto Exento ]]+Rendiciones[[#This Row],[Iva]]</f>
        <v>36150</v>
      </c>
      <c r="Q136" s="138"/>
      <c r="R136" s="20"/>
      <c r="S136" s="20">
        <f>Rendiciones[[#This Row],[Total ]]-Rendiciones[[#This Row],[Monto ]]</f>
        <v>36150</v>
      </c>
      <c r="U136" s="72"/>
    </row>
    <row r="137" spans="2:21" x14ac:dyDescent="0.3">
      <c r="B137" s="12" t="s">
        <v>519</v>
      </c>
      <c r="C137" s="12">
        <v>2</v>
      </c>
      <c r="D137" s="138">
        <v>46107</v>
      </c>
      <c r="E137" s="12" t="s">
        <v>517</v>
      </c>
      <c r="F137" s="11" t="str">
        <f>IF(Rendiciones[[#This Row],[Fecha ]]&lt;&gt;"",TEXT(Rendiciones[[#This Row],[Fecha ]],"MMMM"),"")</f>
        <v>marzo</v>
      </c>
      <c r="G137" s="11" t="s">
        <v>428</v>
      </c>
      <c r="H137" s="12" t="s">
        <v>6</v>
      </c>
      <c r="I137" s="12" t="s">
        <v>28</v>
      </c>
      <c r="K137" s="1" t="s">
        <v>81</v>
      </c>
      <c r="L137" s="20">
        <v>44898</v>
      </c>
      <c r="M137" s="20">
        <v>6575</v>
      </c>
      <c r="N137" s="20">
        <f>Rendiciones[[#This Row],[Monto Neto ]]*19%</f>
        <v>8530.6200000000008</v>
      </c>
      <c r="O137" s="6">
        <f>+Rendiciones[[#This Row],[Monto Neto ]]+Rendiciones[[#This Row],[Monto Exento ]]+Rendiciones[[#This Row],[Iva]]</f>
        <v>60003.62</v>
      </c>
      <c r="Q137" s="138"/>
      <c r="R137" s="20"/>
      <c r="S137" s="20">
        <f>Rendiciones[[#This Row],[Total ]]-Rendiciones[[#This Row],[Monto ]]</f>
        <v>60003.62</v>
      </c>
      <c r="U137" s="72"/>
    </row>
    <row r="138" spans="2:21" x14ac:dyDescent="0.3">
      <c r="B138" s="12" t="s">
        <v>519</v>
      </c>
      <c r="C138" s="12">
        <v>2</v>
      </c>
      <c r="D138" s="138">
        <v>46107</v>
      </c>
      <c r="E138" s="12" t="s">
        <v>517</v>
      </c>
      <c r="F138" s="11" t="str">
        <f>IF(Rendiciones[[#This Row],[Fecha ]]&lt;&gt;"",TEXT(Rendiciones[[#This Row],[Fecha ]],"MMMM"),"")</f>
        <v>marzo</v>
      </c>
      <c r="G138" s="11" t="s">
        <v>428</v>
      </c>
      <c r="H138" s="12" t="s">
        <v>6</v>
      </c>
      <c r="I138" s="12" t="s">
        <v>563</v>
      </c>
      <c r="K138" s="1" t="s">
        <v>81</v>
      </c>
      <c r="L138" s="20">
        <v>129328</v>
      </c>
      <c r="M138" s="20"/>
      <c r="N138" s="20">
        <f>Rendiciones[[#This Row],[Monto Neto ]]*19%</f>
        <v>24572.32</v>
      </c>
      <c r="O138" s="6">
        <f>+Rendiciones[[#This Row],[Monto Neto ]]+Rendiciones[[#This Row],[Monto Exento ]]+Rendiciones[[#This Row],[Iva]]</f>
        <v>153900.32</v>
      </c>
      <c r="P138" t="s">
        <v>89</v>
      </c>
      <c r="Q138" s="138">
        <v>46104</v>
      </c>
      <c r="R138" s="20">
        <v>153900</v>
      </c>
      <c r="S138" s="20">
        <f>Rendiciones[[#This Row],[Total ]]-Rendiciones[[#This Row],[Monto ]]</f>
        <v>0.32000000000698492</v>
      </c>
      <c r="U138" s="72"/>
    </row>
    <row r="139" spans="2:21" x14ac:dyDescent="0.3">
      <c r="B139" s="12" t="s">
        <v>519</v>
      </c>
      <c r="C139" s="12">
        <v>2</v>
      </c>
      <c r="D139" s="138">
        <v>46107</v>
      </c>
      <c r="E139" s="12" t="s">
        <v>517</v>
      </c>
      <c r="F139" s="11" t="str">
        <f>IF(Rendiciones[[#This Row],[Fecha ]]&lt;&gt;"",TEXT(Rendiciones[[#This Row],[Fecha ]],"MMMM"),"")</f>
        <v>marzo</v>
      </c>
      <c r="G139" s="11" t="s">
        <v>428</v>
      </c>
      <c r="H139" s="12" t="s">
        <v>6</v>
      </c>
      <c r="I139" s="12" t="s">
        <v>429</v>
      </c>
      <c r="L139" s="20"/>
      <c r="M139" s="20">
        <v>8600</v>
      </c>
      <c r="N139" s="20">
        <f>Rendiciones[[#This Row],[Monto Neto ]]*19%</f>
        <v>0</v>
      </c>
      <c r="O139" s="6">
        <f>+Rendiciones[[#This Row],[Monto Neto ]]+Rendiciones[[#This Row],[Monto Exento ]]+Rendiciones[[#This Row],[Iva]]</f>
        <v>8600</v>
      </c>
      <c r="Q139" s="138"/>
      <c r="R139" s="20"/>
      <c r="S139" s="20">
        <f>Rendiciones[[#This Row],[Total ]]-Rendiciones[[#This Row],[Monto ]]</f>
        <v>8600</v>
      </c>
      <c r="U139" s="72"/>
    </row>
    <row r="140" spans="2:21" x14ac:dyDescent="0.3">
      <c r="B140" s="12" t="s">
        <v>519</v>
      </c>
      <c r="C140" s="12">
        <v>2</v>
      </c>
      <c r="D140" s="138">
        <v>46107</v>
      </c>
      <c r="E140" s="12" t="s">
        <v>517</v>
      </c>
      <c r="F140" s="11" t="str">
        <f>IF(Rendiciones[[#This Row],[Fecha ]]&lt;&gt;"",TEXT(Rendiciones[[#This Row],[Fecha ]],"MMMM"),"")</f>
        <v>marzo</v>
      </c>
      <c r="G140" s="11" t="s">
        <v>428</v>
      </c>
      <c r="H140" s="12" t="s">
        <v>6</v>
      </c>
      <c r="I140" s="12" t="s">
        <v>28</v>
      </c>
      <c r="K140" s="1" t="s">
        <v>81</v>
      </c>
      <c r="L140" s="20">
        <v>45343</v>
      </c>
      <c r="M140" s="20">
        <v>7058</v>
      </c>
      <c r="N140" s="20">
        <f>Rendiciones[[#This Row],[Monto Neto ]]*19%</f>
        <v>8615.17</v>
      </c>
      <c r="O140" s="6">
        <f>+Rendiciones[[#This Row],[Monto Neto ]]+Rendiciones[[#This Row],[Monto Exento ]]+Rendiciones[[#This Row],[Iva]]</f>
        <v>61016.17</v>
      </c>
      <c r="P140" t="s">
        <v>89</v>
      </c>
      <c r="Q140" s="138">
        <v>46108</v>
      </c>
      <c r="R140" s="20">
        <v>165770.10999999999</v>
      </c>
      <c r="S140" s="20">
        <f>Rendiciones[[#This Row],[Total ]]-Rendiciones[[#This Row],[Monto ]]</f>
        <v>-104753.93999999999</v>
      </c>
      <c r="U140" s="72"/>
    </row>
    <row r="141" spans="2:21" x14ac:dyDescent="0.3">
      <c r="B141" s="12" t="s">
        <v>445</v>
      </c>
      <c r="C141" s="12">
        <v>7</v>
      </c>
      <c r="D141" s="138">
        <v>46107</v>
      </c>
      <c r="E141" s="12" t="s">
        <v>517</v>
      </c>
      <c r="F141" s="11" t="str">
        <f>IF(Rendiciones[[#This Row],[Fecha ]]&lt;&gt;"",TEXT(Rendiciones[[#This Row],[Fecha ]],"MMMM"),"")</f>
        <v>marzo</v>
      </c>
      <c r="G141" s="11" t="s">
        <v>428</v>
      </c>
      <c r="H141" s="12" t="s">
        <v>6</v>
      </c>
      <c r="I141" s="12" t="s">
        <v>28</v>
      </c>
      <c r="K141" s="1" t="s">
        <v>81</v>
      </c>
      <c r="L141" s="20">
        <v>52013</v>
      </c>
      <c r="M141" s="20">
        <f>-61895+45000</f>
        <v>-16895</v>
      </c>
      <c r="N141" s="20">
        <f>Rendiciones[[#This Row],[Monto Neto ]]*19%</f>
        <v>9882.4699999999993</v>
      </c>
      <c r="O141" s="6">
        <f>+Rendiciones[[#This Row],[Monto Neto ]]+Rendiciones[[#This Row],[Monto Exento ]]+Rendiciones[[#This Row],[Iva]]</f>
        <v>45000.47</v>
      </c>
      <c r="Q141" s="138"/>
      <c r="R141" s="20"/>
      <c r="S141" s="20">
        <f>Rendiciones[[#This Row],[Total ]]-Rendiciones[[#This Row],[Monto ]]</f>
        <v>45000.47</v>
      </c>
      <c r="U141" s="72"/>
    </row>
    <row r="142" spans="2:21" x14ac:dyDescent="0.3">
      <c r="B142" s="12" t="s">
        <v>445</v>
      </c>
      <c r="C142" s="12">
        <v>7</v>
      </c>
      <c r="D142" s="138">
        <v>46107</v>
      </c>
      <c r="E142" s="12" t="s">
        <v>517</v>
      </c>
      <c r="F142" s="11" t="str">
        <f>IF(Rendiciones[[#This Row],[Fecha ]]&lt;&gt;"",TEXT(Rendiciones[[#This Row],[Fecha ]],"MMMM"),"")</f>
        <v>marzo</v>
      </c>
      <c r="G142" s="11" t="s">
        <v>428</v>
      </c>
      <c r="H142" s="12" t="s">
        <v>6</v>
      </c>
      <c r="I142" s="12" t="s">
        <v>28</v>
      </c>
      <c r="K142" s="1" t="s">
        <v>81</v>
      </c>
      <c r="L142" s="20">
        <v>43205</v>
      </c>
      <c r="M142" s="20">
        <f>3724-9</f>
        <v>3715</v>
      </c>
      <c r="N142" s="20">
        <f>Rendiciones[[#This Row],[Monto Neto ]]*19%</f>
        <v>8208.9500000000007</v>
      </c>
      <c r="O142" s="6">
        <f>+Rendiciones[[#This Row],[Monto Neto ]]+Rendiciones[[#This Row],[Monto Exento ]]+Rendiciones[[#This Row],[Iva]]</f>
        <v>55128.95</v>
      </c>
      <c r="Q142" s="138"/>
      <c r="R142" s="20"/>
      <c r="S142" s="20">
        <f>Rendiciones[[#This Row],[Total ]]-Rendiciones[[#This Row],[Monto ]]</f>
        <v>55128.95</v>
      </c>
      <c r="U142" s="72"/>
    </row>
    <row r="143" spans="2:21" x14ac:dyDescent="0.3">
      <c r="B143" s="12" t="s">
        <v>445</v>
      </c>
      <c r="C143" s="12">
        <v>7</v>
      </c>
      <c r="D143" s="138">
        <v>46107</v>
      </c>
      <c r="E143" s="12" t="s">
        <v>517</v>
      </c>
      <c r="F143" s="11" t="str">
        <f>IF(Rendiciones[[#This Row],[Fecha ]]&lt;&gt;"",TEXT(Rendiciones[[#This Row],[Fecha ]],"MMMM"),"")</f>
        <v>marzo</v>
      </c>
      <c r="G143" s="11" t="s">
        <v>428</v>
      </c>
      <c r="H143" s="12" t="s">
        <v>6</v>
      </c>
      <c r="I143" s="12" t="s">
        <v>39</v>
      </c>
      <c r="L143" s="20"/>
      <c r="M143" s="20">
        <f>1480+860+1250+1500+500</f>
        <v>5590</v>
      </c>
      <c r="N143" s="20">
        <f>Rendiciones[[#This Row],[Monto Neto ]]*19%</f>
        <v>0</v>
      </c>
      <c r="O143" s="6">
        <f>+Rendiciones[[#This Row],[Monto Neto ]]+Rendiciones[[#This Row],[Monto Exento ]]+Rendiciones[[#This Row],[Iva]]</f>
        <v>5590</v>
      </c>
      <c r="Q143" s="138"/>
      <c r="R143" s="20"/>
      <c r="S143" s="20">
        <f>Rendiciones[[#This Row],[Total ]]-Rendiciones[[#This Row],[Monto ]]</f>
        <v>5590</v>
      </c>
      <c r="U143" s="72"/>
    </row>
    <row r="144" spans="2:21" x14ac:dyDescent="0.3">
      <c r="B144" s="12" t="s">
        <v>445</v>
      </c>
      <c r="C144" s="12">
        <v>7</v>
      </c>
      <c r="D144" s="138">
        <v>46107</v>
      </c>
      <c r="E144" s="12" t="s">
        <v>517</v>
      </c>
      <c r="F144" s="11" t="str">
        <f>IF(Rendiciones[[#This Row],[Fecha ]]&lt;&gt;"",TEXT(Rendiciones[[#This Row],[Fecha ]],"MMMM"),"")</f>
        <v>marzo</v>
      </c>
      <c r="G144" s="11" t="s">
        <v>428</v>
      </c>
      <c r="H144" s="12" t="s">
        <v>6</v>
      </c>
      <c r="I144" s="12" t="s">
        <v>429</v>
      </c>
      <c r="L144" s="20"/>
      <c r="M144" s="20">
        <f>4700+6200+7150+4680+4100</f>
        <v>26830</v>
      </c>
      <c r="N144" s="20">
        <f>Rendiciones[[#This Row],[Monto Neto ]]*19%</f>
        <v>0</v>
      </c>
      <c r="O144" s="6">
        <f>+Rendiciones[[#This Row],[Monto Neto ]]+Rendiciones[[#This Row],[Monto Exento ]]+Rendiciones[[#This Row],[Iva]]</f>
        <v>26830</v>
      </c>
      <c r="Q144" s="138"/>
      <c r="R144" s="20"/>
      <c r="S144" s="20">
        <f>Rendiciones[[#This Row],[Total ]]-Rendiciones[[#This Row],[Monto ]]</f>
        <v>26830</v>
      </c>
      <c r="U144" s="72"/>
    </row>
    <row r="145" spans="2:21" x14ac:dyDescent="0.3">
      <c r="B145" s="12" t="s">
        <v>445</v>
      </c>
      <c r="C145" s="12">
        <v>7</v>
      </c>
      <c r="D145" s="138">
        <v>46107</v>
      </c>
      <c r="E145" s="12" t="s">
        <v>517</v>
      </c>
      <c r="F145" s="11" t="str">
        <f>IF(Rendiciones[[#This Row],[Fecha ]]&lt;&gt;"",TEXT(Rendiciones[[#This Row],[Fecha ]],"MMMM"),"")</f>
        <v>marzo</v>
      </c>
      <c r="G145" s="11" t="s">
        <v>428</v>
      </c>
      <c r="H145" s="12" t="s">
        <v>5</v>
      </c>
      <c r="I145" s="12" t="s">
        <v>26</v>
      </c>
      <c r="L145" s="20"/>
      <c r="M145" s="20">
        <f>22168+20282</f>
        <v>42450</v>
      </c>
      <c r="N145" s="20">
        <f>Rendiciones[[#This Row],[Monto Neto ]]*19%</f>
        <v>0</v>
      </c>
      <c r="O145" s="6">
        <f>+Rendiciones[[#This Row],[Monto Neto ]]+Rendiciones[[#This Row],[Monto Exento ]]+Rendiciones[[#This Row],[Iva]]</f>
        <v>42450</v>
      </c>
      <c r="P145" t="s">
        <v>89</v>
      </c>
      <c r="Q145" s="138">
        <v>46111</v>
      </c>
      <c r="R145" s="20">
        <v>74998.720000000001</v>
      </c>
      <c r="S145" s="20">
        <f>Rendiciones[[#This Row],[Total ]]-Rendiciones[[#This Row],[Monto ]]</f>
        <v>-32548.720000000001</v>
      </c>
      <c r="U145" s="72"/>
    </row>
    <row r="146" spans="2:21" x14ac:dyDescent="0.3">
      <c r="B146" s="12" t="s">
        <v>16</v>
      </c>
      <c r="C146" s="12">
        <v>4</v>
      </c>
      <c r="D146" s="138">
        <v>46108</v>
      </c>
      <c r="E146" s="12" t="s">
        <v>517</v>
      </c>
      <c r="F146" s="11" t="str">
        <f>IF(Rendiciones[[#This Row],[Fecha ]]&lt;&gt;"",TEXT(Rendiciones[[#This Row],[Fecha ]],"MMMM"),"")</f>
        <v>marzo</v>
      </c>
      <c r="G146" s="11" t="s">
        <v>428</v>
      </c>
      <c r="H146" s="12" t="s">
        <v>6</v>
      </c>
      <c r="I146" s="12" t="s">
        <v>44</v>
      </c>
      <c r="K146" s="1" t="s">
        <v>81</v>
      </c>
      <c r="L146" s="20">
        <v>74790</v>
      </c>
      <c r="M146" s="20"/>
      <c r="N146" s="20">
        <f>Rendiciones[[#This Row],[Monto Neto ]]*19%</f>
        <v>14210.1</v>
      </c>
      <c r="O146" s="6">
        <f>+Rendiciones[[#This Row],[Monto Neto ]]+Rendiciones[[#This Row],[Monto Exento ]]+Rendiciones[[#This Row],[Iva]]</f>
        <v>89000.1</v>
      </c>
      <c r="P146" t="s">
        <v>89</v>
      </c>
      <c r="Q146" s="138">
        <v>46111</v>
      </c>
      <c r="R146" s="20">
        <v>89000</v>
      </c>
      <c r="S146" s="20">
        <f>Rendiciones[[#This Row],[Total ]]-Rendiciones[[#This Row],[Monto ]]</f>
        <v>0.10000000000582077</v>
      </c>
      <c r="U146" s="72"/>
    </row>
    <row r="147" spans="2:21" x14ac:dyDescent="0.3">
      <c r="B147" s="12" t="s">
        <v>17</v>
      </c>
      <c r="C147" s="12">
        <v>13</v>
      </c>
      <c r="D147" s="138">
        <v>46108</v>
      </c>
      <c r="E147" s="12" t="s">
        <v>517</v>
      </c>
      <c r="F147" s="11" t="str">
        <f>IF(Rendiciones[[#This Row],[Fecha ]]&lt;&gt;"",TEXT(Rendiciones[[#This Row],[Fecha ]],"MMMM"),"")</f>
        <v>marzo</v>
      </c>
      <c r="G147" s="11" t="s">
        <v>428</v>
      </c>
      <c r="H147" s="12" t="s">
        <v>6</v>
      </c>
      <c r="I147" s="12" t="s">
        <v>57</v>
      </c>
      <c r="J147" s="1" t="s">
        <v>521</v>
      </c>
      <c r="L147" s="20"/>
      <c r="M147" s="20">
        <v>177098</v>
      </c>
      <c r="N147" s="20">
        <f>Rendiciones[[#This Row],[Monto Neto ]]*19%</f>
        <v>0</v>
      </c>
      <c r="O147" s="6">
        <f>+Rendiciones[[#This Row],[Monto Neto ]]+Rendiciones[[#This Row],[Monto Exento ]]+Rendiciones[[#This Row],[Iva]]</f>
        <v>177098</v>
      </c>
      <c r="Q147" s="138"/>
      <c r="R147" s="20"/>
      <c r="S147" s="20">
        <f>Rendiciones[[#This Row],[Total ]]-Rendiciones[[#This Row],[Monto ]]</f>
        <v>177098</v>
      </c>
      <c r="U147" s="72"/>
    </row>
    <row r="148" spans="2:21" x14ac:dyDescent="0.3">
      <c r="B148" s="12" t="s">
        <v>17</v>
      </c>
      <c r="C148" s="12">
        <v>13</v>
      </c>
      <c r="D148" s="138">
        <v>46108</v>
      </c>
      <c r="E148" s="12" t="s">
        <v>517</v>
      </c>
      <c r="F148" s="11" t="str">
        <f>IF(Rendiciones[[#This Row],[Fecha ]]&lt;&gt;"",TEXT(Rendiciones[[#This Row],[Fecha ]],"MMMM"),"")</f>
        <v>marzo</v>
      </c>
      <c r="G148" s="11" t="s">
        <v>428</v>
      </c>
      <c r="H148" s="12" t="s">
        <v>6</v>
      </c>
      <c r="I148" s="12" t="s">
        <v>57</v>
      </c>
      <c r="J148" s="1" t="s">
        <v>522</v>
      </c>
      <c r="L148" s="20"/>
      <c r="M148" s="20">
        <v>412247</v>
      </c>
      <c r="N148" s="20">
        <f>Rendiciones[[#This Row],[Monto Neto ]]*19%</f>
        <v>0</v>
      </c>
      <c r="O148" s="6">
        <f>+Rendiciones[[#This Row],[Monto Neto ]]+Rendiciones[[#This Row],[Monto Exento ]]+Rendiciones[[#This Row],[Iva]]</f>
        <v>412247</v>
      </c>
      <c r="Q148" s="138"/>
      <c r="R148" s="20"/>
      <c r="S148" s="20">
        <f>Rendiciones[[#This Row],[Total ]]-Rendiciones[[#This Row],[Monto ]]</f>
        <v>412247</v>
      </c>
      <c r="U148" s="72"/>
    </row>
    <row r="149" spans="2:21" x14ac:dyDescent="0.3">
      <c r="B149" s="12" t="s">
        <v>17</v>
      </c>
      <c r="C149" s="12">
        <v>13</v>
      </c>
      <c r="D149" s="138">
        <v>46108</v>
      </c>
      <c r="E149" s="12" t="s">
        <v>517</v>
      </c>
      <c r="F149" s="11" t="str">
        <f>IF(Rendiciones[[#This Row],[Fecha ]]&lt;&gt;"",TEXT(Rendiciones[[#This Row],[Fecha ]],"MMMM"),"")</f>
        <v>marzo</v>
      </c>
      <c r="G149" s="11" t="s">
        <v>428</v>
      </c>
      <c r="H149" s="12" t="s">
        <v>6</v>
      </c>
      <c r="I149" s="12" t="s">
        <v>57</v>
      </c>
      <c r="J149" s="1" t="s">
        <v>523</v>
      </c>
      <c r="L149" s="20"/>
      <c r="M149" s="20">
        <v>10590</v>
      </c>
      <c r="N149" s="20">
        <f>Rendiciones[[#This Row],[Monto Neto ]]*19%</f>
        <v>0</v>
      </c>
      <c r="O149" s="6">
        <f>+Rendiciones[[#This Row],[Monto Neto ]]+Rendiciones[[#This Row],[Monto Exento ]]+Rendiciones[[#This Row],[Iva]]</f>
        <v>10590</v>
      </c>
      <c r="Q149" s="138"/>
      <c r="R149" s="20"/>
      <c r="S149" s="20">
        <f>Rendiciones[[#This Row],[Total ]]-Rendiciones[[#This Row],[Monto ]]</f>
        <v>10590</v>
      </c>
      <c r="U149" s="72"/>
    </row>
    <row r="150" spans="2:21" x14ac:dyDescent="0.3">
      <c r="B150" s="12" t="s">
        <v>17</v>
      </c>
      <c r="C150" s="12">
        <v>13</v>
      </c>
      <c r="D150" s="138">
        <v>46108</v>
      </c>
      <c r="E150" s="12" t="s">
        <v>517</v>
      </c>
      <c r="F150" s="11" t="str">
        <f>IF(Rendiciones[[#This Row],[Fecha ]]&lt;&gt;"",TEXT(Rendiciones[[#This Row],[Fecha ]],"MMMM"),"")</f>
        <v>marzo</v>
      </c>
      <c r="G150" s="11" t="s">
        <v>428</v>
      </c>
      <c r="H150" s="12" t="s">
        <v>6</v>
      </c>
      <c r="I150" s="12" t="s">
        <v>57</v>
      </c>
      <c r="J150" s="1" t="s">
        <v>524</v>
      </c>
      <c r="L150" s="20"/>
      <c r="M150" s="20">
        <v>10590</v>
      </c>
      <c r="N150" s="20">
        <f>Rendiciones[[#This Row],[Monto Neto ]]*19%</f>
        <v>0</v>
      </c>
      <c r="O150" s="6">
        <f>+Rendiciones[[#This Row],[Monto Neto ]]+Rendiciones[[#This Row],[Monto Exento ]]+Rendiciones[[#This Row],[Iva]]</f>
        <v>10590</v>
      </c>
      <c r="Q150" s="138"/>
      <c r="R150" s="20"/>
      <c r="S150" s="20">
        <f>Rendiciones[[#This Row],[Total ]]-Rendiciones[[#This Row],[Monto ]]</f>
        <v>10590</v>
      </c>
      <c r="U150" s="72"/>
    </row>
    <row r="151" spans="2:21" x14ac:dyDescent="0.3">
      <c r="B151" s="12" t="s">
        <v>17</v>
      </c>
      <c r="C151" s="12">
        <v>13</v>
      </c>
      <c r="D151" s="138">
        <v>46108</v>
      </c>
      <c r="E151" s="12" t="s">
        <v>517</v>
      </c>
      <c r="F151" s="11" t="str">
        <f>IF(Rendiciones[[#This Row],[Fecha ]]&lt;&gt;"",TEXT(Rendiciones[[#This Row],[Fecha ]],"MMMM"),"")</f>
        <v>marzo</v>
      </c>
      <c r="G151" s="11" t="s">
        <v>428</v>
      </c>
      <c r="H151" s="12" t="s">
        <v>6</v>
      </c>
      <c r="I151" s="12" t="s">
        <v>57</v>
      </c>
      <c r="J151" s="1" t="s">
        <v>525</v>
      </c>
      <c r="L151" s="20"/>
      <c r="M151" s="20">
        <v>10590</v>
      </c>
      <c r="N151" s="20">
        <f>Rendiciones[[#This Row],[Monto Neto ]]*19%</f>
        <v>0</v>
      </c>
      <c r="O151" s="6">
        <f>+Rendiciones[[#This Row],[Monto Neto ]]+Rendiciones[[#This Row],[Monto Exento ]]+Rendiciones[[#This Row],[Iva]]</f>
        <v>10590</v>
      </c>
      <c r="P151" t="s">
        <v>89</v>
      </c>
      <c r="Q151" s="138">
        <v>46114</v>
      </c>
      <c r="R151" s="20">
        <v>621115</v>
      </c>
      <c r="S151" s="20">
        <f>Rendiciones[[#This Row],[Total ]]-Rendiciones[[#This Row],[Monto ]]</f>
        <v>-610525</v>
      </c>
      <c r="U151" s="72"/>
    </row>
    <row r="152" spans="2:21" x14ac:dyDescent="0.3">
      <c r="B152" s="12" t="s">
        <v>17</v>
      </c>
      <c r="C152" s="12">
        <v>14</v>
      </c>
      <c r="D152" s="138">
        <v>46112</v>
      </c>
      <c r="E152" s="12" t="s">
        <v>526</v>
      </c>
      <c r="F152" s="11" t="str">
        <f>IF(Rendiciones[[#This Row],[Fecha ]]&lt;&gt;"",TEXT(Rendiciones[[#This Row],[Fecha ]],"MMMM"),"")</f>
        <v>marzo</v>
      </c>
      <c r="G152" s="11" t="s">
        <v>428</v>
      </c>
      <c r="H152" s="12" t="s">
        <v>102</v>
      </c>
      <c r="I152" s="12" t="s">
        <v>98</v>
      </c>
      <c r="J152" s="1" t="s">
        <v>527</v>
      </c>
      <c r="K152" s="1" t="s">
        <v>81</v>
      </c>
      <c r="L152" s="20"/>
      <c r="M152" s="20">
        <v>70389</v>
      </c>
      <c r="N152" s="20">
        <f>Rendiciones[[#This Row],[Monto Neto ]]*19%</f>
        <v>0</v>
      </c>
      <c r="O152" s="6">
        <f>+Rendiciones[[#This Row],[Monto Neto ]]+Rendiciones[[#This Row],[Monto Exento ]]+Rendiciones[[#This Row],[Iva]]</f>
        <v>70389</v>
      </c>
      <c r="P152" t="s">
        <v>89</v>
      </c>
      <c r="Q152" s="138">
        <v>46114</v>
      </c>
      <c r="R152" s="20">
        <v>70389</v>
      </c>
      <c r="S152" s="20">
        <f>Rendiciones[[#This Row],[Total ]]-Rendiciones[[#This Row],[Monto ]]</f>
        <v>0</v>
      </c>
      <c r="U152" s="72"/>
    </row>
    <row r="153" spans="2:21" x14ac:dyDescent="0.3">
      <c r="B153" s="12" t="s">
        <v>20</v>
      </c>
      <c r="C153" s="12">
        <v>5</v>
      </c>
      <c r="D153" s="138">
        <v>46121</v>
      </c>
      <c r="E153" s="12" t="s">
        <v>528</v>
      </c>
      <c r="F153" s="11" t="str">
        <f>IF(Rendiciones[[#This Row],[Fecha ]]&lt;&gt;"",TEXT(Rendiciones[[#This Row],[Fecha ]],"MMMM"),"")</f>
        <v>abril</v>
      </c>
      <c r="G153" s="11" t="s">
        <v>105</v>
      </c>
      <c r="H153" s="12" t="s">
        <v>9</v>
      </c>
      <c r="I153" s="12" t="s">
        <v>25</v>
      </c>
      <c r="L153" s="20"/>
      <c r="M153" s="20">
        <v>8200</v>
      </c>
      <c r="N153" s="20">
        <f>Rendiciones[[#This Row],[Monto Neto ]]*19%</f>
        <v>0</v>
      </c>
      <c r="O153" s="6">
        <f>+Rendiciones[[#This Row],[Monto Neto ]]+Rendiciones[[#This Row],[Monto Exento ]]+Rendiciones[[#This Row],[Iva]]</f>
        <v>8200</v>
      </c>
      <c r="P153" t="s">
        <v>89</v>
      </c>
      <c r="Q153" s="138">
        <v>46136</v>
      </c>
      <c r="R153" s="20">
        <v>8200</v>
      </c>
      <c r="S153" s="20">
        <f>Rendiciones[[#This Row],[Total ]]-Rendiciones[[#This Row],[Monto ]]</f>
        <v>0</v>
      </c>
      <c r="U153" s="72"/>
    </row>
    <row r="154" spans="2:21" x14ac:dyDescent="0.3">
      <c r="B154" s="12" t="s">
        <v>100</v>
      </c>
      <c r="C154" s="12">
        <v>3</v>
      </c>
      <c r="D154" s="138">
        <v>46077</v>
      </c>
      <c r="E154" s="12" t="s">
        <v>517</v>
      </c>
      <c r="F154" s="11" t="str">
        <f>IF(Rendiciones[[#This Row],[Fecha ]]&lt;&gt;"",TEXT(Rendiciones[[#This Row],[Fecha ]],"MMMM"),"")</f>
        <v>febrero</v>
      </c>
      <c r="G154" s="11" t="s">
        <v>428</v>
      </c>
      <c r="H154" s="12" t="s">
        <v>6</v>
      </c>
      <c r="I154" s="12" t="s">
        <v>60</v>
      </c>
      <c r="L154" s="20"/>
      <c r="M154" s="20">
        <v>6000</v>
      </c>
      <c r="N154" s="20">
        <f>Rendiciones[[#This Row],[Monto Neto ]]*19%</f>
        <v>0</v>
      </c>
      <c r="O154" s="6">
        <f>+Rendiciones[[#This Row],[Monto Neto ]]+Rendiciones[[#This Row],[Monto Exento ]]+Rendiciones[[#This Row],[Iva]]</f>
        <v>6000</v>
      </c>
      <c r="P154" t="s">
        <v>89</v>
      </c>
      <c r="Q154" s="138">
        <v>46105</v>
      </c>
      <c r="R154" s="20">
        <v>250000</v>
      </c>
      <c r="S154" s="20">
        <f>Rendiciones[[#This Row],[Total ]]-Rendiciones[[#This Row],[Monto ]]</f>
        <v>-244000</v>
      </c>
      <c r="U154" s="72"/>
    </row>
    <row r="155" spans="2:21" x14ac:dyDescent="0.3">
      <c r="B155" s="12" t="s">
        <v>100</v>
      </c>
      <c r="C155" s="12">
        <v>3</v>
      </c>
      <c r="D155" s="138">
        <v>46077</v>
      </c>
      <c r="E155" s="12" t="s">
        <v>517</v>
      </c>
      <c r="F155" s="11" t="str">
        <f>IF(Rendiciones[[#This Row],[Fecha ]]&lt;&gt;"",TEXT(Rendiciones[[#This Row],[Fecha ]],"MMMM"),"")</f>
        <v>febrero</v>
      </c>
      <c r="G155" s="11" t="s">
        <v>428</v>
      </c>
      <c r="H155" s="12" t="s">
        <v>6</v>
      </c>
      <c r="I155" s="12" t="s">
        <v>429</v>
      </c>
      <c r="L155" s="20"/>
      <c r="M155" s="20">
        <f>1800+2900+2000</f>
        <v>6700</v>
      </c>
      <c r="N155" s="20">
        <f>Rendiciones[[#This Row],[Monto Neto ]]*19%</f>
        <v>0</v>
      </c>
      <c r="O155" s="6">
        <f>+Rendiciones[[#This Row],[Monto Neto ]]+Rendiciones[[#This Row],[Monto Exento ]]+Rendiciones[[#This Row],[Iva]]</f>
        <v>6700</v>
      </c>
      <c r="Q155" s="138"/>
      <c r="R155" s="20"/>
      <c r="S155" s="20">
        <f>Rendiciones[[#This Row],[Total ]]-Rendiciones[[#This Row],[Monto ]]</f>
        <v>6700</v>
      </c>
      <c r="U155" s="72"/>
    </row>
    <row r="156" spans="2:21" x14ac:dyDescent="0.3">
      <c r="B156" s="12" t="s">
        <v>100</v>
      </c>
      <c r="C156" s="12">
        <v>3</v>
      </c>
      <c r="D156" s="138">
        <v>46077</v>
      </c>
      <c r="E156" s="12" t="s">
        <v>517</v>
      </c>
      <c r="F156" s="11" t="str">
        <f>IF(Rendiciones[[#This Row],[Fecha ]]&lt;&gt;"",TEXT(Rendiciones[[#This Row],[Fecha ]],"MMMM"),"")</f>
        <v>febrero</v>
      </c>
      <c r="G156" s="11" t="s">
        <v>428</v>
      </c>
      <c r="H156" s="12" t="s">
        <v>6</v>
      </c>
      <c r="I156" s="12" t="s">
        <v>65</v>
      </c>
      <c r="L156" s="20"/>
      <c r="M156" s="20">
        <v>8970</v>
      </c>
      <c r="N156" s="20">
        <f>Rendiciones[[#This Row],[Monto Neto ]]*19%</f>
        <v>0</v>
      </c>
      <c r="O156" s="6">
        <f>+Rendiciones[[#This Row],[Monto Neto ]]+Rendiciones[[#This Row],[Monto Exento ]]+Rendiciones[[#This Row],[Iva]]</f>
        <v>8970</v>
      </c>
      <c r="Q156" s="138"/>
      <c r="R156" s="20"/>
      <c r="S156" s="20">
        <f>Rendiciones[[#This Row],[Total ]]-Rendiciones[[#This Row],[Monto ]]</f>
        <v>8970</v>
      </c>
      <c r="U156" s="72"/>
    </row>
    <row r="157" spans="2:21" x14ac:dyDescent="0.3">
      <c r="B157" s="12" t="s">
        <v>100</v>
      </c>
      <c r="C157" s="12">
        <v>3</v>
      </c>
      <c r="D157" s="138">
        <v>46077</v>
      </c>
      <c r="E157" s="12" t="s">
        <v>517</v>
      </c>
      <c r="F157" s="11" t="str">
        <f>IF(Rendiciones[[#This Row],[Fecha ]]&lt;&gt;"",TEXT(Rendiciones[[#This Row],[Fecha ]],"MMMM"),"")</f>
        <v>febrero</v>
      </c>
      <c r="G157" s="11" t="s">
        <v>428</v>
      </c>
      <c r="H157" s="12" t="s">
        <v>6</v>
      </c>
      <c r="I157" s="12" t="s">
        <v>31</v>
      </c>
      <c r="L157" s="20"/>
      <c r="M157" s="20">
        <f>6000+2698+5721</f>
        <v>14419</v>
      </c>
      <c r="N157" s="20">
        <f>Rendiciones[[#This Row],[Monto Neto ]]*19%</f>
        <v>0</v>
      </c>
      <c r="O157" s="6">
        <f>+Rendiciones[[#This Row],[Monto Neto ]]+Rendiciones[[#This Row],[Monto Exento ]]+Rendiciones[[#This Row],[Iva]]</f>
        <v>14419</v>
      </c>
      <c r="Q157" s="138"/>
      <c r="R157" s="20"/>
      <c r="S157" s="20">
        <f>Rendiciones[[#This Row],[Total ]]-Rendiciones[[#This Row],[Monto ]]</f>
        <v>14419</v>
      </c>
      <c r="U157" s="72"/>
    </row>
    <row r="158" spans="2:21" x14ac:dyDescent="0.3">
      <c r="B158" s="12" t="s">
        <v>100</v>
      </c>
      <c r="C158" s="12">
        <v>3</v>
      </c>
      <c r="D158" s="138">
        <v>46090</v>
      </c>
      <c r="E158" s="12" t="s">
        <v>514</v>
      </c>
      <c r="F158" s="11" t="str">
        <f>IF(Rendiciones[[#This Row],[Fecha ]]&lt;&gt;"",TEXT(Rendiciones[[#This Row],[Fecha ]],"MMMM"),"")</f>
        <v>marzo</v>
      </c>
      <c r="G158" s="11" t="s">
        <v>428</v>
      </c>
      <c r="H158" s="12" t="s">
        <v>6</v>
      </c>
      <c r="I158" s="12" t="s">
        <v>31</v>
      </c>
      <c r="L158" s="20"/>
      <c r="M158" s="20">
        <f>3000+3000+3448+6120+5808+13314</f>
        <v>34690</v>
      </c>
      <c r="N158" s="20">
        <f>Rendiciones[[#This Row],[Monto Neto ]]*19%</f>
        <v>0</v>
      </c>
      <c r="O158" s="6">
        <f>+Rendiciones[[#This Row],[Monto Neto ]]+Rendiciones[[#This Row],[Monto Exento ]]+Rendiciones[[#This Row],[Iva]]</f>
        <v>34690</v>
      </c>
      <c r="Q158" s="138"/>
      <c r="R158" s="20"/>
      <c r="S158" s="20">
        <f>Rendiciones[[#This Row],[Total ]]-Rendiciones[[#This Row],[Monto ]]</f>
        <v>34690</v>
      </c>
      <c r="U158" s="72"/>
    </row>
    <row r="159" spans="2:21" x14ac:dyDescent="0.3">
      <c r="B159" s="12" t="s">
        <v>100</v>
      </c>
      <c r="C159" s="12">
        <v>3</v>
      </c>
      <c r="D159" s="138">
        <v>46097</v>
      </c>
      <c r="E159" s="12" t="s">
        <v>515</v>
      </c>
      <c r="F159" s="11" t="str">
        <f>IF(Rendiciones[[#This Row],[Fecha ]]&lt;&gt;"",TEXT(Rendiciones[[#This Row],[Fecha ]],"MMMM"),"")</f>
        <v>marzo</v>
      </c>
      <c r="G159" s="11" t="s">
        <v>428</v>
      </c>
      <c r="H159" s="12" t="s">
        <v>6</v>
      </c>
      <c r="I159" s="12" t="s">
        <v>31</v>
      </c>
      <c r="L159" s="20"/>
      <c r="M159" s="20">
        <f>9800+6217+8990+17724+6297+3667+1966</f>
        <v>54661</v>
      </c>
      <c r="N159" s="20">
        <f>Rendiciones[[#This Row],[Monto Neto ]]*19%</f>
        <v>0</v>
      </c>
      <c r="O159" s="6">
        <f>+Rendiciones[[#This Row],[Monto Neto ]]+Rendiciones[[#This Row],[Monto Exento ]]+Rendiciones[[#This Row],[Iva]]</f>
        <v>54661</v>
      </c>
      <c r="Q159" s="138"/>
      <c r="R159" s="20"/>
      <c r="S159" s="20">
        <f>Rendiciones[[#This Row],[Total ]]-Rendiciones[[#This Row],[Monto ]]</f>
        <v>54661</v>
      </c>
      <c r="U159" s="72"/>
    </row>
    <row r="160" spans="2:21" x14ac:dyDescent="0.3">
      <c r="B160" s="12" t="s">
        <v>100</v>
      </c>
      <c r="C160" s="12">
        <v>3</v>
      </c>
      <c r="D160" s="138">
        <v>46105</v>
      </c>
      <c r="E160" s="12" t="s">
        <v>517</v>
      </c>
      <c r="F160" s="11" t="str">
        <f>IF(Rendiciones[[#This Row],[Fecha ]]&lt;&gt;"",TEXT(Rendiciones[[#This Row],[Fecha ]],"MMMM"),"")</f>
        <v>marzo</v>
      </c>
      <c r="G160" s="11" t="s">
        <v>428</v>
      </c>
      <c r="H160" s="12" t="s">
        <v>6</v>
      </c>
      <c r="I160" s="12" t="s">
        <v>31</v>
      </c>
      <c r="L160" s="20"/>
      <c r="M160" s="20">
        <f>2163+1966+1966+3976+5958+23000+11659</f>
        <v>50688</v>
      </c>
      <c r="N160" s="20">
        <f>Rendiciones[[#This Row],[Monto Neto ]]*19%</f>
        <v>0</v>
      </c>
      <c r="O160" s="6">
        <f>+Rendiciones[[#This Row],[Monto Neto ]]+Rendiciones[[#This Row],[Monto Exento ]]+Rendiciones[[#This Row],[Iva]]</f>
        <v>50688</v>
      </c>
      <c r="Q160" s="138"/>
      <c r="R160" s="20"/>
      <c r="S160" s="20">
        <f>Rendiciones[[#This Row],[Total ]]-Rendiciones[[#This Row],[Monto ]]</f>
        <v>50688</v>
      </c>
      <c r="U160" s="72"/>
    </row>
    <row r="161" spans="2:21" ht="14.5" customHeight="1" x14ac:dyDescent="0.3">
      <c r="B161" s="12" t="s">
        <v>100</v>
      </c>
      <c r="C161" s="12">
        <v>3</v>
      </c>
      <c r="D161" s="138">
        <v>46090</v>
      </c>
      <c r="E161" s="12" t="s">
        <v>514</v>
      </c>
      <c r="F161" s="11" t="str">
        <f>IF(Rendiciones[[#This Row],[Fecha ]]&lt;&gt;"",TEXT(Rendiciones[[#This Row],[Fecha ]],"MMMM"),"")</f>
        <v>marzo</v>
      </c>
      <c r="G161" s="11" t="s">
        <v>428</v>
      </c>
      <c r="H161" s="12" t="s">
        <v>6</v>
      </c>
      <c r="I161" s="12" t="s">
        <v>429</v>
      </c>
      <c r="L161" s="20"/>
      <c r="M161" s="20">
        <v>9900</v>
      </c>
      <c r="N161" s="20">
        <f>Rendiciones[[#This Row],[Monto Neto ]]*19%</f>
        <v>0</v>
      </c>
      <c r="O161" s="6">
        <f>+Rendiciones[[#This Row],[Monto Neto ]]+Rendiciones[[#This Row],[Monto Exento ]]+Rendiciones[[#This Row],[Iva]]</f>
        <v>9900</v>
      </c>
      <c r="Q161" s="138"/>
      <c r="R161" s="20"/>
      <c r="S161" s="20">
        <f>Rendiciones[[#This Row],[Total ]]-Rendiciones[[#This Row],[Monto ]]</f>
        <v>9900</v>
      </c>
      <c r="U161" s="72"/>
    </row>
    <row r="162" spans="2:21" ht="14.5" customHeight="1" x14ac:dyDescent="0.3">
      <c r="B162" s="12" t="s">
        <v>100</v>
      </c>
      <c r="C162" s="12">
        <v>3</v>
      </c>
      <c r="D162" s="138">
        <v>46097</v>
      </c>
      <c r="E162" s="12" t="s">
        <v>515</v>
      </c>
      <c r="F162" s="11" t="str">
        <f>IF(Rendiciones[[#This Row],[Fecha ]]&lt;&gt;"",TEXT(Rendiciones[[#This Row],[Fecha ]],"MMMM"),"")</f>
        <v>marzo</v>
      </c>
      <c r="G162" s="11" t="s">
        <v>428</v>
      </c>
      <c r="H162" s="12" t="s">
        <v>6</v>
      </c>
      <c r="I162" s="12" t="s">
        <v>60</v>
      </c>
      <c r="L162" s="20"/>
      <c r="M162" s="20">
        <v>261730</v>
      </c>
      <c r="N162" s="20">
        <f>Rendiciones[[#This Row],[Monto Neto ]]*19%</f>
        <v>0</v>
      </c>
      <c r="O162" s="6">
        <f>+Rendiciones[[#This Row],[Monto Neto ]]+Rendiciones[[#This Row],[Monto Exento ]]+Rendiciones[[#This Row],[Iva]]</f>
        <v>261730</v>
      </c>
      <c r="Q162" s="138"/>
      <c r="R162" s="20"/>
      <c r="S162" s="20">
        <f>Rendiciones[[#This Row],[Total ]]-Rendiciones[[#This Row],[Monto ]]</f>
        <v>261730</v>
      </c>
      <c r="U162" s="72"/>
    </row>
    <row r="163" spans="2:21" x14ac:dyDescent="0.3">
      <c r="B163" s="12" t="s">
        <v>100</v>
      </c>
      <c r="C163" s="12">
        <v>3</v>
      </c>
      <c r="D163" s="138">
        <v>46097</v>
      </c>
      <c r="E163" s="12" t="s">
        <v>515</v>
      </c>
      <c r="F163" s="11" t="str">
        <f>IF(Rendiciones[[#This Row],[Fecha ]]&lt;&gt;"",TEXT(Rendiciones[[#This Row],[Fecha ]],"MMMM"),"")</f>
        <v>marzo</v>
      </c>
      <c r="G163" s="11" t="s">
        <v>428</v>
      </c>
      <c r="H163" s="12" t="s">
        <v>6</v>
      </c>
      <c r="I163" s="12" t="s">
        <v>95</v>
      </c>
      <c r="J163" s="1" t="s">
        <v>529</v>
      </c>
      <c r="L163" s="20"/>
      <c r="M163" s="20">
        <v>40000</v>
      </c>
      <c r="N163" s="20">
        <f>Rendiciones[[#This Row],[Monto Neto ]]*19%</f>
        <v>0</v>
      </c>
      <c r="O163" s="6">
        <f>+Rendiciones[[#This Row],[Monto Neto ]]+Rendiciones[[#This Row],[Monto Exento ]]+Rendiciones[[#This Row],[Iva]]</f>
        <v>40000</v>
      </c>
      <c r="Q163" s="138"/>
      <c r="R163" s="20"/>
      <c r="S163" s="20">
        <f>Rendiciones[[#This Row],[Total ]]-Rendiciones[[#This Row],[Monto ]]</f>
        <v>40000</v>
      </c>
      <c r="U163" s="72"/>
    </row>
    <row r="164" spans="2:21" ht="14.5" customHeight="1" x14ac:dyDescent="0.3">
      <c r="B164" s="12" t="s">
        <v>100</v>
      </c>
      <c r="C164" s="12">
        <v>3</v>
      </c>
      <c r="D164" s="138">
        <v>46097</v>
      </c>
      <c r="E164" s="12" t="s">
        <v>515</v>
      </c>
      <c r="F164" s="11" t="str">
        <f>IF(Rendiciones[[#This Row],[Fecha ]]&lt;&gt;"",TEXT(Rendiciones[[#This Row],[Fecha ]],"MMMM"),"")</f>
        <v>marzo</v>
      </c>
      <c r="G164" s="11" t="s">
        <v>428</v>
      </c>
      <c r="H164" s="12" t="s">
        <v>6</v>
      </c>
      <c r="I164" s="12" t="s">
        <v>429</v>
      </c>
      <c r="L164" s="20"/>
      <c r="M164" s="20">
        <f>10989+6900+2600</f>
        <v>20489</v>
      </c>
      <c r="N164" s="20">
        <f>Rendiciones[[#This Row],[Monto Neto ]]*19%</f>
        <v>0</v>
      </c>
      <c r="O164" s="6">
        <f>+Rendiciones[[#This Row],[Monto Neto ]]+Rendiciones[[#This Row],[Monto Exento ]]+Rendiciones[[#This Row],[Iva]]</f>
        <v>20489</v>
      </c>
      <c r="Q164" s="138"/>
      <c r="R164" s="20"/>
      <c r="S164" s="20">
        <f>Rendiciones[[#This Row],[Total ]]-Rendiciones[[#This Row],[Monto ]]</f>
        <v>20489</v>
      </c>
      <c r="U164" s="72"/>
    </row>
    <row r="165" spans="2:21" x14ac:dyDescent="0.3">
      <c r="B165" s="12" t="s">
        <v>100</v>
      </c>
      <c r="C165" s="12">
        <v>3</v>
      </c>
      <c r="D165" s="138">
        <v>46104</v>
      </c>
      <c r="E165" s="12" t="s">
        <v>517</v>
      </c>
      <c r="F165" s="11" t="str">
        <f>IF(Rendiciones[[#This Row],[Fecha ]]&lt;&gt;"",TEXT(Rendiciones[[#This Row],[Fecha ]],"MMMM"),"")</f>
        <v>marzo</v>
      </c>
      <c r="G165" s="11" t="s">
        <v>428</v>
      </c>
      <c r="H165" s="12" t="s">
        <v>6</v>
      </c>
      <c r="I165" s="12" t="s">
        <v>429</v>
      </c>
      <c r="L165" s="20"/>
      <c r="M165" s="20">
        <f>5480+30360</f>
        <v>35840</v>
      </c>
      <c r="N165" s="20">
        <f>Rendiciones[[#This Row],[Monto Neto ]]*19%</f>
        <v>0</v>
      </c>
      <c r="O165" s="6">
        <f>+Rendiciones[[#This Row],[Monto Neto ]]+Rendiciones[[#This Row],[Monto Exento ]]+Rendiciones[[#This Row],[Iva]]</f>
        <v>35840</v>
      </c>
      <c r="Q165" s="138"/>
      <c r="R165" s="20"/>
      <c r="S165" s="20">
        <f>Rendiciones[[#This Row],[Total ]]-Rendiciones[[#This Row],[Monto ]]</f>
        <v>35840</v>
      </c>
      <c r="U165" s="72"/>
    </row>
    <row r="166" spans="2:21" x14ac:dyDescent="0.3">
      <c r="B166" s="12" t="s">
        <v>100</v>
      </c>
      <c r="C166" s="12">
        <v>3</v>
      </c>
      <c r="D166" s="138">
        <v>46105</v>
      </c>
      <c r="E166" s="12" t="s">
        <v>517</v>
      </c>
      <c r="F166" s="11" t="str">
        <f>IF(Rendiciones[[#This Row],[Fecha ]]&lt;&gt;"",TEXT(Rendiciones[[#This Row],[Fecha ]],"MMMM"),"")</f>
        <v>marzo</v>
      </c>
      <c r="G166" s="11" t="s">
        <v>428</v>
      </c>
      <c r="H166" s="12" t="s">
        <v>6</v>
      </c>
      <c r="I166" s="12" t="s">
        <v>52</v>
      </c>
      <c r="L166" s="20"/>
      <c r="M166" s="20">
        <v>13000</v>
      </c>
      <c r="N166" s="20">
        <f>Rendiciones[[#This Row],[Monto Neto ]]*19%</f>
        <v>0</v>
      </c>
      <c r="O166" s="6">
        <f>+Rendiciones[[#This Row],[Monto Neto ]]+Rendiciones[[#This Row],[Monto Exento ]]+Rendiciones[[#This Row],[Iva]]</f>
        <v>13000</v>
      </c>
      <c r="Q166" s="138"/>
      <c r="R166" s="20"/>
      <c r="S166" s="20">
        <f>Rendiciones[[#This Row],[Total ]]-Rendiciones[[#This Row],[Monto ]]</f>
        <v>13000</v>
      </c>
      <c r="U166" s="72"/>
    </row>
    <row r="167" spans="2:21" x14ac:dyDescent="0.3">
      <c r="B167" s="12" t="s">
        <v>100</v>
      </c>
      <c r="C167" s="12">
        <v>3</v>
      </c>
      <c r="D167" s="138">
        <v>46105</v>
      </c>
      <c r="E167" s="12" t="s">
        <v>517</v>
      </c>
      <c r="F167" s="11" t="str">
        <f>IF(Rendiciones[[#This Row],[Fecha ]]&lt;&gt;"",TEXT(Rendiciones[[#This Row],[Fecha ]],"MMMM"),"")</f>
        <v>marzo</v>
      </c>
      <c r="G167" s="11" t="s">
        <v>428</v>
      </c>
      <c r="H167" s="12" t="s">
        <v>6</v>
      </c>
      <c r="I167" s="12" t="s">
        <v>429</v>
      </c>
      <c r="L167" s="20"/>
      <c r="M167" s="20">
        <f>20790+20020+29260</f>
        <v>70070</v>
      </c>
      <c r="N167" s="20">
        <f>Rendiciones[[#This Row],[Monto Neto ]]*19%</f>
        <v>0</v>
      </c>
      <c r="O167" s="6">
        <f>+Rendiciones[[#This Row],[Monto Neto ]]+Rendiciones[[#This Row],[Monto Exento ]]+Rendiciones[[#This Row],[Iva]]</f>
        <v>70070</v>
      </c>
      <c r="Q167" s="138"/>
      <c r="R167" s="20"/>
      <c r="S167" s="20">
        <f>Rendiciones[[#This Row],[Total ]]-Rendiciones[[#This Row],[Monto ]]</f>
        <v>70070</v>
      </c>
      <c r="U167" s="72"/>
    </row>
    <row r="168" spans="2:21" x14ac:dyDescent="0.3">
      <c r="B168" s="12" t="s">
        <v>100</v>
      </c>
      <c r="C168" s="12">
        <v>3</v>
      </c>
      <c r="D168" s="138">
        <v>46105</v>
      </c>
      <c r="E168" s="12" t="s">
        <v>517</v>
      </c>
      <c r="F168" s="11" t="str">
        <f>IF(Rendiciones[[#This Row],[Fecha ]]&lt;&gt;"",TEXT(Rendiciones[[#This Row],[Fecha ]],"MMMM"),"")</f>
        <v>marzo</v>
      </c>
      <c r="G168" s="11" t="s">
        <v>428</v>
      </c>
      <c r="H168" s="12" t="s">
        <v>6</v>
      </c>
      <c r="I168" s="12" t="s">
        <v>65</v>
      </c>
      <c r="L168" s="20"/>
      <c r="M168" s="20">
        <f>4500+3600+8600+6320+51350</f>
        <v>74370</v>
      </c>
      <c r="N168" s="20">
        <f>Rendiciones[[#This Row],[Monto Neto ]]*19%</f>
        <v>0</v>
      </c>
      <c r="O168" s="6">
        <f>+Rendiciones[[#This Row],[Monto Neto ]]+Rendiciones[[#This Row],[Monto Exento ]]+Rendiciones[[#This Row],[Iva]]</f>
        <v>74370</v>
      </c>
      <c r="Q168" s="138"/>
      <c r="R168" s="20"/>
      <c r="S168" s="20">
        <f>Rendiciones[[#This Row],[Total ]]-Rendiciones[[#This Row],[Monto ]]</f>
        <v>74370</v>
      </c>
      <c r="U168" s="72"/>
    </row>
    <row r="169" spans="2:21" x14ac:dyDescent="0.3">
      <c r="B169" s="12" t="s">
        <v>100</v>
      </c>
      <c r="C169" s="12">
        <v>3</v>
      </c>
      <c r="D169" s="138">
        <v>46105</v>
      </c>
      <c r="E169" s="12" t="s">
        <v>517</v>
      </c>
      <c r="F169" s="11" t="str">
        <f>IF(Rendiciones[[#This Row],[Fecha ]]&lt;&gt;"",TEXT(Rendiciones[[#This Row],[Fecha ]],"MMMM"),"")</f>
        <v>marzo</v>
      </c>
      <c r="G169" s="11" t="s">
        <v>428</v>
      </c>
      <c r="H169" s="12" t="s">
        <v>6</v>
      </c>
      <c r="I169" s="12" t="s">
        <v>40</v>
      </c>
      <c r="L169" s="20"/>
      <c r="M169" s="20">
        <v>75000</v>
      </c>
      <c r="N169" s="20">
        <f>Rendiciones[[#This Row],[Monto Neto ]]*19%</f>
        <v>0</v>
      </c>
      <c r="O169" s="6">
        <f>+Rendiciones[[#This Row],[Monto Neto ]]+Rendiciones[[#This Row],[Monto Exento ]]+Rendiciones[[#This Row],[Iva]]</f>
        <v>75000</v>
      </c>
      <c r="Q169" s="138"/>
      <c r="R169" s="20"/>
      <c r="S169" s="20">
        <f>Rendiciones[[#This Row],[Total ]]-Rendiciones[[#This Row],[Monto ]]</f>
        <v>75000</v>
      </c>
      <c r="U169" s="72"/>
    </row>
    <row r="170" spans="2:21" x14ac:dyDescent="0.3">
      <c r="B170" s="12" t="s">
        <v>100</v>
      </c>
      <c r="C170" s="12">
        <v>3</v>
      </c>
      <c r="D170" s="138">
        <v>46105</v>
      </c>
      <c r="E170" s="12" t="s">
        <v>517</v>
      </c>
      <c r="F170" s="11" t="str">
        <f>IF(Rendiciones[[#This Row],[Fecha ]]&lt;&gt;"",TEXT(Rendiciones[[#This Row],[Fecha ]],"MMMM"),"")</f>
        <v>marzo</v>
      </c>
      <c r="G170" s="11" t="s">
        <v>428</v>
      </c>
      <c r="H170" s="12" t="s">
        <v>6</v>
      </c>
      <c r="I170" s="12" t="s">
        <v>60</v>
      </c>
      <c r="L170" s="20"/>
      <c r="M170" s="20">
        <v>208804</v>
      </c>
      <c r="N170" s="20">
        <f>Rendiciones[[#This Row],[Monto Neto ]]*19%</f>
        <v>0</v>
      </c>
      <c r="O170" s="6">
        <f>+Rendiciones[[#This Row],[Monto Neto ]]+Rendiciones[[#This Row],[Monto Exento ]]+Rendiciones[[#This Row],[Iva]]</f>
        <v>208804</v>
      </c>
      <c r="Q170" s="138"/>
      <c r="R170" s="20"/>
      <c r="S170" s="20">
        <f>Rendiciones[[#This Row],[Total ]]-Rendiciones[[#This Row],[Monto ]]</f>
        <v>208804</v>
      </c>
      <c r="U170" s="72"/>
    </row>
    <row r="171" spans="2:21" x14ac:dyDescent="0.3">
      <c r="B171" s="12" t="s">
        <v>100</v>
      </c>
      <c r="C171" s="12">
        <v>3</v>
      </c>
      <c r="D171" s="138">
        <v>46105</v>
      </c>
      <c r="E171" s="12" t="s">
        <v>517</v>
      </c>
      <c r="F171" s="11" t="str">
        <f>IF(Rendiciones[[#This Row],[Fecha ]]&lt;&gt;"",TEXT(Rendiciones[[#This Row],[Fecha ]],"MMMM"),"")</f>
        <v>marzo</v>
      </c>
      <c r="G171" s="11" t="s">
        <v>428</v>
      </c>
      <c r="H171" s="12" t="s">
        <v>6</v>
      </c>
      <c r="I171" s="12" t="s">
        <v>60</v>
      </c>
      <c r="L171" s="20"/>
      <c r="M171" s="20">
        <v>54946</v>
      </c>
      <c r="N171" s="20">
        <f>Rendiciones[[#This Row],[Monto Neto ]]*19%</f>
        <v>0</v>
      </c>
      <c r="O171" s="6">
        <f>+Rendiciones[[#This Row],[Monto Neto ]]+Rendiciones[[#This Row],[Monto Exento ]]+Rendiciones[[#This Row],[Iva]]</f>
        <v>54946</v>
      </c>
      <c r="P171" t="s">
        <v>477</v>
      </c>
      <c r="Q171" s="138">
        <v>46119</v>
      </c>
      <c r="R171" s="20">
        <v>790277</v>
      </c>
      <c r="S171" s="20">
        <f>Rendiciones[[#This Row],[Total ]]-Rendiciones[[#This Row],[Monto ]]</f>
        <v>-735331</v>
      </c>
      <c r="U171" s="72"/>
    </row>
    <row r="172" spans="2:21" x14ac:dyDescent="0.3">
      <c r="B172" s="12" t="s">
        <v>519</v>
      </c>
      <c r="C172" s="12">
        <v>3</v>
      </c>
      <c r="D172" s="138">
        <v>46107</v>
      </c>
      <c r="E172" s="12" t="s">
        <v>517</v>
      </c>
      <c r="F172" s="11" t="str">
        <f>IF(Rendiciones[[#This Row],[Fecha ]]&lt;&gt;"",TEXT(Rendiciones[[#This Row],[Fecha ]],"MMMM"),"")</f>
        <v>marzo</v>
      </c>
      <c r="G172" s="11" t="s">
        <v>428</v>
      </c>
      <c r="H172" s="12" t="s">
        <v>6</v>
      </c>
      <c r="I172" s="12" t="s">
        <v>39</v>
      </c>
      <c r="L172" s="20"/>
      <c r="M172" s="20">
        <f>14900+2300+1800</f>
        <v>19000</v>
      </c>
      <c r="N172" s="20">
        <f>Rendiciones[[#This Row],[Monto Neto ]]*19%</f>
        <v>0</v>
      </c>
      <c r="O172" s="6">
        <f>+Rendiciones[[#This Row],[Monto Neto ]]+Rendiciones[[#This Row],[Monto Exento ]]+Rendiciones[[#This Row],[Iva]]</f>
        <v>19000</v>
      </c>
      <c r="Q172" s="138"/>
      <c r="R172" s="20"/>
      <c r="S172" s="20">
        <f>Rendiciones[[#This Row],[Total ]]-Rendiciones[[#This Row],[Monto ]]</f>
        <v>19000</v>
      </c>
      <c r="U172" s="72"/>
    </row>
    <row r="173" spans="2:21" x14ac:dyDescent="0.3">
      <c r="B173" s="12" t="s">
        <v>519</v>
      </c>
      <c r="C173" s="12">
        <v>3</v>
      </c>
      <c r="D173" s="138">
        <v>46121</v>
      </c>
      <c r="E173" s="12" t="s">
        <v>517</v>
      </c>
      <c r="F173" s="11" t="str">
        <f>IF(Rendiciones[[#This Row],[Fecha ]]&lt;&gt;"",TEXT(Rendiciones[[#This Row],[Fecha ]],"MMMM"),"")</f>
        <v>abril</v>
      </c>
      <c r="G173" s="11" t="s">
        <v>428</v>
      </c>
      <c r="H173" s="12" t="s">
        <v>6</v>
      </c>
      <c r="I173" s="12" t="s">
        <v>39</v>
      </c>
      <c r="L173" s="20"/>
      <c r="M173" s="20">
        <f>4400+400+900+4500+2040</f>
        <v>12240</v>
      </c>
      <c r="N173" s="20">
        <f>Rendiciones[[#This Row],[Monto Neto ]]*19%</f>
        <v>0</v>
      </c>
      <c r="O173" s="6">
        <f>+Rendiciones[[#This Row],[Monto Neto ]]+Rendiciones[[#This Row],[Monto Exento ]]+Rendiciones[[#This Row],[Iva]]</f>
        <v>12240</v>
      </c>
      <c r="Q173" s="138"/>
      <c r="R173" s="20"/>
      <c r="S173" s="20">
        <f>Rendiciones[[#This Row],[Total ]]-Rendiciones[[#This Row],[Monto ]]</f>
        <v>12240</v>
      </c>
      <c r="U173" s="72"/>
    </row>
    <row r="174" spans="2:21" x14ac:dyDescent="0.3">
      <c r="B174" s="12" t="s">
        <v>519</v>
      </c>
      <c r="C174" s="12">
        <v>3</v>
      </c>
      <c r="D174" s="138">
        <v>46121</v>
      </c>
      <c r="E174" s="12" t="s">
        <v>517</v>
      </c>
      <c r="F174" s="11" t="str">
        <f>IF(Rendiciones[[#This Row],[Fecha ]]&lt;&gt;"",TEXT(Rendiciones[[#This Row],[Fecha ]],"MMMM"),"")</f>
        <v>abril</v>
      </c>
      <c r="G174" s="11" t="s">
        <v>428</v>
      </c>
      <c r="H174" s="12" t="s">
        <v>6</v>
      </c>
      <c r="I174" s="12" t="s">
        <v>429</v>
      </c>
      <c r="L174" s="20"/>
      <c r="M174" s="20">
        <v>5200</v>
      </c>
      <c r="N174" s="20">
        <f>Rendiciones[[#This Row],[Monto Neto ]]*19%</f>
        <v>0</v>
      </c>
      <c r="O174" s="6">
        <f>+Rendiciones[[#This Row],[Monto Neto ]]+Rendiciones[[#This Row],[Monto Exento ]]+Rendiciones[[#This Row],[Iva]]</f>
        <v>5200</v>
      </c>
      <c r="Q174" s="138"/>
      <c r="R174" s="20"/>
      <c r="S174" s="20">
        <f>Rendiciones[[#This Row],[Total ]]-Rendiciones[[#This Row],[Monto ]]</f>
        <v>5200</v>
      </c>
      <c r="U174" s="72"/>
    </row>
    <row r="175" spans="2:21" x14ac:dyDescent="0.3">
      <c r="B175" s="12" t="s">
        <v>519</v>
      </c>
      <c r="C175" s="12">
        <v>3</v>
      </c>
      <c r="D175" s="138">
        <v>46121</v>
      </c>
      <c r="E175" s="12" t="s">
        <v>517</v>
      </c>
      <c r="F175" s="11" t="str">
        <f>IF(Rendiciones[[#This Row],[Fecha ]]&lt;&gt;"",TEXT(Rendiciones[[#This Row],[Fecha ]],"MMMM"),"")</f>
        <v>abril</v>
      </c>
      <c r="G175" s="11" t="s">
        <v>428</v>
      </c>
      <c r="H175" s="12" t="s">
        <v>6</v>
      </c>
      <c r="I175" s="12" t="s">
        <v>28</v>
      </c>
      <c r="K175" s="1" t="s">
        <v>81</v>
      </c>
      <c r="L175" s="20">
        <v>52850</v>
      </c>
      <c r="M175" s="20">
        <v>16369.5</v>
      </c>
      <c r="N175" s="20">
        <f>Rendiciones[[#This Row],[Monto Neto ]]*19%</f>
        <v>10041.5</v>
      </c>
      <c r="O175" s="6">
        <f>+Rendiciones[[#This Row],[Monto Neto ]]+Rendiciones[[#This Row],[Monto Exento ]]+Rendiciones[[#This Row],[Iva]]</f>
        <v>79261</v>
      </c>
      <c r="Q175" s="138"/>
      <c r="R175" s="20"/>
      <c r="S175" s="20">
        <f>Rendiciones[[#This Row],[Total ]]-Rendiciones[[#This Row],[Monto ]]</f>
        <v>79261</v>
      </c>
      <c r="U175" s="72"/>
    </row>
    <row r="176" spans="2:21" x14ac:dyDescent="0.3">
      <c r="B176" s="12" t="s">
        <v>519</v>
      </c>
      <c r="C176" s="12">
        <v>4</v>
      </c>
      <c r="D176" s="138">
        <v>46126</v>
      </c>
      <c r="E176" s="12" t="s">
        <v>531</v>
      </c>
      <c r="F176" s="11" t="str">
        <f>IF(Rendiciones[[#This Row],[Fecha ]]&lt;&gt;"",TEXT(Rendiciones[[#This Row],[Fecha ]],"MMMM"),"")</f>
        <v>abril</v>
      </c>
      <c r="G176" s="11" t="s">
        <v>428</v>
      </c>
      <c r="H176" s="12" t="s">
        <v>6</v>
      </c>
      <c r="I176" s="12" t="s">
        <v>28</v>
      </c>
      <c r="K176" s="1" t="s">
        <v>81</v>
      </c>
      <c r="L176" s="20">
        <v>19993</v>
      </c>
      <c r="M176" s="20">
        <f>7685-1477</f>
        <v>6208</v>
      </c>
      <c r="N176" s="20">
        <f>Rendiciones[[#This Row],[Monto Neto ]]*19%</f>
        <v>3798.67</v>
      </c>
      <c r="O176" s="6">
        <f>+Rendiciones[[#This Row],[Monto Neto ]]+Rendiciones[[#This Row],[Monto Exento ]]+Rendiciones[[#This Row],[Iva]]</f>
        <v>29999.67</v>
      </c>
      <c r="Q176" s="138"/>
      <c r="R176" s="20"/>
      <c r="S176" s="20">
        <f>Rendiciones[[#This Row],[Total ]]-Rendiciones[[#This Row],[Monto ]]</f>
        <v>29999.67</v>
      </c>
      <c r="U176" s="72"/>
    </row>
    <row r="177" spans="2:21" x14ac:dyDescent="0.3">
      <c r="B177" s="12" t="s">
        <v>519</v>
      </c>
      <c r="C177" s="12">
        <v>4</v>
      </c>
      <c r="D177" s="138">
        <v>46126</v>
      </c>
      <c r="E177" s="12" t="s">
        <v>531</v>
      </c>
      <c r="F177" s="11" t="str">
        <f>IF(Rendiciones[[#This Row],[Fecha ]]&lt;&gt;"",TEXT(Rendiciones[[#This Row],[Fecha ]],"MMMM"),"")</f>
        <v>abril</v>
      </c>
      <c r="G177" s="11" t="s">
        <v>428</v>
      </c>
      <c r="H177" s="12" t="s">
        <v>6</v>
      </c>
      <c r="I177" s="12" t="s">
        <v>28</v>
      </c>
      <c r="K177" s="1" t="s">
        <v>81</v>
      </c>
      <c r="L177" s="20">
        <v>17122</v>
      </c>
      <c r="M177" s="20">
        <v>-375</v>
      </c>
      <c r="N177" s="20">
        <f>Rendiciones[[#This Row],[Monto Neto ]]*19%</f>
        <v>3253.18</v>
      </c>
      <c r="O177" s="6">
        <f>+Rendiciones[[#This Row],[Monto Neto ]]+Rendiciones[[#This Row],[Monto Exento ]]+Rendiciones[[#This Row],[Iva]]</f>
        <v>20000.18</v>
      </c>
      <c r="Q177" s="138"/>
      <c r="R177" s="20"/>
      <c r="S177" s="20">
        <f>Rendiciones[[#This Row],[Total ]]-Rendiciones[[#This Row],[Monto ]]</f>
        <v>20000.18</v>
      </c>
      <c r="U177" s="72"/>
    </row>
    <row r="178" spans="2:21" x14ac:dyDescent="0.3">
      <c r="B178" s="12" t="s">
        <v>519</v>
      </c>
      <c r="C178" s="12">
        <v>4</v>
      </c>
      <c r="D178" s="138">
        <v>46126</v>
      </c>
      <c r="E178" s="12" t="s">
        <v>531</v>
      </c>
      <c r="F178" s="11" t="str">
        <f>IF(Rendiciones[[#This Row],[Fecha ]]&lt;&gt;"",TEXT(Rendiciones[[#This Row],[Fecha ]],"MMMM"),"")</f>
        <v>abril</v>
      </c>
      <c r="G178" s="11" t="s">
        <v>428</v>
      </c>
      <c r="H178" s="12" t="s">
        <v>6</v>
      </c>
      <c r="I178" s="12" t="s">
        <v>39</v>
      </c>
      <c r="L178" s="20"/>
      <c r="M178" s="20">
        <f>6150+1900+1050+9550</f>
        <v>18650</v>
      </c>
      <c r="N178" s="20">
        <f>Rendiciones[[#This Row],[Monto Neto ]]*19%</f>
        <v>0</v>
      </c>
      <c r="O178" s="6">
        <f>+Rendiciones[[#This Row],[Monto Neto ]]+Rendiciones[[#This Row],[Monto Exento ]]+Rendiciones[[#This Row],[Iva]]</f>
        <v>18650</v>
      </c>
      <c r="Q178" s="138"/>
      <c r="R178" s="20"/>
      <c r="S178" s="20">
        <f>Rendiciones[[#This Row],[Total ]]-Rendiciones[[#This Row],[Monto ]]</f>
        <v>18650</v>
      </c>
      <c r="U178" s="72"/>
    </row>
    <row r="179" spans="2:21" x14ac:dyDescent="0.3">
      <c r="B179" s="12" t="s">
        <v>519</v>
      </c>
      <c r="C179" s="12">
        <v>4</v>
      </c>
      <c r="D179" s="138">
        <v>46126</v>
      </c>
      <c r="E179" s="12" t="s">
        <v>531</v>
      </c>
      <c r="F179" s="11" t="str">
        <f>IF(Rendiciones[[#This Row],[Fecha ]]&lt;&gt;"",TEXT(Rendiciones[[#This Row],[Fecha ]],"MMMM"),"")</f>
        <v>abril</v>
      </c>
      <c r="G179" s="11" t="s">
        <v>428</v>
      </c>
      <c r="H179" s="12" t="s">
        <v>6</v>
      </c>
      <c r="I179" s="12" t="s">
        <v>429</v>
      </c>
      <c r="L179" s="20"/>
      <c r="M179" s="20">
        <v>37400</v>
      </c>
      <c r="N179" s="20">
        <f>Rendiciones[[#This Row],[Monto Neto ]]*19%</f>
        <v>0</v>
      </c>
      <c r="O179" s="6">
        <f>+Rendiciones[[#This Row],[Monto Neto ]]+Rendiciones[[#This Row],[Monto Exento ]]+Rendiciones[[#This Row],[Iva]]</f>
        <v>37400</v>
      </c>
      <c r="P179" t="s">
        <v>89</v>
      </c>
      <c r="Q179" s="138">
        <v>46129</v>
      </c>
      <c r="R179" s="20">
        <v>219322</v>
      </c>
      <c r="S179" s="20">
        <f>Rendiciones[[#This Row],[Total ]]-Rendiciones[[#This Row],[Monto ]]</f>
        <v>-181922</v>
      </c>
      <c r="U179" s="72"/>
    </row>
    <row r="180" spans="2:21" x14ac:dyDescent="0.3">
      <c r="B180" s="12" t="s">
        <v>20</v>
      </c>
      <c r="C180" s="12">
        <v>6</v>
      </c>
      <c r="D180" s="138">
        <v>46127</v>
      </c>
      <c r="E180" s="12" t="s">
        <v>532</v>
      </c>
      <c r="F180" s="11" t="str">
        <f>IF(Rendiciones[[#This Row],[Fecha ]]&lt;&gt;"",TEXT(Rendiciones[[#This Row],[Fecha ]],"MMMM"),"")</f>
        <v>abril</v>
      </c>
      <c r="G180" s="11" t="s">
        <v>428</v>
      </c>
      <c r="H180" s="12" t="s">
        <v>9</v>
      </c>
      <c r="I180" s="12" t="s">
        <v>25</v>
      </c>
      <c r="K180" s="1" t="s">
        <v>512</v>
      </c>
      <c r="L180" s="20"/>
      <c r="M180" s="20">
        <v>10000</v>
      </c>
      <c r="N180" s="20">
        <f>Rendiciones[[#This Row],[Monto Neto ]]*19%</f>
        <v>0</v>
      </c>
      <c r="O180" s="6">
        <f>+Rendiciones[[#This Row],[Monto Neto ]]+Rendiciones[[#This Row],[Monto Exento ]]+Rendiciones[[#This Row],[Iva]]</f>
        <v>10000</v>
      </c>
      <c r="P180" t="s">
        <v>89</v>
      </c>
      <c r="Q180" s="138">
        <v>46129</v>
      </c>
      <c r="R180" s="20">
        <v>10000</v>
      </c>
      <c r="S180" s="20">
        <f>Rendiciones[[#This Row],[Total ]]-Rendiciones[[#This Row],[Monto ]]</f>
        <v>0</v>
      </c>
      <c r="U180" s="72"/>
    </row>
    <row r="181" spans="2:21" ht="13.5" customHeight="1" x14ac:dyDescent="0.3">
      <c r="B181" s="12" t="s">
        <v>435</v>
      </c>
      <c r="C181" s="12">
        <v>2</v>
      </c>
      <c r="D181" s="138">
        <v>46126</v>
      </c>
      <c r="E181" s="12" t="s">
        <v>532</v>
      </c>
      <c r="F181" s="11" t="str">
        <f>IF(Rendiciones[[#This Row],[Fecha ]]&lt;&gt;"",TEXT(Rendiciones[[#This Row],[Fecha ]],"MMMM"),"")</f>
        <v>abril</v>
      </c>
      <c r="G181" s="11" t="s">
        <v>428</v>
      </c>
      <c r="H181" s="12" t="s">
        <v>5</v>
      </c>
      <c r="I181" s="12" t="s">
        <v>54</v>
      </c>
      <c r="K181" s="1" t="s">
        <v>81</v>
      </c>
      <c r="L181" s="20">
        <v>132689</v>
      </c>
      <c r="M181" s="20"/>
      <c r="N181" s="20">
        <f>Rendiciones[[#This Row],[Monto Neto ]]*19%</f>
        <v>25210.91</v>
      </c>
      <c r="O181" s="6">
        <f>+Rendiciones[[#This Row],[Monto Neto ]]+Rendiciones[[#This Row],[Monto Exento ]]+Rendiciones[[#This Row],[Iva]]</f>
        <v>157899.91</v>
      </c>
      <c r="P181" t="s">
        <v>89</v>
      </c>
      <c r="Q181" s="138">
        <v>46129</v>
      </c>
      <c r="R181" s="20">
        <v>157899.91</v>
      </c>
      <c r="S181" s="20">
        <f>Rendiciones[[#This Row],[Total ]]-Rendiciones[[#This Row],[Monto ]]</f>
        <v>0</v>
      </c>
      <c r="U181" s="72"/>
    </row>
    <row r="182" spans="2:21" x14ac:dyDescent="0.3">
      <c r="B182" s="12" t="s">
        <v>100</v>
      </c>
      <c r="C182" s="12">
        <v>4</v>
      </c>
      <c r="D182" s="138">
        <v>46126</v>
      </c>
      <c r="E182" s="12" t="s">
        <v>532</v>
      </c>
      <c r="F182" s="11" t="str">
        <f>IF(Rendiciones[[#This Row],[Fecha ]]&lt;&gt;"",TEXT(Rendiciones[[#This Row],[Fecha ]],"MMMM"),"")</f>
        <v>abril</v>
      </c>
      <c r="G182" s="11" t="s">
        <v>428</v>
      </c>
      <c r="H182" s="12" t="s">
        <v>6</v>
      </c>
      <c r="I182" s="12" t="s">
        <v>60</v>
      </c>
      <c r="L182" s="20"/>
      <c r="M182" s="20">
        <f>5000+5000+4500</f>
        <v>14500</v>
      </c>
      <c r="N182" s="20">
        <f>Rendiciones[[#This Row],[Monto Neto ]]*19%</f>
        <v>0</v>
      </c>
      <c r="O182" s="6">
        <f>+Rendiciones[[#This Row],[Monto Neto ]]+Rendiciones[[#This Row],[Monto Exento ]]+Rendiciones[[#This Row],[Iva]]</f>
        <v>14500</v>
      </c>
      <c r="Q182" s="138"/>
      <c r="R182" s="20"/>
      <c r="S182" s="20">
        <f>Rendiciones[[#This Row],[Total ]]-Rendiciones[[#This Row],[Monto ]]</f>
        <v>14500</v>
      </c>
      <c r="U182" s="72"/>
    </row>
    <row r="183" spans="2:21" x14ac:dyDescent="0.3">
      <c r="B183" s="12" t="s">
        <v>100</v>
      </c>
      <c r="C183" s="12">
        <v>4</v>
      </c>
      <c r="D183" s="138">
        <v>46126</v>
      </c>
      <c r="E183" s="12" t="s">
        <v>532</v>
      </c>
      <c r="F183" s="11" t="str">
        <f>IF(Rendiciones[[#This Row],[Fecha ]]&lt;&gt;"",TEXT(Rendiciones[[#This Row],[Fecha ]],"MMMM"),"")</f>
        <v>abril</v>
      </c>
      <c r="G183" s="11" t="s">
        <v>428</v>
      </c>
      <c r="H183" s="12" t="s">
        <v>6</v>
      </c>
      <c r="I183" s="12" t="s">
        <v>31</v>
      </c>
      <c r="L183" s="20"/>
      <c r="M183" s="20">
        <f>9661+3498+3073+5000</f>
        <v>21232</v>
      </c>
      <c r="N183" s="20">
        <f>Rendiciones[[#This Row],[Monto Neto ]]*19%</f>
        <v>0</v>
      </c>
      <c r="O183" s="6">
        <f>+Rendiciones[[#This Row],[Monto Neto ]]+Rendiciones[[#This Row],[Monto Exento ]]+Rendiciones[[#This Row],[Iva]]</f>
        <v>21232</v>
      </c>
      <c r="Q183" s="138"/>
      <c r="R183" s="20"/>
      <c r="S183" s="20">
        <f>Rendiciones[[#This Row],[Total ]]-Rendiciones[[#This Row],[Monto ]]</f>
        <v>21232</v>
      </c>
      <c r="U183" s="72"/>
    </row>
    <row r="184" spans="2:21" x14ac:dyDescent="0.3">
      <c r="B184" s="12" t="s">
        <v>100</v>
      </c>
      <c r="C184" s="12">
        <v>4</v>
      </c>
      <c r="D184" s="138">
        <v>46126</v>
      </c>
      <c r="E184" s="12" t="s">
        <v>532</v>
      </c>
      <c r="F184" s="11" t="str">
        <f>IF(Rendiciones[[#This Row],[Fecha ]]&lt;&gt;"",TEXT(Rendiciones[[#This Row],[Fecha ]],"MMMM"),"")</f>
        <v>abril</v>
      </c>
      <c r="G184" s="11" t="s">
        <v>428</v>
      </c>
      <c r="H184" s="12" t="s">
        <v>6</v>
      </c>
      <c r="I184" s="12" t="s">
        <v>429</v>
      </c>
      <c r="L184" s="20"/>
      <c r="M184" s="20">
        <f>7000+6750</f>
        <v>13750</v>
      </c>
      <c r="N184" s="20">
        <f>Rendiciones[[#This Row],[Monto Neto ]]*19%</f>
        <v>0</v>
      </c>
      <c r="O184" s="6">
        <f>+Rendiciones[[#This Row],[Monto Neto ]]+Rendiciones[[#This Row],[Monto Exento ]]+Rendiciones[[#This Row],[Iva]]</f>
        <v>13750</v>
      </c>
      <c r="Q184" s="138"/>
      <c r="R184" s="20"/>
      <c r="S184" s="20">
        <f>Rendiciones[[#This Row],[Total ]]-Rendiciones[[#This Row],[Monto ]]</f>
        <v>13750</v>
      </c>
      <c r="U184" s="72"/>
    </row>
    <row r="185" spans="2:21" x14ac:dyDescent="0.3">
      <c r="B185" s="12" t="s">
        <v>100</v>
      </c>
      <c r="C185" s="12">
        <v>4</v>
      </c>
      <c r="D185" s="138">
        <v>46126</v>
      </c>
      <c r="E185" s="12" t="s">
        <v>532</v>
      </c>
      <c r="F185" s="11" t="str">
        <f>IF(Rendiciones[[#This Row],[Fecha ]]&lt;&gt;"",TEXT(Rendiciones[[#This Row],[Fecha ]],"MMMM"),"")</f>
        <v>abril</v>
      </c>
      <c r="G185" s="11" t="s">
        <v>428</v>
      </c>
      <c r="H185" s="12" t="s">
        <v>6</v>
      </c>
      <c r="I185" s="12" t="s">
        <v>429</v>
      </c>
      <c r="L185" s="20"/>
      <c r="M185" s="20">
        <v>3100</v>
      </c>
      <c r="N185" s="20">
        <f>Rendiciones[[#This Row],[Monto Neto ]]*19%</f>
        <v>0</v>
      </c>
      <c r="O185" s="6">
        <f>+Rendiciones[[#This Row],[Monto Neto ]]+Rendiciones[[#This Row],[Monto Exento ]]+Rendiciones[[#This Row],[Iva]]</f>
        <v>3100</v>
      </c>
      <c r="P185" t="s">
        <v>89</v>
      </c>
      <c r="Q185" s="138">
        <v>46129</v>
      </c>
      <c r="R185" s="20">
        <v>52582</v>
      </c>
      <c r="S185" s="20">
        <f>Rendiciones[[#This Row],[Total ]]-Rendiciones[[#This Row],[Monto ]]</f>
        <v>-49482</v>
      </c>
      <c r="U185" s="72"/>
    </row>
    <row r="186" spans="2:21" x14ac:dyDescent="0.3">
      <c r="B186" s="12" t="s">
        <v>499</v>
      </c>
      <c r="C186" s="12">
        <v>1</v>
      </c>
      <c r="D186" s="138">
        <v>46128</v>
      </c>
      <c r="E186" s="12" t="s">
        <v>533</v>
      </c>
      <c r="F186" s="11" t="str">
        <f>IF(Rendiciones[[#This Row],[Fecha ]]&lt;&gt;"",TEXT(Rendiciones[[#This Row],[Fecha ]],"MMMM"),"")</f>
        <v>abril</v>
      </c>
      <c r="G186" s="11" t="s">
        <v>428</v>
      </c>
      <c r="H186" s="12" t="s">
        <v>5</v>
      </c>
      <c r="I186" s="12" t="s">
        <v>26</v>
      </c>
      <c r="J186" s="1" t="s">
        <v>534</v>
      </c>
      <c r="K186" s="1" t="s">
        <v>81</v>
      </c>
      <c r="L186" s="20">
        <v>86855</v>
      </c>
      <c r="M186" s="20"/>
      <c r="N186" s="20">
        <f>Rendiciones[[#This Row],[Monto Neto ]]*19%</f>
        <v>16502.45</v>
      </c>
      <c r="O186" s="6">
        <f>+Rendiciones[[#This Row],[Monto Neto ]]+Rendiciones[[#This Row],[Monto Exento ]]+Rendiciones[[#This Row],[Iva]]</f>
        <v>103357.45</v>
      </c>
      <c r="P186" t="s">
        <v>89</v>
      </c>
      <c r="Q186" s="138">
        <v>46128</v>
      </c>
      <c r="R186" s="20">
        <v>103357.45</v>
      </c>
      <c r="S186" s="20">
        <f>Rendiciones[[#This Row],[Total ]]-Rendiciones[[#This Row],[Monto ]]</f>
        <v>0</v>
      </c>
      <c r="U186" s="72"/>
    </row>
    <row r="187" spans="2:21" x14ac:dyDescent="0.3">
      <c r="B187" s="12" t="s">
        <v>16</v>
      </c>
      <c r="C187" s="12">
        <v>5</v>
      </c>
      <c r="D187" s="138">
        <v>46108</v>
      </c>
      <c r="E187" s="12" t="s">
        <v>517</v>
      </c>
      <c r="F187" s="11" t="str">
        <f>IF(Rendiciones[[#This Row],[Fecha ]]&lt;&gt;"",TEXT(Rendiciones[[#This Row],[Fecha ]],"MMMM"),"")</f>
        <v>marzo</v>
      </c>
      <c r="G187" s="11" t="s">
        <v>428</v>
      </c>
      <c r="H187" s="12" t="s">
        <v>5</v>
      </c>
      <c r="I187" s="12" t="s">
        <v>26</v>
      </c>
      <c r="L187" s="20"/>
      <c r="M187" s="20">
        <v>9990</v>
      </c>
      <c r="N187" s="20">
        <f>Rendiciones[[#This Row],[Monto Neto ]]*19%</f>
        <v>0</v>
      </c>
      <c r="O187" s="6">
        <f>+Rendiciones[[#This Row],[Monto Neto ]]+Rendiciones[[#This Row],[Monto Exento ]]+Rendiciones[[#This Row],[Iva]]</f>
        <v>9990</v>
      </c>
      <c r="P187" t="s">
        <v>89</v>
      </c>
      <c r="Q187" s="138">
        <v>46129</v>
      </c>
      <c r="R187" s="20">
        <v>9990</v>
      </c>
      <c r="S187" s="20">
        <f>Rendiciones[[#This Row],[Total ]]-Rendiciones[[#This Row],[Monto ]]</f>
        <v>0</v>
      </c>
      <c r="U187" s="72"/>
    </row>
    <row r="188" spans="2:21" x14ac:dyDescent="0.3">
      <c r="B188" s="12" t="s">
        <v>17</v>
      </c>
      <c r="C188" s="12">
        <v>15</v>
      </c>
      <c r="D188" s="138">
        <v>46119</v>
      </c>
      <c r="E188" s="12" t="s">
        <v>528</v>
      </c>
      <c r="F188" s="11" t="str">
        <f>IF(Rendiciones[[#This Row],[Fecha ]]&lt;&gt;"",TEXT(Rendiciones[[#This Row],[Fecha ]],"MMMM"),"")</f>
        <v>abril</v>
      </c>
      <c r="G188" s="11" t="s">
        <v>428</v>
      </c>
      <c r="H188" s="12" t="s">
        <v>5</v>
      </c>
      <c r="I188" s="12" t="s">
        <v>26</v>
      </c>
      <c r="J188" s="1" t="s">
        <v>535</v>
      </c>
      <c r="K188" s="1" t="s">
        <v>81</v>
      </c>
      <c r="L188" s="20">
        <v>130244</v>
      </c>
      <c r="M188" s="20"/>
      <c r="N188" s="20">
        <f>Rendiciones[[#This Row],[Monto Neto ]]*19%</f>
        <v>24746.36</v>
      </c>
      <c r="O188" s="6">
        <f>+Rendiciones[[#This Row],[Monto Neto ]]+Rendiciones[[#This Row],[Monto Exento ]]+Rendiciones[[#This Row],[Iva]]</f>
        <v>154990.35999999999</v>
      </c>
      <c r="P188" t="s">
        <v>89</v>
      </c>
      <c r="Q188" s="138">
        <v>46120</v>
      </c>
      <c r="R188" s="20">
        <v>154990</v>
      </c>
      <c r="S188" s="20">
        <f>Rendiciones[[#This Row],[Total ]]-Rendiciones[[#This Row],[Monto ]]</f>
        <v>0.35999999998603016</v>
      </c>
      <c r="U188" s="72"/>
    </row>
    <row r="189" spans="2:21" x14ac:dyDescent="0.3">
      <c r="B189" s="12" t="s">
        <v>17</v>
      </c>
      <c r="C189" s="12">
        <v>16</v>
      </c>
      <c r="D189" s="138">
        <v>46126</v>
      </c>
      <c r="E189" s="12" t="s">
        <v>532</v>
      </c>
      <c r="F189" s="11" t="str">
        <f>IF(Rendiciones[[#This Row],[Fecha ]]&lt;&gt;"",TEXT(Rendiciones[[#This Row],[Fecha ]],"MMMM"),"")</f>
        <v>abril</v>
      </c>
      <c r="G189" s="11" t="s">
        <v>428</v>
      </c>
      <c r="H189" s="12" t="s">
        <v>5</v>
      </c>
      <c r="I189" s="12" t="s">
        <v>26</v>
      </c>
      <c r="J189" s="1" t="s">
        <v>536</v>
      </c>
      <c r="L189" s="20"/>
      <c r="M189" s="20">
        <v>78246</v>
      </c>
      <c r="N189" s="20">
        <f>Rendiciones[[#This Row],[Monto Neto ]]*19%</f>
        <v>0</v>
      </c>
      <c r="O189" s="6">
        <f>+Rendiciones[[#This Row],[Monto Neto ]]+Rendiciones[[#This Row],[Monto Exento ]]+Rendiciones[[#This Row],[Iva]]</f>
        <v>78246</v>
      </c>
      <c r="Q189" s="138"/>
      <c r="R189" s="20"/>
      <c r="S189" s="20">
        <f>Rendiciones[[#This Row],[Total ]]-Rendiciones[[#This Row],[Monto ]]</f>
        <v>78246</v>
      </c>
      <c r="U189" s="72"/>
    </row>
    <row r="190" spans="2:21" x14ac:dyDescent="0.3">
      <c r="B190" s="12" t="s">
        <v>17</v>
      </c>
      <c r="C190" s="12">
        <v>16</v>
      </c>
      <c r="D190" s="138">
        <v>46126</v>
      </c>
      <c r="E190" s="12" t="s">
        <v>532</v>
      </c>
      <c r="F190" s="11" t="str">
        <f>IF(Rendiciones[[#This Row],[Fecha ]]&lt;&gt;"",TEXT(Rendiciones[[#This Row],[Fecha ]],"MMMM"),"")</f>
        <v>abril</v>
      </c>
      <c r="G190" s="11" t="s">
        <v>428</v>
      </c>
      <c r="H190" s="12" t="s">
        <v>102</v>
      </c>
      <c r="I190" s="12" t="s">
        <v>98</v>
      </c>
      <c r="L190" s="20"/>
      <c r="M190" s="20">
        <v>70389</v>
      </c>
      <c r="N190" s="20">
        <f>Rendiciones[[#This Row],[Monto Neto ]]*19%</f>
        <v>0</v>
      </c>
      <c r="O190" s="6">
        <f>+Rendiciones[[#This Row],[Monto Neto ]]+Rendiciones[[#This Row],[Monto Exento ]]+Rendiciones[[#This Row],[Iva]]</f>
        <v>70389</v>
      </c>
      <c r="P190" t="s">
        <v>89</v>
      </c>
      <c r="Q190" s="138">
        <v>46126</v>
      </c>
      <c r="R190" s="20">
        <v>148635.35999999999</v>
      </c>
      <c r="S190" s="20">
        <f>Rendiciones[[#This Row],[Total ]]-Rendiciones[[#This Row],[Monto ]]</f>
        <v>-78246.359999999986</v>
      </c>
      <c r="U190" s="72"/>
    </row>
    <row r="191" spans="2:21" x14ac:dyDescent="0.3">
      <c r="B191" s="12" t="s">
        <v>16</v>
      </c>
      <c r="C191" s="12">
        <v>6</v>
      </c>
      <c r="D191" s="138">
        <v>46154</v>
      </c>
      <c r="E191" s="12" t="s">
        <v>544</v>
      </c>
      <c r="F191" s="11" t="str">
        <f>IF(Rendiciones[[#This Row],[Fecha ]]&lt;&gt;"",TEXT(Rendiciones[[#This Row],[Fecha ]],"MMMM"),"")</f>
        <v>mayo</v>
      </c>
      <c r="G191" s="11" t="s">
        <v>428</v>
      </c>
      <c r="H191" s="12" t="s">
        <v>5</v>
      </c>
      <c r="I191" s="12" t="s">
        <v>26</v>
      </c>
      <c r="K191" s="1" t="s">
        <v>81</v>
      </c>
      <c r="L191" s="20">
        <v>18479</v>
      </c>
      <c r="M191" s="20"/>
      <c r="N191" s="20">
        <f>Rendiciones[[#This Row],[Monto Neto ]]*19%</f>
        <v>3511.01</v>
      </c>
      <c r="O191" s="6">
        <f>+Rendiciones[[#This Row],[Monto Neto ]]+Rendiciones[[#This Row],[Monto Exento ]]+Rendiciones[[#This Row],[Iva]]</f>
        <v>21990.010000000002</v>
      </c>
      <c r="Q191" s="138"/>
      <c r="R191" s="20"/>
      <c r="S191" s="20">
        <f>Rendiciones[[#This Row],[Total ]]-Rendiciones[[#This Row],[Monto ]]</f>
        <v>21990.010000000002</v>
      </c>
      <c r="U191" s="72"/>
    </row>
    <row r="192" spans="2:21" ht="13.5" customHeight="1" x14ac:dyDescent="0.3">
      <c r="B192" s="12" t="s">
        <v>519</v>
      </c>
      <c r="C192" s="12">
        <v>5</v>
      </c>
      <c r="D192" s="138">
        <v>46135</v>
      </c>
      <c r="E192" s="12" t="s">
        <v>545</v>
      </c>
      <c r="F192" s="11" t="str">
        <f>IF(Rendiciones[[#This Row],[Fecha ]]&lt;&gt;"",TEXT(Rendiciones[[#This Row],[Fecha ]],"MMMM"),"")</f>
        <v>abril</v>
      </c>
      <c r="G192" s="11" t="s">
        <v>428</v>
      </c>
      <c r="H192" s="12" t="s">
        <v>6</v>
      </c>
      <c r="I192" s="12" t="s">
        <v>39</v>
      </c>
      <c r="L192" s="20"/>
      <c r="M192" s="20">
        <f>2600+14000</f>
        <v>16600</v>
      </c>
      <c r="N192" s="20">
        <f>Rendiciones[[#This Row],[Monto Neto ]]*19%</f>
        <v>0</v>
      </c>
      <c r="O192" s="6">
        <f>+Rendiciones[[#This Row],[Monto Neto ]]+Rendiciones[[#This Row],[Monto Exento ]]+Rendiciones[[#This Row],[Iva]]</f>
        <v>16600</v>
      </c>
      <c r="Q192" s="138"/>
      <c r="R192" s="20"/>
      <c r="S192" s="20">
        <f>Rendiciones[[#This Row],[Total ]]-Rendiciones[[#This Row],[Monto ]]</f>
        <v>16600</v>
      </c>
      <c r="U192" s="72"/>
    </row>
    <row r="193" spans="2:21" ht="13.5" customHeight="1" x14ac:dyDescent="0.3">
      <c r="B193" s="12" t="s">
        <v>519</v>
      </c>
      <c r="C193" s="12">
        <v>5</v>
      </c>
      <c r="D193" s="138">
        <v>46135</v>
      </c>
      <c r="E193" s="12" t="s">
        <v>545</v>
      </c>
      <c r="F193" s="11" t="str">
        <f>IF(Rendiciones[[#This Row],[Fecha ]]&lt;&gt;"",TEXT(Rendiciones[[#This Row],[Fecha ]],"MMMM"),"")</f>
        <v>abril</v>
      </c>
      <c r="G193" s="11" t="s">
        <v>428</v>
      </c>
      <c r="H193" s="12" t="s">
        <v>6</v>
      </c>
      <c r="I193" s="12" t="s">
        <v>28</v>
      </c>
      <c r="K193" s="1" t="s">
        <v>81</v>
      </c>
      <c r="L193" s="20">
        <v>25329</v>
      </c>
      <c r="M193" s="20">
        <f>10341-483</f>
        <v>9858</v>
      </c>
      <c r="N193" s="20">
        <f>Rendiciones[[#This Row],[Monto Neto ]]*19%</f>
        <v>4812.51</v>
      </c>
      <c r="O193" s="6">
        <f>+Rendiciones[[#This Row],[Monto Neto ]]+Rendiciones[[#This Row],[Monto Exento ]]+Rendiciones[[#This Row],[Iva]]</f>
        <v>39999.51</v>
      </c>
      <c r="Q193" s="138"/>
      <c r="R193" s="20"/>
      <c r="S193" s="20">
        <f>Rendiciones[[#This Row],[Total ]]-Rendiciones[[#This Row],[Monto ]]</f>
        <v>39999.51</v>
      </c>
      <c r="U193" s="72"/>
    </row>
    <row r="194" spans="2:21" ht="13.5" customHeight="1" x14ac:dyDescent="0.3">
      <c r="B194" s="12" t="s">
        <v>519</v>
      </c>
      <c r="C194" s="12">
        <v>5</v>
      </c>
      <c r="D194" s="138">
        <v>46135</v>
      </c>
      <c r="E194" s="12" t="s">
        <v>545</v>
      </c>
      <c r="F194" s="11" t="str">
        <f>IF(Rendiciones[[#This Row],[Fecha ]]&lt;&gt;"",TEXT(Rendiciones[[#This Row],[Fecha ]],"MMMM"),"")</f>
        <v>abril</v>
      </c>
      <c r="G194" s="11" t="s">
        <v>428</v>
      </c>
      <c r="H194" s="12" t="s">
        <v>6</v>
      </c>
      <c r="I194" s="12" t="s">
        <v>28</v>
      </c>
      <c r="K194" s="1" t="s">
        <v>81</v>
      </c>
      <c r="L194" s="20">
        <v>38242</v>
      </c>
      <c r="M194" s="20">
        <v>14492</v>
      </c>
      <c r="N194" s="20">
        <f>Rendiciones[[#This Row],[Monto Neto ]]*19%</f>
        <v>7265.9800000000005</v>
      </c>
      <c r="O194" s="6">
        <f>+Rendiciones[[#This Row],[Monto Neto ]]+Rendiciones[[#This Row],[Monto Exento ]]+Rendiciones[[#This Row],[Iva]]</f>
        <v>59999.98</v>
      </c>
      <c r="P194" t="s">
        <v>89</v>
      </c>
      <c r="Q194" s="138">
        <v>46136</v>
      </c>
      <c r="R194" s="20">
        <v>116600</v>
      </c>
      <c r="S194" s="20">
        <f>Rendiciones[[#This Row],[Total ]]-Rendiciones[[#This Row],[Monto ]]</f>
        <v>-56600.02</v>
      </c>
      <c r="U194" s="72"/>
    </row>
    <row r="195" spans="2:21" x14ac:dyDescent="0.3">
      <c r="B195" s="12" t="s">
        <v>519</v>
      </c>
      <c r="D195" s="138">
        <v>46136</v>
      </c>
      <c r="E195" s="12" t="s">
        <v>545</v>
      </c>
      <c r="F195" s="11" t="str">
        <f>IF(Rendiciones[[#This Row],[Fecha ]]&lt;&gt;"",TEXT(Rendiciones[[#This Row],[Fecha ]],"MMMM"),"")</f>
        <v>abril</v>
      </c>
      <c r="G195" s="11"/>
      <c r="L195" s="20"/>
      <c r="M195" s="20"/>
      <c r="N195" s="20">
        <f>Rendiciones[[#This Row],[Monto Neto ]]*19%</f>
        <v>0</v>
      </c>
      <c r="O195" s="6">
        <f>+Rendiciones[[#This Row],[Monto Neto ]]+Rendiciones[[#This Row],[Monto Exento ]]+Rendiciones[[#This Row],[Iva]]</f>
        <v>0</v>
      </c>
      <c r="P195" t="s">
        <v>89</v>
      </c>
      <c r="Q195" s="138">
        <v>46136</v>
      </c>
      <c r="R195" s="20">
        <v>100000</v>
      </c>
      <c r="S195" s="20">
        <f>Rendiciones[[#This Row],[Total ]]-Rendiciones[[#This Row],[Monto ]]</f>
        <v>-100000</v>
      </c>
      <c r="U195" s="72"/>
    </row>
    <row r="196" spans="2:21" x14ac:dyDescent="0.3">
      <c r="B196" s="12" t="s">
        <v>519</v>
      </c>
      <c r="C196" s="12">
        <v>6</v>
      </c>
      <c r="D196" s="138">
        <v>46142</v>
      </c>
      <c r="E196" s="12" t="s">
        <v>546</v>
      </c>
      <c r="F196" s="11" t="str">
        <f>IF(Rendiciones[[#This Row],[Fecha ]]&lt;&gt;"",TEXT(Rendiciones[[#This Row],[Fecha ]],"MMMM"),"")</f>
        <v>abril</v>
      </c>
      <c r="G196" s="11" t="s">
        <v>428</v>
      </c>
      <c r="H196" s="12" t="s">
        <v>6</v>
      </c>
      <c r="I196" s="12" t="s">
        <v>39</v>
      </c>
      <c r="L196" s="20"/>
      <c r="M196" s="20">
        <f>3400+2200+4750+7950+1700+2250</f>
        <v>22250</v>
      </c>
      <c r="N196" s="20">
        <f>Rendiciones[[#This Row],[Monto Neto ]]*19%</f>
        <v>0</v>
      </c>
      <c r="O196" s="6">
        <f>+Rendiciones[[#This Row],[Monto Neto ]]+Rendiciones[[#This Row],[Monto Exento ]]+Rendiciones[[#This Row],[Iva]]</f>
        <v>22250</v>
      </c>
      <c r="Q196" s="138"/>
      <c r="R196" s="20"/>
      <c r="S196" s="20">
        <f>Rendiciones[[#This Row],[Total ]]-Rendiciones[[#This Row],[Monto ]]</f>
        <v>22250</v>
      </c>
      <c r="U196" s="72"/>
    </row>
    <row r="197" spans="2:21" x14ac:dyDescent="0.3">
      <c r="B197" s="12" t="s">
        <v>519</v>
      </c>
      <c r="C197" s="12">
        <v>6</v>
      </c>
      <c r="D197" s="138">
        <v>46142</v>
      </c>
      <c r="E197" s="12" t="s">
        <v>546</v>
      </c>
      <c r="F197" s="11" t="str">
        <f>IF(Rendiciones[[#This Row],[Fecha ]]&lt;&gt;"",TEXT(Rendiciones[[#This Row],[Fecha ]],"MMMM"),"")</f>
        <v>abril</v>
      </c>
      <c r="G197" s="11" t="s">
        <v>428</v>
      </c>
      <c r="H197" s="12" t="s">
        <v>6</v>
      </c>
      <c r="I197" s="12" t="s">
        <v>28</v>
      </c>
      <c r="K197" s="1" t="s">
        <v>81</v>
      </c>
      <c r="L197" s="20">
        <v>15112</v>
      </c>
      <c r="M197" s="20">
        <v>7017</v>
      </c>
      <c r="N197" s="20">
        <f>Rendiciones[[#This Row],[Monto Neto ]]*19%</f>
        <v>2871.28</v>
      </c>
      <c r="O197" s="6">
        <f>+Rendiciones[[#This Row],[Monto Neto ]]+Rendiciones[[#This Row],[Monto Exento ]]+Rendiciones[[#This Row],[Iva]]</f>
        <v>25000.28</v>
      </c>
      <c r="Q197" s="138"/>
      <c r="R197" s="20"/>
      <c r="S197" s="20">
        <f>Rendiciones[[#This Row],[Total ]]-Rendiciones[[#This Row],[Monto ]]</f>
        <v>25000.28</v>
      </c>
      <c r="U197" s="72"/>
    </row>
    <row r="198" spans="2:21" ht="15" customHeight="1" x14ac:dyDescent="0.3">
      <c r="B198" s="12" t="s">
        <v>519</v>
      </c>
      <c r="C198" s="12">
        <v>6</v>
      </c>
      <c r="D198" s="138">
        <v>46142</v>
      </c>
      <c r="E198" s="12" t="s">
        <v>546</v>
      </c>
      <c r="F198" s="11" t="str">
        <f>IF(Rendiciones[[#This Row],[Fecha ]]&lt;&gt;"",TEXT(Rendiciones[[#This Row],[Fecha ]],"MMMM"),"")</f>
        <v>abril</v>
      </c>
      <c r="G198" s="11" t="s">
        <v>428</v>
      </c>
      <c r="H198" s="12" t="s">
        <v>6</v>
      </c>
      <c r="I198" s="12" t="s">
        <v>28</v>
      </c>
      <c r="K198" s="1" t="s">
        <v>81</v>
      </c>
      <c r="L198" s="20">
        <v>36600</v>
      </c>
      <c r="M198" s="20">
        <v>16446</v>
      </c>
      <c r="N198" s="20">
        <f>Rendiciones[[#This Row],[Monto Neto ]]*19%</f>
        <v>6954</v>
      </c>
      <c r="O198" s="6">
        <f>+Rendiciones[[#This Row],[Monto Neto ]]+Rendiciones[[#This Row],[Monto Exento ]]+Rendiciones[[#This Row],[Iva]]</f>
        <v>60000</v>
      </c>
      <c r="Q198" s="138"/>
      <c r="R198" s="20"/>
      <c r="S198" s="20">
        <f>Rendiciones[[#This Row],[Total ]]-Rendiciones[[#This Row],[Monto ]]</f>
        <v>60000</v>
      </c>
      <c r="U198" s="72"/>
    </row>
    <row r="199" spans="2:21" ht="15" customHeight="1" x14ac:dyDescent="0.3">
      <c r="B199" s="12" t="s">
        <v>519</v>
      </c>
      <c r="C199" s="12">
        <v>6</v>
      </c>
      <c r="D199" s="138">
        <v>46142</v>
      </c>
      <c r="E199" s="12" t="s">
        <v>546</v>
      </c>
      <c r="F199" s="11" t="str">
        <f>IF(Rendiciones[[#This Row],[Fecha ]]&lt;&gt;"",TEXT(Rendiciones[[#This Row],[Fecha ]],"MMMM"),"")</f>
        <v>abril</v>
      </c>
      <c r="G199" s="11" t="s">
        <v>428</v>
      </c>
      <c r="H199" s="12" t="s">
        <v>6</v>
      </c>
      <c r="I199" s="12" t="s">
        <v>65</v>
      </c>
      <c r="L199" s="20"/>
      <c r="M199" s="20">
        <v>35400</v>
      </c>
      <c r="N199" s="20">
        <f>Rendiciones[[#This Row],[Monto Neto ]]*19%</f>
        <v>0</v>
      </c>
      <c r="O199" s="6">
        <f>+Rendiciones[[#This Row],[Monto Neto ]]+Rendiciones[[#This Row],[Monto Exento ]]+Rendiciones[[#This Row],[Iva]]</f>
        <v>35400</v>
      </c>
      <c r="Q199" s="138"/>
      <c r="R199" s="20"/>
      <c r="S199" s="20">
        <f>Rendiciones[[#This Row],[Total ]]-Rendiciones[[#This Row],[Monto ]]</f>
        <v>35400</v>
      </c>
      <c r="U199" s="72"/>
    </row>
    <row r="200" spans="2:21" ht="15" customHeight="1" x14ac:dyDescent="0.3">
      <c r="B200" s="12" t="s">
        <v>519</v>
      </c>
      <c r="C200" s="12">
        <v>6</v>
      </c>
      <c r="D200" s="138">
        <v>46142</v>
      </c>
      <c r="E200" s="12" t="s">
        <v>546</v>
      </c>
      <c r="F200" s="11" t="str">
        <f>IF(Rendiciones[[#This Row],[Fecha ]]&lt;&gt;"",TEXT(Rendiciones[[#This Row],[Fecha ]],"MMMM"),"")</f>
        <v>abril</v>
      </c>
      <c r="G200" s="11" t="s">
        <v>428</v>
      </c>
      <c r="H200" s="12" t="s">
        <v>6</v>
      </c>
      <c r="I200" s="12" t="s">
        <v>429</v>
      </c>
      <c r="L200" s="20"/>
      <c r="M200" s="20">
        <v>8590</v>
      </c>
      <c r="N200" s="20">
        <f>Rendiciones[[#This Row],[Monto Neto ]]*19%</f>
        <v>0</v>
      </c>
      <c r="O200" s="6">
        <f>+Rendiciones[[#This Row],[Monto Neto ]]+Rendiciones[[#This Row],[Monto Exento ]]+Rendiciones[[#This Row],[Iva]]</f>
        <v>8590</v>
      </c>
      <c r="Q200" s="138"/>
      <c r="R200" s="20"/>
      <c r="S200" s="20">
        <f>Rendiciones[[#This Row],[Total ]]-Rendiciones[[#This Row],[Monto ]]</f>
        <v>8590</v>
      </c>
      <c r="U200" s="72"/>
    </row>
    <row r="201" spans="2:21" ht="15" customHeight="1" x14ac:dyDescent="0.3">
      <c r="B201" s="12" t="s">
        <v>519</v>
      </c>
      <c r="D201" s="138"/>
      <c r="F201" s="11" t="str">
        <f>IF(Rendiciones[[#This Row],[Fecha ]]&lt;&gt;"",TEXT(Rendiciones[[#This Row],[Fecha ]],"MMMM"),"")</f>
        <v/>
      </c>
      <c r="G201" s="11"/>
      <c r="L201" s="20"/>
      <c r="M201" s="20"/>
      <c r="N201" s="20">
        <f>Rendiciones[[#This Row],[Monto Neto ]]*19%</f>
        <v>0</v>
      </c>
      <c r="O201" s="6">
        <f>+Rendiciones[[#This Row],[Monto Neto ]]+Rendiciones[[#This Row],[Monto Exento ]]+Rendiciones[[#This Row],[Iva]]</f>
        <v>0</v>
      </c>
      <c r="P201" t="s">
        <v>89</v>
      </c>
      <c r="Q201" s="138">
        <v>46147</v>
      </c>
      <c r="R201" s="20">
        <v>510000</v>
      </c>
      <c r="S201" s="20">
        <f>Rendiciones[[#This Row],[Total ]]-Rendiciones[[#This Row],[Monto ]]</f>
        <v>-510000</v>
      </c>
      <c r="U201" s="72"/>
    </row>
    <row r="202" spans="2:21" x14ac:dyDescent="0.3">
      <c r="B202" s="12" t="s">
        <v>519</v>
      </c>
      <c r="C202" s="12">
        <v>7</v>
      </c>
      <c r="D202" s="138">
        <v>46149</v>
      </c>
      <c r="E202" s="12" t="s">
        <v>548</v>
      </c>
      <c r="F202" s="11" t="str">
        <f>IF(Rendiciones[[#This Row],[Fecha ]]&lt;&gt;"",TEXT(Rendiciones[[#This Row],[Fecha ]],"MMMM"),"")</f>
        <v>mayo</v>
      </c>
      <c r="G202" s="11" t="s">
        <v>428</v>
      </c>
      <c r="H202" s="12" t="s">
        <v>8</v>
      </c>
      <c r="I202" s="12" t="s">
        <v>40</v>
      </c>
      <c r="L202" s="20"/>
      <c r="M202" s="20">
        <v>134000</v>
      </c>
      <c r="N202" s="20">
        <f>Rendiciones[[#This Row],[Monto Neto ]]*19%</f>
        <v>0</v>
      </c>
      <c r="O202" s="6">
        <f>+Rendiciones[[#This Row],[Monto Neto ]]+Rendiciones[[#This Row],[Monto Exento ]]+Rendiciones[[#This Row],[Iva]]</f>
        <v>134000</v>
      </c>
      <c r="Q202" s="138"/>
      <c r="R202" s="20"/>
      <c r="S202" s="20">
        <f>Rendiciones[[#This Row],[Total ]]-Rendiciones[[#This Row],[Monto ]]</f>
        <v>134000</v>
      </c>
      <c r="U202" s="72"/>
    </row>
    <row r="203" spans="2:21" x14ac:dyDescent="0.3">
      <c r="B203" s="12" t="s">
        <v>445</v>
      </c>
      <c r="C203" s="12">
        <v>8</v>
      </c>
      <c r="D203" s="138">
        <v>46122</v>
      </c>
      <c r="E203" s="12" t="s">
        <v>528</v>
      </c>
      <c r="F203" s="11" t="str">
        <f>IF(Rendiciones[[#This Row],[Fecha ]]&lt;&gt;"",TEXT(Rendiciones[[#This Row],[Fecha ]],"MMMM"),"")</f>
        <v>abril</v>
      </c>
      <c r="G203" s="11" t="s">
        <v>428</v>
      </c>
      <c r="H203" s="12" t="s">
        <v>9</v>
      </c>
      <c r="I203" s="12" t="s">
        <v>28</v>
      </c>
      <c r="J203" s="1" t="s">
        <v>547</v>
      </c>
      <c r="K203" s="1" t="s">
        <v>81</v>
      </c>
      <c r="L203" s="20">
        <v>19744</v>
      </c>
      <c r="M203" s="20">
        <f>2857-351+500</f>
        <v>3006</v>
      </c>
      <c r="N203" s="20">
        <f>Rendiciones[[#This Row],[Monto Neto ]]*19%</f>
        <v>3751.36</v>
      </c>
      <c r="O203" s="6">
        <f>+Rendiciones[[#This Row],[Monto Neto ]]+Rendiciones[[#This Row],[Monto Exento ]]+Rendiciones[[#This Row],[Iva]]</f>
        <v>26501.360000000001</v>
      </c>
      <c r="Q203" s="138"/>
      <c r="R203" s="20"/>
      <c r="S203" s="20">
        <f>Rendiciones[[#This Row],[Total ]]-Rendiciones[[#This Row],[Monto ]]</f>
        <v>26501.360000000001</v>
      </c>
      <c r="U203" s="72"/>
    </row>
    <row r="204" spans="2:21" ht="13.5" customHeight="1" x14ac:dyDescent="0.3">
      <c r="B204" s="12" t="s">
        <v>445</v>
      </c>
      <c r="C204" s="12">
        <v>8</v>
      </c>
      <c r="D204" s="138">
        <v>46122</v>
      </c>
      <c r="E204" s="12" t="s">
        <v>528</v>
      </c>
      <c r="F204" s="11" t="str">
        <f>IF(Rendiciones[[#This Row],[Fecha ]]&lt;&gt;"",TEXT(Rendiciones[[#This Row],[Fecha ]],"MMMM"),"")</f>
        <v>abril</v>
      </c>
      <c r="G204" s="11" t="s">
        <v>428</v>
      </c>
      <c r="H204" s="12" t="s">
        <v>9</v>
      </c>
      <c r="I204" s="12" t="s">
        <v>28</v>
      </c>
      <c r="J204" s="1" t="s">
        <v>547</v>
      </c>
      <c r="K204" s="1" t="s">
        <v>81</v>
      </c>
      <c r="L204" s="20">
        <v>35492</v>
      </c>
      <c r="M204" s="20">
        <f>-5200+500-27</f>
        <v>-4727</v>
      </c>
      <c r="N204" s="20">
        <f>Rendiciones[[#This Row],[Monto Neto ]]*19%</f>
        <v>6743.4800000000005</v>
      </c>
      <c r="O204" s="6">
        <f>+Rendiciones[[#This Row],[Monto Neto ]]+Rendiciones[[#This Row],[Monto Exento ]]+Rendiciones[[#This Row],[Iva]]</f>
        <v>37508.480000000003</v>
      </c>
      <c r="Q204" s="138"/>
      <c r="R204" s="20"/>
      <c r="S204" s="20">
        <f>Rendiciones[[#This Row],[Total ]]-Rendiciones[[#This Row],[Monto ]]</f>
        <v>37508.480000000003</v>
      </c>
      <c r="U204" s="72"/>
    </row>
    <row r="205" spans="2:21" ht="13.5" customHeight="1" x14ac:dyDescent="0.3">
      <c r="B205" s="12" t="s">
        <v>445</v>
      </c>
      <c r="C205" s="12">
        <v>8</v>
      </c>
      <c r="D205" s="138">
        <v>46122</v>
      </c>
      <c r="E205" s="12" t="s">
        <v>528</v>
      </c>
      <c r="F205" s="11" t="str">
        <f>IF(Rendiciones[[#This Row],[Fecha ]]&lt;&gt;"",TEXT(Rendiciones[[#This Row],[Fecha ]],"MMMM"),"")</f>
        <v>abril</v>
      </c>
      <c r="G205" s="11" t="s">
        <v>428</v>
      </c>
      <c r="H205" s="12" t="s">
        <v>9</v>
      </c>
      <c r="I205" s="12" t="s">
        <v>28</v>
      </c>
      <c r="J205" s="1" t="s">
        <v>547</v>
      </c>
      <c r="K205" s="1" t="s">
        <v>81</v>
      </c>
      <c r="L205" s="20">
        <v>81264</v>
      </c>
      <c r="M205" s="20">
        <f>-23000-3717</f>
        <v>-26717</v>
      </c>
      <c r="N205" s="20">
        <f>Rendiciones[[#This Row],[Monto Neto ]]*19%</f>
        <v>15440.16</v>
      </c>
      <c r="O205" s="6">
        <f>+Rendiciones[[#This Row],[Monto Neto ]]+Rendiciones[[#This Row],[Monto Exento ]]+Rendiciones[[#This Row],[Iva]]</f>
        <v>69987.16</v>
      </c>
      <c r="Q205" s="138"/>
      <c r="R205" s="20"/>
      <c r="S205" s="20">
        <f>Rendiciones[[#This Row],[Total ]]-Rendiciones[[#This Row],[Monto ]]</f>
        <v>69987.16</v>
      </c>
      <c r="U205" s="72"/>
    </row>
    <row r="206" spans="2:21" ht="13.5" customHeight="1" x14ac:dyDescent="0.3">
      <c r="B206" s="12" t="s">
        <v>445</v>
      </c>
      <c r="C206" s="12">
        <v>8</v>
      </c>
      <c r="D206" s="138">
        <v>46122</v>
      </c>
      <c r="E206" s="12" t="s">
        <v>528</v>
      </c>
      <c r="F206" s="11" t="str">
        <f>IF(Rendiciones[[#This Row],[Fecha ]]&lt;&gt;"",TEXT(Rendiciones[[#This Row],[Fecha ]],"MMMM"),"")</f>
        <v>abril</v>
      </c>
      <c r="G206" s="11" t="s">
        <v>428</v>
      </c>
      <c r="H206" s="12" t="s">
        <v>9</v>
      </c>
      <c r="I206" s="12" t="s">
        <v>28</v>
      </c>
      <c r="J206" s="1" t="s">
        <v>547</v>
      </c>
      <c r="K206" s="1" t="s">
        <v>81</v>
      </c>
      <c r="L206" s="20"/>
      <c r="M206" s="20">
        <v>31740</v>
      </c>
      <c r="N206" s="20">
        <f>Rendiciones[[#This Row],[Monto Neto ]]*19%</f>
        <v>0</v>
      </c>
      <c r="O206" s="6">
        <f>+Rendiciones[[#This Row],[Monto Neto ]]+Rendiciones[[#This Row],[Monto Exento ]]+Rendiciones[[#This Row],[Iva]]</f>
        <v>31740</v>
      </c>
      <c r="P206" t="s">
        <v>89</v>
      </c>
      <c r="Q206" s="138">
        <v>46129</v>
      </c>
      <c r="R206" s="20">
        <v>165736</v>
      </c>
      <c r="S206" s="20">
        <f>Rendiciones[[#This Row],[Total ]]-Rendiciones[[#This Row],[Monto ]]</f>
        <v>-133996</v>
      </c>
      <c r="U206" s="72"/>
    </row>
    <row r="207" spans="2:21" x14ac:dyDescent="0.3">
      <c r="B207" s="12" t="s">
        <v>445</v>
      </c>
      <c r="C207" s="12">
        <v>9</v>
      </c>
      <c r="D207" s="138">
        <v>46119</v>
      </c>
      <c r="E207" s="12" t="s">
        <v>528</v>
      </c>
      <c r="F207" s="11" t="str">
        <f>IF(Rendiciones[[#This Row],[Fecha ]]&lt;&gt;"",TEXT(Rendiciones[[#This Row],[Fecha ]],"MMMM"),"")</f>
        <v>abril</v>
      </c>
      <c r="G207" s="11" t="s">
        <v>428</v>
      </c>
      <c r="H207" s="12" t="s">
        <v>6</v>
      </c>
      <c r="I207" s="12" t="s">
        <v>57</v>
      </c>
      <c r="K207" s="1" t="s">
        <v>81</v>
      </c>
      <c r="L207" s="20">
        <v>15126</v>
      </c>
      <c r="M207" s="20"/>
      <c r="N207" s="20">
        <f>Rendiciones[[#This Row],[Monto Neto ]]*19%</f>
        <v>2873.94</v>
      </c>
      <c r="O207" s="6">
        <f>+Rendiciones[[#This Row],[Monto Neto ]]+Rendiciones[[#This Row],[Monto Exento ]]+Rendiciones[[#This Row],[Iva]]</f>
        <v>17999.939999999999</v>
      </c>
      <c r="Q207" s="138"/>
      <c r="R207" s="20"/>
      <c r="S207" s="20">
        <f>Rendiciones[[#This Row],[Total ]]-Rendiciones[[#This Row],[Monto ]]</f>
        <v>17999.939999999999</v>
      </c>
      <c r="U207" s="72"/>
    </row>
    <row r="208" spans="2:21" x14ac:dyDescent="0.3">
      <c r="B208" s="12" t="s">
        <v>445</v>
      </c>
      <c r="C208" s="12">
        <v>9</v>
      </c>
      <c r="D208" s="138">
        <v>46119</v>
      </c>
      <c r="E208" s="12" t="s">
        <v>528</v>
      </c>
      <c r="F208" s="11" t="str">
        <f>IF(Rendiciones[[#This Row],[Fecha ]]&lt;&gt;"",TEXT(Rendiciones[[#This Row],[Fecha ]],"MMMM"),"")</f>
        <v>abril</v>
      </c>
      <c r="G208" s="11" t="s">
        <v>428</v>
      </c>
      <c r="H208" s="12" t="s">
        <v>6</v>
      </c>
      <c r="I208" s="12" t="s">
        <v>57</v>
      </c>
      <c r="K208" s="1" t="s">
        <v>81</v>
      </c>
      <c r="L208" s="20">
        <v>15126</v>
      </c>
      <c r="M208" s="20"/>
      <c r="N208" s="20">
        <f>Rendiciones[[#This Row],[Monto Neto ]]*19%</f>
        <v>2873.94</v>
      </c>
      <c r="O208" s="6">
        <f>+Rendiciones[[#This Row],[Monto Neto ]]+Rendiciones[[#This Row],[Monto Exento ]]+Rendiciones[[#This Row],[Iva]]</f>
        <v>17999.939999999999</v>
      </c>
      <c r="Q208" s="138"/>
      <c r="R208" s="20"/>
      <c r="S208" s="20">
        <f>Rendiciones[[#This Row],[Total ]]-Rendiciones[[#This Row],[Monto ]]</f>
        <v>17999.939999999999</v>
      </c>
      <c r="U208" s="72"/>
    </row>
    <row r="209" spans="2:21" x14ac:dyDescent="0.3">
      <c r="B209" s="12" t="s">
        <v>445</v>
      </c>
      <c r="C209" s="12">
        <v>9</v>
      </c>
      <c r="D209" s="138">
        <v>46119</v>
      </c>
      <c r="E209" s="12" t="s">
        <v>528</v>
      </c>
      <c r="F209" s="11" t="str">
        <f>IF(Rendiciones[[#This Row],[Fecha ]]&lt;&gt;"",TEXT(Rendiciones[[#This Row],[Fecha ]],"MMMM"),"")</f>
        <v>abril</v>
      </c>
      <c r="G209" s="11" t="s">
        <v>428</v>
      </c>
      <c r="H209" s="12" t="s">
        <v>6</v>
      </c>
      <c r="I209" s="12" t="s">
        <v>28</v>
      </c>
      <c r="K209" s="1" t="s">
        <v>81</v>
      </c>
      <c r="L209" s="20">
        <v>12389</v>
      </c>
      <c r="M209" s="20">
        <f>-773+1030</f>
        <v>257</v>
      </c>
      <c r="N209" s="20">
        <f>Rendiciones[[#This Row],[Monto Neto ]]*19%</f>
        <v>2353.91</v>
      </c>
      <c r="O209" s="6">
        <f>+Rendiciones[[#This Row],[Monto Neto ]]+Rendiciones[[#This Row],[Monto Exento ]]+Rendiciones[[#This Row],[Iva]]</f>
        <v>14999.91</v>
      </c>
      <c r="Q209" s="138"/>
      <c r="R209" s="20"/>
      <c r="S209" s="20">
        <f>Rendiciones[[#This Row],[Total ]]-Rendiciones[[#This Row],[Monto ]]</f>
        <v>14999.91</v>
      </c>
      <c r="U209" s="72"/>
    </row>
    <row r="210" spans="2:21" x14ac:dyDescent="0.3">
      <c r="B210" s="12" t="s">
        <v>445</v>
      </c>
      <c r="C210" s="12">
        <v>9</v>
      </c>
      <c r="D210" s="138">
        <v>46119</v>
      </c>
      <c r="E210" s="12" t="s">
        <v>528</v>
      </c>
      <c r="F210" s="11" t="str">
        <f>IF(Rendiciones[[#This Row],[Fecha ]]&lt;&gt;"",TEXT(Rendiciones[[#This Row],[Fecha ]],"MMMM"),"")</f>
        <v>abril</v>
      </c>
      <c r="G210" s="11" t="s">
        <v>428</v>
      </c>
      <c r="H210" s="12" t="s">
        <v>6</v>
      </c>
      <c r="I210" s="12" t="s">
        <v>28</v>
      </c>
      <c r="K210" s="1" t="s">
        <v>81</v>
      </c>
      <c r="L210" s="20">
        <v>16522</v>
      </c>
      <c r="M210" s="20">
        <f>1363-1024</f>
        <v>339</v>
      </c>
      <c r="N210" s="20">
        <f>Rendiciones[[#This Row],[Monto Neto ]]*19%</f>
        <v>3139.18</v>
      </c>
      <c r="O210" s="6">
        <f>+Rendiciones[[#This Row],[Monto Neto ]]+Rendiciones[[#This Row],[Monto Exento ]]+Rendiciones[[#This Row],[Iva]]</f>
        <v>20000.18</v>
      </c>
      <c r="Q210" s="138"/>
      <c r="R210" s="20"/>
      <c r="S210" s="20">
        <f>Rendiciones[[#This Row],[Total ]]-Rendiciones[[#This Row],[Monto ]]</f>
        <v>20000.18</v>
      </c>
      <c r="U210" s="72"/>
    </row>
    <row r="211" spans="2:21" x14ac:dyDescent="0.3">
      <c r="B211" s="12" t="s">
        <v>445</v>
      </c>
      <c r="C211" s="12">
        <v>9</v>
      </c>
      <c r="D211" s="138">
        <v>46119</v>
      </c>
      <c r="E211" s="12" t="s">
        <v>528</v>
      </c>
      <c r="F211" s="11" t="str">
        <f>IF(Rendiciones[[#This Row],[Fecha ]]&lt;&gt;"",TEXT(Rendiciones[[#This Row],[Fecha ]],"MMMM"),"")</f>
        <v>abril</v>
      </c>
      <c r="G211" s="11" t="s">
        <v>428</v>
      </c>
      <c r="H211" s="12" t="s">
        <v>6</v>
      </c>
      <c r="I211" s="12" t="s">
        <v>39</v>
      </c>
      <c r="L211" s="20"/>
      <c r="M211" s="20">
        <f>1400+800+950+2009</f>
        <v>5159</v>
      </c>
      <c r="N211" s="20">
        <f>Rendiciones[[#This Row],[Monto Neto ]]*19%</f>
        <v>0</v>
      </c>
      <c r="O211" s="6">
        <f>+Rendiciones[[#This Row],[Monto Neto ]]+Rendiciones[[#This Row],[Monto Exento ]]+Rendiciones[[#This Row],[Iva]]</f>
        <v>5159</v>
      </c>
      <c r="Q211" s="138"/>
      <c r="R211" s="20"/>
      <c r="S211" s="20">
        <f>Rendiciones[[#This Row],[Total ]]-Rendiciones[[#This Row],[Monto ]]</f>
        <v>5159</v>
      </c>
      <c r="U211" s="72"/>
    </row>
    <row r="212" spans="2:21" ht="14.5" customHeight="1" x14ac:dyDescent="0.3">
      <c r="B212" s="12" t="s">
        <v>445</v>
      </c>
      <c r="C212" s="12">
        <v>9</v>
      </c>
      <c r="D212" s="138">
        <v>46119</v>
      </c>
      <c r="E212" s="12" t="s">
        <v>528</v>
      </c>
      <c r="F212" s="11" t="str">
        <f>IF(Rendiciones[[#This Row],[Fecha ]]&lt;&gt;"",TEXT(Rendiciones[[#This Row],[Fecha ]],"MMMM"),"")</f>
        <v>abril</v>
      </c>
      <c r="G212" s="11" t="s">
        <v>428</v>
      </c>
      <c r="H212" s="12" t="s">
        <v>6</v>
      </c>
      <c r="I212" s="12" t="s">
        <v>429</v>
      </c>
      <c r="L212" s="20"/>
      <c r="M212" s="20">
        <f>5200+6600</f>
        <v>11800</v>
      </c>
      <c r="N212" s="20">
        <f>Rendiciones[[#This Row],[Monto Neto ]]*19%</f>
        <v>0</v>
      </c>
      <c r="O212" s="6">
        <f>+Rendiciones[[#This Row],[Monto Neto ]]+Rendiciones[[#This Row],[Monto Exento ]]+Rendiciones[[#This Row],[Iva]]</f>
        <v>11800</v>
      </c>
      <c r="Q212" s="138"/>
      <c r="R212" s="20"/>
      <c r="S212" s="20">
        <f>Rendiciones[[#This Row],[Total ]]-Rendiciones[[#This Row],[Monto ]]</f>
        <v>11800</v>
      </c>
      <c r="U212" s="72"/>
    </row>
    <row r="213" spans="2:21" ht="14.5" customHeight="1" x14ac:dyDescent="0.3">
      <c r="B213" s="12" t="s">
        <v>445</v>
      </c>
      <c r="C213" s="12">
        <v>9</v>
      </c>
      <c r="D213" s="138">
        <v>46119</v>
      </c>
      <c r="E213" s="12" t="s">
        <v>528</v>
      </c>
      <c r="F213" s="11" t="str">
        <f>IF(Rendiciones[[#This Row],[Fecha ]]&lt;&gt;"",TEXT(Rendiciones[[#This Row],[Fecha ]],"MMMM"),"")</f>
        <v>abril</v>
      </c>
      <c r="G213" s="11" t="s">
        <v>428</v>
      </c>
      <c r="H213" s="12" t="s">
        <v>5</v>
      </c>
      <c r="I213" s="12" t="s">
        <v>52</v>
      </c>
      <c r="L213" s="20"/>
      <c r="M213" s="20">
        <f>15481+13261</f>
        <v>28742</v>
      </c>
      <c r="N213" s="20">
        <f>Rendiciones[[#This Row],[Monto Neto ]]*19%</f>
        <v>0</v>
      </c>
      <c r="O213" s="6">
        <f>+Rendiciones[[#This Row],[Monto Neto ]]+Rendiciones[[#This Row],[Monto Exento ]]+Rendiciones[[#This Row],[Iva]]</f>
        <v>28742</v>
      </c>
      <c r="P213" t="s">
        <v>89</v>
      </c>
      <c r="Q213" s="138">
        <v>46120</v>
      </c>
      <c r="R213" s="20">
        <v>116701.97</v>
      </c>
      <c r="S213" s="20">
        <f>Rendiciones[[#This Row],[Total ]]-Rendiciones[[#This Row],[Monto ]]</f>
        <v>-87959.97</v>
      </c>
      <c r="U213" s="72"/>
    </row>
    <row r="214" spans="2:21" ht="14.5" customHeight="1" x14ac:dyDescent="0.3">
      <c r="B214" s="12" t="s">
        <v>445</v>
      </c>
      <c r="C214" s="12">
        <v>10</v>
      </c>
      <c r="D214" s="138">
        <v>46126</v>
      </c>
      <c r="E214" s="12" t="s">
        <v>532</v>
      </c>
      <c r="F214" s="11" t="str">
        <f>IF(Rendiciones[[#This Row],[Fecha ]]&lt;&gt;"",TEXT(Rendiciones[[#This Row],[Fecha ]],"MMMM"),"")</f>
        <v>abril</v>
      </c>
      <c r="G214" s="11" t="s">
        <v>428</v>
      </c>
      <c r="H214" s="12" t="s">
        <v>6</v>
      </c>
      <c r="I214" s="12" t="s">
        <v>28</v>
      </c>
      <c r="K214" s="1" t="s">
        <v>81</v>
      </c>
      <c r="L214" s="20">
        <v>25682</v>
      </c>
      <c r="M214" s="20">
        <v>-562</v>
      </c>
      <c r="N214" s="20">
        <f>Rendiciones[[#This Row],[Monto Neto ]]*19%</f>
        <v>4879.58</v>
      </c>
      <c r="O214" s="6">
        <f>+Rendiciones[[#This Row],[Monto Neto ]]+Rendiciones[[#This Row],[Monto Exento ]]+Rendiciones[[#This Row],[Iva]]</f>
        <v>29999.58</v>
      </c>
      <c r="Q214" s="138"/>
      <c r="R214" s="20"/>
      <c r="S214" s="20">
        <f>Rendiciones[[#This Row],[Total ]]-Rendiciones[[#This Row],[Monto ]]</f>
        <v>29999.58</v>
      </c>
      <c r="U214" s="72"/>
    </row>
    <row r="215" spans="2:21" ht="14.5" customHeight="1" x14ac:dyDescent="0.3">
      <c r="B215" s="12" t="s">
        <v>445</v>
      </c>
      <c r="C215" s="12">
        <v>10</v>
      </c>
      <c r="D215" s="138">
        <v>46126</v>
      </c>
      <c r="E215" s="12" t="s">
        <v>532</v>
      </c>
      <c r="F215" s="11" t="str">
        <f>IF(Rendiciones[[#This Row],[Fecha ]]&lt;&gt;"",TEXT(Rendiciones[[#This Row],[Fecha ]],"MMMM"),"")</f>
        <v>abril</v>
      </c>
      <c r="G215" s="11" t="s">
        <v>428</v>
      </c>
      <c r="H215" s="12" t="s">
        <v>6</v>
      </c>
      <c r="I215" s="12" t="s">
        <v>28</v>
      </c>
      <c r="K215" s="1" t="s">
        <v>81</v>
      </c>
      <c r="L215" s="20">
        <v>42797</v>
      </c>
      <c r="M215" s="20">
        <v>-928</v>
      </c>
      <c r="N215" s="20">
        <f>Rendiciones[[#This Row],[Monto Neto ]]*19%</f>
        <v>8131.43</v>
      </c>
      <c r="O215" s="6">
        <f>+Rendiciones[[#This Row],[Monto Neto ]]+Rendiciones[[#This Row],[Monto Exento ]]+Rendiciones[[#This Row],[Iva]]</f>
        <v>50000.43</v>
      </c>
      <c r="Q215" s="138"/>
      <c r="R215" s="20"/>
      <c r="S215" s="20">
        <f>Rendiciones[[#This Row],[Total ]]-Rendiciones[[#This Row],[Monto ]]</f>
        <v>50000.43</v>
      </c>
      <c r="U215" s="72"/>
    </row>
    <row r="216" spans="2:21" ht="14.5" customHeight="1" x14ac:dyDescent="0.3">
      <c r="B216" s="12" t="s">
        <v>445</v>
      </c>
      <c r="C216" s="12">
        <v>10</v>
      </c>
      <c r="D216" s="138">
        <v>46126</v>
      </c>
      <c r="E216" s="12" t="s">
        <v>532</v>
      </c>
      <c r="F216" s="11" t="str">
        <f>IF(Rendiciones[[#This Row],[Fecha ]]&lt;&gt;"",TEXT(Rendiciones[[#This Row],[Fecha ]],"MMMM"),"")</f>
        <v>abril</v>
      </c>
      <c r="G216" s="11" t="s">
        <v>428</v>
      </c>
      <c r="H216" s="12" t="s">
        <v>6</v>
      </c>
      <c r="I216" s="12" t="s">
        <v>429</v>
      </c>
      <c r="L216" s="20"/>
      <c r="M216" s="20">
        <f>6000+7400+7000</f>
        <v>20400</v>
      </c>
      <c r="N216" s="20">
        <f>Rendiciones[[#This Row],[Monto Neto ]]*19%</f>
        <v>0</v>
      </c>
      <c r="O216" s="6">
        <f>+Rendiciones[[#This Row],[Monto Neto ]]+Rendiciones[[#This Row],[Monto Exento ]]+Rendiciones[[#This Row],[Iva]]</f>
        <v>20400</v>
      </c>
      <c r="Q216" s="138"/>
      <c r="R216" s="20"/>
      <c r="S216" s="20">
        <f>Rendiciones[[#This Row],[Total ]]-Rendiciones[[#This Row],[Monto ]]</f>
        <v>20400</v>
      </c>
      <c r="U216" s="72"/>
    </row>
    <row r="217" spans="2:21" ht="14.5" customHeight="1" x14ac:dyDescent="0.3">
      <c r="B217" s="12" t="s">
        <v>445</v>
      </c>
      <c r="C217" s="12">
        <v>10</v>
      </c>
      <c r="D217" s="138">
        <v>46126</v>
      </c>
      <c r="E217" s="12" t="s">
        <v>532</v>
      </c>
      <c r="F217" s="11" t="str">
        <f>IF(Rendiciones[[#This Row],[Fecha ]]&lt;&gt;"",TEXT(Rendiciones[[#This Row],[Fecha ]],"MMMM"),"")</f>
        <v>abril</v>
      </c>
      <c r="G217" s="11" t="s">
        <v>428</v>
      </c>
      <c r="H217" s="12" t="s">
        <v>6</v>
      </c>
      <c r="I217" s="12" t="s">
        <v>39</v>
      </c>
      <c r="L217" s="20"/>
      <c r="M217" s="20">
        <f>3800+1250+1400</f>
        <v>6450</v>
      </c>
      <c r="N217" s="20">
        <f>Rendiciones[[#This Row],[Monto Neto ]]*19%</f>
        <v>0</v>
      </c>
      <c r="O217" s="6">
        <f>+Rendiciones[[#This Row],[Monto Neto ]]+Rendiciones[[#This Row],[Monto Exento ]]+Rendiciones[[#This Row],[Iva]]</f>
        <v>6450</v>
      </c>
      <c r="Q217" s="138"/>
      <c r="R217" s="20"/>
      <c r="S217" s="20">
        <f>Rendiciones[[#This Row],[Total ]]-Rendiciones[[#This Row],[Monto ]]</f>
        <v>6450</v>
      </c>
      <c r="U217" s="72"/>
    </row>
    <row r="218" spans="2:21" ht="14.5" customHeight="1" x14ac:dyDescent="0.3">
      <c r="B218" s="12" t="s">
        <v>445</v>
      </c>
      <c r="C218" s="12">
        <v>10</v>
      </c>
      <c r="D218" s="138">
        <v>46126</v>
      </c>
      <c r="E218" s="12" t="s">
        <v>532</v>
      </c>
      <c r="F218" s="11" t="str">
        <f>IF(Rendiciones[[#This Row],[Fecha ]]&lt;&gt;"",TEXT(Rendiciones[[#This Row],[Fecha ]],"MMMM"),"")</f>
        <v>abril</v>
      </c>
      <c r="G218" s="11" t="s">
        <v>428</v>
      </c>
      <c r="H218" s="12" t="s">
        <v>5</v>
      </c>
      <c r="I218" s="12" t="s">
        <v>52</v>
      </c>
      <c r="L218" s="20"/>
      <c r="M218" s="20">
        <v>12171</v>
      </c>
      <c r="N218" s="20">
        <f>Rendiciones[[#This Row],[Monto Neto ]]*19%</f>
        <v>0</v>
      </c>
      <c r="O218" s="6">
        <f>+Rendiciones[[#This Row],[Monto Neto ]]+Rendiciones[[#This Row],[Monto Exento ]]+Rendiciones[[#This Row],[Iva]]</f>
        <v>12171</v>
      </c>
      <c r="P218" t="s">
        <v>89</v>
      </c>
      <c r="Q218" s="138">
        <v>46129</v>
      </c>
      <c r="R218" s="20">
        <v>119021.01</v>
      </c>
      <c r="S218" s="20">
        <f>Rendiciones[[#This Row],[Total ]]-Rendiciones[[#This Row],[Monto ]]</f>
        <v>-106850.01</v>
      </c>
      <c r="U218" s="72"/>
    </row>
    <row r="219" spans="2:21" ht="14.5" customHeight="1" x14ac:dyDescent="0.3">
      <c r="B219" s="12" t="s">
        <v>445</v>
      </c>
      <c r="C219" s="12">
        <v>11</v>
      </c>
      <c r="D219" s="138">
        <v>46135</v>
      </c>
      <c r="E219" s="12" t="s">
        <v>545</v>
      </c>
      <c r="F219" s="11" t="str">
        <f>IF(Rendiciones[[#This Row],[Fecha ]]&lt;&gt;"",TEXT(Rendiciones[[#This Row],[Fecha ]],"MMMM"),"")</f>
        <v>abril</v>
      </c>
      <c r="G219" s="11" t="s">
        <v>428</v>
      </c>
      <c r="H219" s="12" t="s">
        <v>6</v>
      </c>
      <c r="I219" s="12" t="s">
        <v>28</v>
      </c>
      <c r="K219" s="1" t="s">
        <v>81</v>
      </c>
      <c r="L219" s="20">
        <v>24420</v>
      </c>
      <c r="M219" s="20">
        <f>1961-1021</f>
        <v>940</v>
      </c>
      <c r="N219" s="20">
        <f>Rendiciones[[#This Row],[Monto Neto ]]*19%</f>
        <v>4639.8</v>
      </c>
      <c r="O219" s="6">
        <f>+Rendiciones[[#This Row],[Monto Neto ]]+Rendiciones[[#This Row],[Monto Exento ]]+Rendiciones[[#This Row],[Iva]]</f>
        <v>29999.8</v>
      </c>
      <c r="Q219" s="138"/>
      <c r="R219" s="20"/>
      <c r="S219" s="20">
        <f>Rendiciones[[#This Row],[Total ]]-Rendiciones[[#This Row],[Monto ]]</f>
        <v>29999.8</v>
      </c>
      <c r="U219" s="72"/>
    </row>
    <row r="220" spans="2:21" ht="14.5" customHeight="1" x14ac:dyDescent="0.3">
      <c r="B220" s="12" t="s">
        <v>445</v>
      </c>
      <c r="C220" s="12">
        <v>11</v>
      </c>
      <c r="D220" s="138">
        <v>46135</v>
      </c>
      <c r="E220" s="12" t="s">
        <v>545</v>
      </c>
      <c r="F220" s="11" t="str">
        <f>IF(Rendiciones[[#This Row],[Fecha ]]&lt;&gt;"",TEXT(Rendiciones[[#This Row],[Fecha ]],"MMMM"),"")</f>
        <v>abril</v>
      </c>
      <c r="G220" s="11" t="s">
        <v>428</v>
      </c>
      <c r="H220" s="12" t="s">
        <v>6</v>
      </c>
      <c r="I220" s="12" t="s">
        <v>28</v>
      </c>
      <c r="K220" s="1" t="s">
        <v>81</v>
      </c>
      <c r="L220" s="20">
        <v>8135</v>
      </c>
      <c r="M220" s="20">
        <f>666-347</f>
        <v>319</v>
      </c>
      <c r="N220" s="20">
        <f>Rendiciones[[#This Row],[Monto Neto ]]*19%</f>
        <v>1545.65</v>
      </c>
      <c r="O220" s="6">
        <f>+Rendiciones[[#This Row],[Monto Neto ]]+Rendiciones[[#This Row],[Monto Exento ]]+Rendiciones[[#This Row],[Iva]]</f>
        <v>9999.65</v>
      </c>
      <c r="Q220" s="138"/>
      <c r="R220" s="20"/>
      <c r="S220" s="20">
        <f>Rendiciones[[#This Row],[Total ]]-Rendiciones[[#This Row],[Monto ]]</f>
        <v>9999.65</v>
      </c>
      <c r="U220" s="72"/>
    </row>
    <row r="221" spans="2:21" ht="14.5" customHeight="1" x14ac:dyDescent="0.3">
      <c r="B221" s="12" t="s">
        <v>445</v>
      </c>
      <c r="C221" s="12">
        <v>11</v>
      </c>
      <c r="D221" s="138">
        <v>46135</v>
      </c>
      <c r="E221" s="12" t="s">
        <v>545</v>
      </c>
      <c r="F221" s="11" t="str">
        <f>IF(Rendiciones[[#This Row],[Fecha ]]&lt;&gt;"",TEXT(Rendiciones[[#This Row],[Fecha ]],"MMMM"),"")</f>
        <v>abril</v>
      </c>
      <c r="G221" s="11" t="s">
        <v>428</v>
      </c>
      <c r="H221" s="12" t="s">
        <v>6</v>
      </c>
      <c r="I221" s="12" t="s">
        <v>28</v>
      </c>
      <c r="K221" s="1" t="s">
        <v>81</v>
      </c>
      <c r="L221" s="20">
        <v>22686</v>
      </c>
      <c r="M221" s="20">
        <f>2012+992.2</f>
        <v>3004.2</v>
      </c>
      <c r="N221" s="20">
        <f>Rendiciones[[#This Row],[Monto Neto ]]*19%</f>
        <v>4310.34</v>
      </c>
      <c r="O221" s="6">
        <f>+Rendiciones[[#This Row],[Monto Neto ]]+Rendiciones[[#This Row],[Monto Exento ]]+Rendiciones[[#This Row],[Iva]]</f>
        <v>30000.54</v>
      </c>
      <c r="Q221" s="138"/>
      <c r="R221" s="20"/>
      <c r="S221" s="20">
        <f>Rendiciones[[#This Row],[Total ]]-Rendiciones[[#This Row],[Monto ]]</f>
        <v>30000.54</v>
      </c>
      <c r="U221" s="72"/>
    </row>
    <row r="222" spans="2:21" ht="14.5" customHeight="1" x14ac:dyDescent="0.3">
      <c r="B222" s="12" t="s">
        <v>445</v>
      </c>
      <c r="C222" s="12">
        <v>11</v>
      </c>
      <c r="D222" s="138">
        <v>46135</v>
      </c>
      <c r="E222" s="12" t="s">
        <v>545</v>
      </c>
      <c r="F222" s="11" t="str">
        <f>IF(Rendiciones[[#This Row],[Fecha ]]&lt;&gt;"",TEXT(Rendiciones[[#This Row],[Fecha ]],"MMMM"),"")</f>
        <v>abril</v>
      </c>
      <c r="G222" s="11" t="s">
        <v>428</v>
      </c>
      <c r="H222" s="12" t="s">
        <v>5</v>
      </c>
      <c r="I222" s="12" t="s">
        <v>52</v>
      </c>
      <c r="K222" s="1" t="s">
        <v>81</v>
      </c>
      <c r="L222" s="20">
        <v>5277</v>
      </c>
      <c r="M222" s="20"/>
      <c r="N222" s="20">
        <f>Rendiciones[[#This Row],[Monto Neto ]]*19%</f>
        <v>1002.63</v>
      </c>
      <c r="O222" s="6">
        <f>+Rendiciones[[#This Row],[Monto Neto ]]+Rendiciones[[#This Row],[Monto Exento ]]+Rendiciones[[#This Row],[Iva]]</f>
        <v>6279.63</v>
      </c>
      <c r="Q222" s="138"/>
      <c r="R222" s="20"/>
      <c r="S222" s="20">
        <f>Rendiciones[[#This Row],[Total ]]-Rendiciones[[#This Row],[Monto ]]</f>
        <v>6279.63</v>
      </c>
      <c r="U222" s="72"/>
    </row>
    <row r="223" spans="2:21" ht="14.5" customHeight="1" x14ac:dyDescent="0.3">
      <c r="B223" s="12" t="s">
        <v>445</v>
      </c>
      <c r="C223" s="12">
        <v>11</v>
      </c>
      <c r="D223" s="138">
        <v>46135</v>
      </c>
      <c r="E223" s="12" t="s">
        <v>545</v>
      </c>
      <c r="F223" s="11" t="str">
        <f>IF(Rendiciones[[#This Row],[Fecha ]]&lt;&gt;"",TEXT(Rendiciones[[#This Row],[Fecha ]],"MMMM"),"")</f>
        <v>abril</v>
      </c>
      <c r="G223" s="11" t="s">
        <v>428</v>
      </c>
      <c r="H223" s="12" t="s">
        <v>6</v>
      </c>
      <c r="I223" s="12" t="s">
        <v>39</v>
      </c>
      <c r="L223" s="20"/>
      <c r="M223" s="20">
        <f>300+5550+2200+5130+513+1100</f>
        <v>14793</v>
      </c>
      <c r="N223" s="20">
        <f>Rendiciones[[#This Row],[Monto Neto ]]*19%</f>
        <v>0</v>
      </c>
      <c r="O223" s="6">
        <f>+Rendiciones[[#This Row],[Monto Neto ]]+Rendiciones[[#This Row],[Monto Exento ]]+Rendiciones[[#This Row],[Iva]]</f>
        <v>14793</v>
      </c>
      <c r="Q223" s="138"/>
      <c r="R223" s="20"/>
      <c r="S223" s="20">
        <f>Rendiciones[[#This Row],[Total ]]-Rendiciones[[#This Row],[Monto ]]</f>
        <v>14793</v>
      </c>
      <c r="U223" s="72"/>
    </row>
    <row r="224" spans="2:21" ht="14.5" customHeight="1" x14ac:dyDescent="0.3">
      <c r="B224" s="12" t="s">
        <v>445</v>
      </c>
      <c r="C224" s="12">
        <v>11</v>
      </c>
      <c r="D224" s="138">
        <v>46135</v>
      </c>
      <c r="E224" s="12" t="s">
        <v>545</v>
      </c>
      <c r="F224" s="11" t="str">
        <f>IF(Rendiciones[[#This Row],[Fecha ]]&lt;&gt;"",TEXT(Rendiciones[[#This Row],[Fecha ]],"MMMM"),"")</f>
        <v>abril</v>
      </c>
      <c r="G224" s="11" t="s">
        <v>428</v>
      </c>
      <c r="H224" s="12" t="s">
        <v>5</v>
      </c>
      <c r="I224" s="12" t="s">
        <v>52</v>
      </c>
      <c r="L224" s="20"/>
      <c r="M224" s="20">
        <v>13235</v>
      </c>
      <c r="N224" s="20">
        <f>Rendiciones[[#This Row],[Monto Neto ]]*19%</f>
        <v>0</v>
      </c>
      <c r="O224" s="6">
        <f>+Rendiciones[[#This Row],[Monto Neto ]]+Rendiciones[[#This Row],[Monto Exento ]]+Rendiciones[[#This Row],[Iva]]</f>
        <v>13235</v>
      </c>
      <c r="Q224" s="138"/>
      <c r="R224" s="20"/>
      <c r="S224" s="20">
        <f>Rendiciones[[#This Row],[Total ]]-Rendiciones[[#This Row],[Monto ]]</f>
        <v>13235</v>
      </c>
      <c r="U224" s="72"/>
    </row>
    <row r="225" spans="2:21" ht="14.5" customHeight="1" x14ac:dyDescent="0.3">
      <c r="B225" s="12" t="s">
        <v>445</v>
      </c>
      <c r="C225" s="12">
        <v>11</v>
      </c>
      <c r="D225" s="138">
        <v>46135</v>
      </c>
      <c r="E225" s="12" t="s">
        <v>545</v>
      </c>
      <c r="F225" s="11" t="str">
        <f>IF(Rendiciones[[#This Row],[Fecha ]]&lt;&gt;"",TEXT(Rendiciones[[#This Row],[Fecha ]],"MMMM"),"")</f>
        <v>abril</v>
      </c>
      <c r="G225" s="11" t="s">
        <v>428</v>
      </c>
      <c r="H225" s="12" t="s">
        <v>5</v>
      </c>
      <c r="I225" s="12" t="s">
        <v>429</v>
      </c>
      <c r="L225" s="20"/>
      <c r="M225" s="20">
        <v>7400</v>
      </c>
      <c r="N225" s="20">
        <f>Rendiciones[[#This Row],[Monto Neto ]]*19%</f>
        <v>0</v>
      </c>
      <c r="O225" s="6">
        <f>+Rendiciones[[#This Row],[Monto Neto ]]+Rendiciones[[#This Row],[Monto Exento ]]+Rendiciones[[#This Row],[Iva]]</f>
        <v>7400</v>
      </c>
      <c r="P225" t="s">
        <v>89</v>
      </c>
      <c r="Q225" s="138">
        <v>46136</v>
      </c>
      <c r="R225" s="20">
        <v>111707.62</v>
      </c>
      <c r="S225" s="20">
        <f>Rendiciones[[#This Row],[Total ]]-Rendiciones[[#This Row],[Monto ]]</f>
        <v>-104307.62</v>
      </c>
      <c r="U225" s="72"/>
    </row>
    <row r="226" spans="2:21" ht="14.5" customHeight="1" x14ac:dyDescent="0.3">
      <c r="B226" s="12" t="s">
        <v>445</v>
      </c>
      <c r="C226" s="12">
        <v>12</v>
      </c>
      <c r="D226" s="138">
        <v>46142</v>
      </c>
      <c r="E226" s="12" t="s">
        <v>546</v>
      </c>
      <c r="F226" s="11" t="str">
        <f>IF(Rendiciones[[#This Row],[Fecha ]]&lt;&gt;"",TEXT(Rendiciones[[#This Row],[Fecha ]],"MMMM"),"")</f>
        <v>abril</v>
      </c>
      <c r="G226" s="11" t="s">
        <v>428</v>
      </c>
      <c r="H226" s="12" t="s">
        <v>5</v>
      </c>
      <c r="I226" s="12" t="s">
        <v>52</v>
      </c>
      <c r="L226" s="20"/>
      <c r="M226" s="20">
        <v>20085</v>
      </c>
      <c r="N226" s="20">
        <f>Rendiciones[[#This Row],[Monto Neto ]]*19%</f>
        <v>0</v>
      </c>
      <c r="O226" s="6">
        <f>+Rendiciones[[#This Row],[Monto Neto ]]+Rendiciones[[#This Row],[Monto Exento ]]+Rendiciones[[#This Row],[Iva]]</f>
        <v>20085</v>
      </c>
      <c r="Q226" s="138"/>
      <c r="R226" s="20"/>
      <c r="S226" s="20">
        <f>Rendiciones[[#This Row],[Total ]]-Rendiciones[[#This Row],[Monto ]]</f>
        <v>20085</v>
      </c>
      <c r="U226" s="72"/>
    </row>
    <row r="227" spans="2:21" ht="14.5" customHeight="1" x14ac:dyDescent="0.3">
      <c r="B227" s="12" t="s">
        <v>445</v>
      </c>
      <c r="C227" s="12">
        <v>12</v>
      </c>
      <c r="D227" s="138">
        <v>46142</v>
      </c>
      <c r="E227" s="12" t="s">
        <v>546</v>
      </c>
      <c r="F227" s="11" t="str">
        <f>IF(Rendiciones[[#This Row],[Fecha ]]&lt;&gt;"",TEXT(Rendiciones[[#This Row],[Fecha ]],"MMMM"),"")</f>
        <v>abril</v>
      </c>
      <c r="G227" s="11" t="s">
        <v>428</v>
      </c>
      <c r="H227" s="12" t="s">
        <v>6</v>
      </c>
      <c r="I227" s="12" t="s">
        <v>39</v>
      </c>
      <c r="L227" s="20"/>
      <c r="M227" s="20">
        <f>1350+800</f>
        <v>2150</v>
      </c>
      <c r="N227" s="20">
        <f>Rendiciones[[#This Row],[Monto Neto ]]*19%</f>
        <v>0</v>
      </c>
      <c r="O227" s="6">
        <f>+Rendiciones[[#This Row],[Monto Neto ]]+Rendiciones[[#This Row],[Monto Exento ]]+Rendiciones[[#This Row],[Iva]]</f>
        <v>2150</v>
      </c>
      <c r="Q227" s="138"/>
      <c r="R227" s="20"/>
      <c r="S227" s="20">
        <f>Rendiciones[[#This Row],[Total ]]-Rendiciones[[#This Row],[Monto ]]</f>
        <v>2150</v>
      </c>
      <c r="U227" s="72"/>
    </row>
    <row r="228" spans="2:21" ht="14.5" customHeight="1" x14ac:dyDescent="0.3">
      <c r="B228" s="12" t="s">
        <v>445</v>
      </c>
      <c r="C228" s="12">
        <v>12</v>
      </c>
      <c r="D228" s="138">
        <v>46142</v>
      </c>
      <c r="E228" s="12" t="s">
        <v>546</v>
      </c>
      <c r="F228" s="11" t="str">
        <f>IF(Rendiciones[[#This Row],[Fecha ]]&lt;&gt;"",TEXT(Rendiciones[[#This Row],[Fecha ]],"MMMM"),"")</f>
        <v>abril</v>
      </c>
      <c r="G228" s="11" t="s">
        <v>428</v>
      </c>
      <c r="H228" s="12" t="s">
        <v>6</v>
      </c>
      <c r="I228" s="12" t="s">
        <v>429</v>
      </c>
      <c r="L228" s="20"/>
      <c r="M228" s="20">
        <v>7400</v>
      </c>
      <c r="N228" s="20">
        <f>Rendiciones[[#This Row],[Monto Neto ]]*19%</f>
        <v>0</v>
      </c>
      <c r="O228" s="6">
        <f>+Rendiciones[[#This Row],[Monto Neto ]]+Rendiciones[[#This Row],[Monto Exento ]]+Rendiciones[[#This Row],[Iva]]</f>
        <v>7400</v>
      </c>
      <c r="Q228" s="138"/>
      <c r="R228" s="20"/>
      <c r="S228" s="20">
        <f>Rendiciones[[#This Row],[Total ]]-Rendiciones[[#This Row],[Monto ]]</f>
        <v>7400</v>
      </c>
      <c r="U228" s="72"/>
    </row>
    <row r="229" spans="2:21" ht="14.5" customHeight="1" x14ac:dyDescent="0.3">
      <c r="B229" s="12" t="s">
        <v>445</v>
      </c>
      <c r="C229" s="12">
        <v>12</v>
      </c>
      <c r="D229" s="138">
        <v>46142</v>
      </c>
      <c r="E229" s="12" t="s">
        <v>546</v>
      </c>
      <c r="F229" s="11" t="str">
        <f>IF(Rendiciones[[#This Row],[Fecha ]]&lt;&gt;"",TEXT(Rendiciones[[#This Row],[Fecha ]],"MMMM"),"")</f>
        <v>abril</v>
      </c>
      <c r="G229" s="11" t="s">
        <v>428</v>
      </c>
      <c r="H229" s="12" t="s">
        <v>6</v>
      </c>
      <c r="I229" s="12" t="s">
        <v>28</v>
      </c>
      <c r="K229" s="1" t="s">
        <v>81</v>
      </c>
      <c r="L229" s="20">
        <v>30271.200000000001</v>
      </c>
      <c r="M229" s="20">
        <f>2664+1313</f>
        <v>3977</v>
      </c>
      <c r="N229" s="20">
        <f>Rendiciones[[#This Row],[Monto Neto ]]*19%</f>
        <v>5751.5280000000002</v>
      </c>
      <c r="O229" s="6">
        <f>+Rendiciones[[#This Row],[Monto Neto ]]+Rendiciones[[#This Row],[Monto Exento ]]+Rendiciones[[#This Row],[Iva]]</f>
        <v>39999.727999999996</v>
      </c>
      <c r="Q229" s="138"/>
      <c r="R229" s="20"/>
      <c r="S229" s="20">
        <f>Rendiciones[[#This Row],[Total ]]-Rendiciones[[#This Row],[Monto ]]</f>
        <v>39999.727999999996</v>
      </c>
      <c r="U229" s="72"/>
    </row>
    <row r="230" spans="2:21" ht="14.5" customHeight="1" x14ac:dyDescent="0.3">
      <c r="B230" s="12" t="s">
        <v>445</v>
      </c>
      <c r="C230" s="12">
        <v>12</v>
      </c>
      <c r="D230" s="138">
        <v>46142</v>
      </c>
      <c r="E230" s="12" t="s">
        <v>546</v>
      </c>
      <c r="F230" s="11" t="str">
        <f>IF(Rendiciones[[#This Row],[Fecha ]]&lt;&gt;"",TEXT(Rendiciones[[#This Row],[Fecha ]],"MMMM"),"")</f>
        <v>abril</v>
      </c>
      <c r="G230" s="11" t="s">
        <v>428</v>
      </c>
      <c r="H230" s="12" t="s">
        <v>6</v>
      </c>
      <c r="I230" s="12" t="s">
        <v>28</v>
      </c>
      <c r="K230" s="1" t="s">
        <v>81</v>
      </c>
      <c r="L230" s="20">
        <v>13437</v>
      </c>
      <c r="M230" s="20"/>
      <c r="N230" s="20">
        <f>Rendiciones[[#This Row],[Monto Neto ]]*19%</f>
        <v>2553.0300000000002</v>
      </c>
      <c r="O230" s="6">
        <f>+Rendiciones[[#This Row],[Monto Neto ]]+Rendiciones[[#This Row],[Monto Exento ]]+Rendiciones[[#This Row],[Iva]]</f>
        <v>15990.03</v>
      </c>
      <c r="P230" t="s">
        <v>89</v>
      </c>
      <c r="Q230" s="138">
        <v>46146</v>
      </c>
      <c r="R230" s="20">
        <v>85624.76</v>
      </c>
      <c r="S230" s="20">
        <f>Rendiciones[[#This Row],[Total ]]-Rendiciones[[#This Row],[Monto ]]</f>
        <v>-69634.73</v>
      </c>
      <c r="U230" s="72"/>
    </row>
    <row r="231" spans="2:21" x14ac:dyDescent="0.3">
      <c r="B231" s="12" t="s">
        <v>20</v>
      </c>
      <c r="C231" s="12">
        <v>7</v>
      </c>
      <c r="D231" s="138">
        <v>46142</v>
      </c>
      <c r="E231" s="12" t="s">
        <v>546</v>
      </c>
      <c r="F231" s="11" t="str">
        <f>IF(Rendiciones[[#This Row],[Fecha ]]&lt;&gt;"",TEXT(Rendiciones[[#This Row],[Fecha ]],"MMMM"),"")</f>
        <v>abril</v>
      </c>
      <c r="G231" s="11" t="s">
        <v>428</v>
      </c>
      <c r="H231" s="12" t="s">
        <v>9</v>
      </c>
      <c r="I231" s="12" t="s">
        <v>59</v>
      </c>
      <c r="L231" s="20"/>
      <c r="M231" s="20">
        <v>8271</v>
      </c>
      <c r="N231" s="20">
        <f>Rendiciones[[#This Row],[Monto Neto ]]*19%</f>
        <v>0</v>
      </c>
      <c r="O231" s="6">
        <f>+Rendiciones[[#This Row],[Monto Neto ]]+Rendiciones[[#This Row],[Monto Exento ]]+Rendiciones[[#This Row],[Iva]]</f>
        <v>8271</v>
      </c>
      <c r="P231" t="s">
        <v>89</v>
      </c>
      <c r="Q231" s="138">
        <v>46146</v>
      </c>
      <c r="R231" s="20">
        <v>8271</v>
      </c>
      <c r="S231" s="20">
        <f>Rendiciones[[#This Row],[Total ]]-Rendiciones[[#This Row],[Monto ]]</f>
        <v>0</v>
      </c>
      <c r="U231" s="72"/>
    </row>
    <row r="232" spans="2:21" x14ac:dyDescent="0.3">
      <c r="B232" s="12" t="s">
        <v>435</v>
      </c>
      <c r="C232" s="12">
        <v>3</v>
      </c>
      <c r="D232" s="138">
        <v>46135</v>
      </c>
      <c r="E232" s="12" t="s">
        <v>545</v>
      </c>
      <c r="F232" s="11" t="str">
        <f>IF(Rendiciones[[#This Row],[Fecha ]]&lt;&gt;"",TEXT(Rendiciones[[#This Row],[Fecha ]],"MMMM"),"")</f>
        <v>abril</v>
      </c>
      <c r="G232" s="11" t="s">
        <v>428</v>
      </c>
      <c r="H232" s="12" t="s">
        <v>9</v>
      </c>
      <c r="I232" s="12" t="s">
        <v>66</v>
      </c>
      <c r="K232" s="1" t="s">
        <v>81</v>
      </c>
      <c r="L232" s="20"/>
      <c r="M232" s="20">
        <v>491661</v>
      </c>
      <c r="N232" s="20">
        <f>Rendiciones[[#This Row],[Monto Neto ]]*19%</f>
        <v>0</v>
      </c>
      <c r="O232" s="6">
        <f>+Rendiciones[[#This Row],[Monto Neto ]]+Rendiciones[[#This Row],[Monto Exento ]]+Rendiciones[[#This Row],[Iva]]</f>
        <v>491661</v>
      </c>
      <c r="P232" t="s">
        <v>89</v>
      </c>
      <c r="Q232" s="138">
        <v>46136</v>
      </c>
      <c r="R232" s="20">
        <v>494661</v>
      </c>
      <c r="S232" s="20">
        <f>Rendiciones[[#This Row],[Total ]]-Rendiciones[[#This Row],[Monto ]]</f>
        <v>-3000</v>
      </c>
      <c r="U232" s="72"/>
    </row>
    <row r="233" spans="2:21" x14ac:dyDescent="0.3">
      <c r="B233" s="12" t="s">
        <v>435</v>
      </c>
      <c r="C233" s="12">
        <v>4</v>
      </c>
      <c r="D233" s="138">
        <v>46136</v>
      </c>
      <c r="E233" s="12" t="s">
        <v>545</v>
      </c>
      <c r="F233" s="11" t="str">
        <f>IF(Rendiciones[[#This Row],[Fecha ]]&lt;&gt;"",TEXT(Rendiciones[[#This Row],[Fecha ]],"MMMM"),"")</f>
        <v>abril</v>
      </c>
      <c r="G233" s="11" t="s">
        <v>428</v>
      </c>
      <c r="H233" s="12" t="s">
        <v>9</v>
      </c>
      <c r="I233" s="12" t="s">
        <v>66</v>
      </c>
      <c r="K233" s="1" t="s">
        <v>81</v>
      </c>
      <c r="L233" s="20"/>
      <c r="M233" s="20">
        <v>21130</v>
      </c>
      <c r="N233" s="20">
        <f>Rendiciones[[#This Row],[Monto Neto ]]*19%</f>
        <v>0</v>
      </c>
      <c r="O233" s="6">
        <f>+Rendiciones[[#This Row],[Monto Neto ]]+Rendiciones[[#This Row],[Monto Exento ]]+Rendiciones[[#This Row],[Iva]]</f>
        <v>21130</v>
      </c>
      <c r="P233" t="s">
        <v>89</v>
      </c>
      <c r="Q233" s="138">
        <v>46146</v>
      </c>
      <c r="R233" s="20">
        <v>21130</v>
      </c>
      <c r="S233" s="20">
        <f>Rendiciones[[#This Row],[Total ]]-Rendiciones[[#This Row],[Monto ]]</f>
        <v>0</v>
      </c>
      <c r="U233" s="72"/>
    </row>
    <row r="234" spans="2:21" x14ac:dyDescent="0.3">
      <c r="B234" s="12" t="s">
        <v>17</v>
      </c>
      <c r="C234" s="12">
        <v>17</v>
      </c>
      <c r="D234" s="138">
        <v>46132</v>
      </c>
      <c r="E234" s="12" t="s">
        <v>545</v>
      </c>
      <c r="F234" s="11" t="str">
        <f>IF(Rendiciones[[#This Row],[Fecha ]]&lt;&gt;"",TEXT(Rendiciones[[#This Row],[Fecha ]],"MMMM"),"")</f>
        <v>abril</v>
      </c>
      <c r="G234" s="11" t="s">
        <v>428</v>
      </c>
      <c r="H234" s="12" t="s">
        <v>6</v>
      </c>
      <c r="I234" s="12" t="s">
        <v>57</v>
      </c>
      <c r="K234" s="1" t="s">
        <v>81</v>
      </c>
      <c r="L234" s="20">
        <v>87944</v>
      </c>
      <c r="M234" s="20"/>
      <c r="N234" s="20">
        <f>Rendiciones[[#This Row],[Monto Neto ]]*19%</f>
        <v>16709.36</v>
      </c>
      <c r="O234" s="6">
        <f>+Rendiciones[[#This Row],[Monto Neto ]]+Rendiciones[[#This Row],[Monto Exento ]]+Rendiciones[[#This Row],[Iva]]</f>
        <v>104653.36</v>
      </c>
      <c r="P234" t="s">
        <v>89</v>
      </c>
      <c r="Q234" s="138">
        <v>46136</v>
      </c>
      <c r="R234" s="20">
        <v>104653.36</v>
      </c>
      <c r="S234" s="20">
        <f>Rendiciones[[#This Row],[Total ]]-Rendiciones[[#This Row],[Monto ]]</f>
        <v>0</v>
      </c>
      <c r="U234" s="72"/>
    </row>
    <row r="235" spans="2:21" x14ac:dyDescent="0.3">
      <c r="B235" s="12" t="s">
        <v>17</v>
      </c>
      <c r="C235" s="12">
        <v>18</v>
      </c>
      <c r="D235" s="138">
        <v>46136</v>
      </c>
      <c r="E235" s="12" t="s">
        <v>545</v>
      </c>
      <c r="F235" s="11" t="str">
        <f>IF(Rendiciones[[#This Row],[Fecha ]]&lt;&gt;"",TEXT(Rendiciones[[#This Row],[Fecha ]],"MMMM"),"")</f>
        <v>abril</v>
      </c>
      <c r="G235" s="11" t="s">
        <v>428</v>
      </c>
      <c r="H235" s="12" t="s">
        <v>6</v>
      </c>
      <c r="I235" s="12" t="s">
        <v>59</v>
      </c>
      <c r="L235" s="20"/>
      <c r="M235" s="20">
        <v>12406</v>
      </c>
      <c r="N235" s="20">
        <f>Rendiciones[[#This Row],[Monto Neto ]]*19%</f>
        <v>0</v>
      </c>
      <c r="O235" s="6">
        <f>+Rendiciones[[#This Row],[Monto Neto ]]+Rendiciones[[#This Row],[Monto Exento ]]+Rendiciones[[#This Row],[Iva]]</f>
        <v>12406</v>
      </c>
      <c r="P235" t="s">
        <v>89</v>
      </c>
      <c r="Q235" s="138">
        <v>46146</v>
      </c>
      <c r="R235" s="20">
        <v>12406</v>
      </c>
      <c r="S235" s="20">
        <f>Rendiciones[[#This Row],[Total ]]-Rendiciones[[#This Row],[Monto ]]</f>
        <v>0</v>
      </c>
      <c r="U235" s="72"/>
    </row>
    <row r="236" spans="2:21" x14ac:dyDescent="0.3">
      <c r="B236" s="12" t="s">
        <v>100</v>
      </c>
      <c r="C236" s="12">
        <v>5</v>
      </c>
      <c r="D236" s="138">
        <v>46133</v>
      </c>
      <c r="E236" s="12" t="s">
        <v>545</v>
      </c>
      <c r="F236" s="11" t="str">
        <f>IF(Rendiciones[[#This Row],[Fecha ]]&lt;&gt;"",TEXT(Rendiciones[[#This Row],[Fecha ]],"MMMM"),"")</f>
        <v>abril</v>
      </c>
      <c r="G236" s="11" t="s">
        <v>428</v>
      </c>
      <c r="H236" s="12" t="s">
        <v>8</v>
      </c>
      <c r="I236" s="12" t="s">
        <v>40</v>
      </c>
      <c r="K236" s="1" t="s">
        <v>81</v>
      </c>
      <c r="L236" s="20">
        <v>78854</v>
      </c>
      <c r="M236" s="20"/>
      <c r="N236" s="20">
        <f>Rendiciones[[#This Row],[Monto Neto ]]*19%</f>
        <v>14982.26</v>
      </c>
      <c r="O236" s="6">
        <f>+Rendiciones[[#This Row],[Monto Neto ]]+Rendiciones[[#This Row],[Monto Exento ]]+Rendiciones[[#This Row],[Iva]]</f>
        <v>93836.26</v>
      </c>
      <c r="Q236" s="138"/>
      <c r="R236" s="20"/>
      <c r="S236" s="20">
        <f>Rendiciones[[#This Row],[Total ]]-Rendiciones[[#This Row],[Monto ]]</f>
        <v>93836.26</v>
      </c>
      <c r="U236" s="72"/>
    </row>
    <row r="237" spans="2:21" x14ac:dyDescent="0.3">
      <c r="B237" s="12" t="s">
        <v>100</v>
      </c>
      <c r="C237" s="12">
        <v>5</v>
      </c>
      <c r="D237" s="138">
        <v>46133</v>
      </c>
      <c r="E237" s="12" t="s">
        <v>545</v>
      </c>
      <c r="F237" s="11" t="str">
        <f>IF(Rendiciones[[#This Row],[Fecha ]]&lt;&gt;"",TEXT(Rendiciones[[#This Row],[Fecha ]],"MMMM"),"")</f>
        <v>abril</v>
      </c>
      <c r="G237" s="11" t="s">
        <v>428</v>
      </c>
      <c r="H237" s="12" t="s">
        <v>5</v>
      </c>
      <c r="I237" s="12" t="s">
        <v>52</v>
      </c>
      <c r="L237" s="20"/>
      <c r="M237" s="20">
        <v>28500</v>
      </c>
      <c r="N237" s="20">
        <f>Rendiciones[[#This Row],[Monto Neto ]]*19%</f>
        <v>0</v>
      </c>
      <c r="O237" s="6">
        <f>+Rendiciones[[#This Row],[Monto Neto ]]+Rendiciones[[#This Row],[Monto Exento ]]+Rendiciones[[#This Row],[Iva]]</f>
        <v>28500</v>
      </c>
      <c r="Q237" s="138"/>
      <c r="R237" s="20"/>
      <c r="S237" s="20">
        <f>Rendiciones[[#This Row],[Total ]]-Rendiciones[[#This Row],[Monto ]]</f>
        <v>28500</v>
      </c>
      <c r="U237" s="72"/>
    </row>
    <row r="238" spans="2:21" x14ac:dyDescent="0.3">
      <c r="B238" s="12" t="s">
        <v>100</v>
      </c>
      <c r="C238" s="12">
        <v>5</v>
      </c>
      <c r="D238" s="138">
        <v>46133</v>
      </c>
      <c r="E238" s="12" t="s">
        <v>545</v>
      </c>
      <c r="F238" s="11" t="str">
        <f>IF(Rendiciones[[#This Row],[Fecha ]]&lt;&gt;"",TEXT(Rendiciones[[#This Row],[Fecha ]],"MMMM"),"")</f>
        <v>abril</v>
      </c>
      <c r="G238" s="11" t="s">
        <v>428</v>
      </c>
      <c r="H238" s="12" t="s">
        <v>8</v>
      </c>
      <c r="I238" s="12" t="s">
        <v>60</v>
      </c>
      <c r="L238" s="20"/>
      <c r="M238" s="20">
        <f>104613+122903+8000</f>
        <v>235516</v>
      </c>
      <c r="N238" s="20">
        <f>Rendiciones[[#This Row],[Monto Neto ]]*19%</f>
        <v>0</v>
      </c>
      <c r="O238" s="6">
        <f>+Rendiciones[[#This Row],[Monto Neto ]]+Rendiciones[[#This Row],[Monto Exento ]]+Rendiciones[[#This Row],[Iva]]</f>
        <v>235516</v>
      </c>
      <c r="Q238" s="138"/>
      <c r="R238" s="20"/>
      <c r="S238" s="20">
        <f>Rendiciones[[#This Row],[Total ]]-Rendiciones[[#This Row],[Monto ]]</f>
        <v>235516</v>
      </c>
      <c r="U238" s="72"/>
    </row>
    <row r="239" spans="2:21" x14ac:dyDescent="0.3">
      <c r="B239" s="12" t="s">
        <v>100</v>
      </c>
      <c r="C239" s="12">
        <v>5</v>
      </c>
      <c r="D239" s="138">
        <v>46133</v>
      </c>
      <c r="E239" s="12" t="s">
        <v>545</v>
      </c>
      <c r="F239" s="11" t="str">
        <f>IF(Rendiciones[[#This Row],[Fecha ]]&lt;&gt;"",TEXT(Rendiciones[[#This Row],[Fecha ]],"MMMM"),"")</f>
        <v>abril</v>
      </c>
      <c r="G239" s="11" t="s">
        <v>428</v>
      </c>
      <c r="H239" s="12" t="s">
        <v>8</v>
      </c>
      <c r="I239" s="12" t="s">
        <v>31</v>
      </c>
      <c r="L239" s="20"/>
      <c r="M239" s="20">
        <f>20027+13294+6396+16395+8990+7350</f>
        <v>72452</v>
      </c>
      <c r="N239" s="20">
        <f>Rendiciones[[#This Row],[Monto Neto ]]*19%</f>
        <v>0</v>
      </c>
      <c r="O239" s="6">
        <f>+Rendiciones[[#This Row],[Monto Neto ]]+Rendiciones[[#This Row],[Monto Exento ]]+Rendiciones[[#This Row],[Iva]]</f>
        <v>72452</v>
      </c>
      <c r="Q239" s="138"/>
      <c r="R239" s="20"/>
      <c r="S239" s="20">
        <f>Rendiciones[[#This Row],[Total ]]-Rendiciones[[#This Row],[Monto ]]</f>
        <v>72452</v>
      </c>
      <c r="U239" s="72"/>
    </row>
    <row r="240" spans="2:21" x14ac:dyDescent="0.3">
      <c r="B240" s="12" t="s">
        <v>100</v>
      </c>
      <c r="C240" s="12">
        <v>5</v>
      </c>
      <c r="D240" s="138">
        <v>46133</v>
      </c>
      <c r="E240" s="12" t="s">
        <v>545</v>
      </c>
      <c r="F240" s="11" t="str">
        <f>IF(Rendiciones[[#This Row],[Fecha ]]&lt;&gt;"",TEXT(Rendiciones[[#This Row],[Fecha ]],"MMMM"),"")</f>
        <v>abril</v>
      </c>
      <c r="G240" s="11" t="s">
        <v>428</v>
      </c>
      <c r="H240" s="12" t="s">
        <v>8</v>
      </c>
      <c r="I240" s="12" t="s">
        <v>429</v>
      </c>
      <c r="L240" s="20"/>
      <c r="M240" s="20">
        <f>6800+28270+17900</f>
        <v>52970</v>
      </c>
      <c r="N240" s="20">
        <f>Rendiciones[[#This Row],[Monto Neto ]]*19%</f>
        <v>0</v>
      </c>
      <c r="O240" s="6">
        <f>+Rendiciones[[#This Row],[Monto Neto ]]+Rendiciones[[#This Row],[Monto Exento ]]+Rendiciones[[#This Row],[Iva]]</f>
        <v>52970</v>
      </c>
      <c r="P240" t="s">
        <v>89</v>
      </c>
      <c r="Q240" s="138">
        <v>46142</v>
      </c>
      <c r="R240" s="20">
        <v>483274.26</v>
      </c>
      <c r="S240" s="20">
        <f>Rendiciones[[#This Row],[Total ]]-Rendiciones[[#This Row],[Monto ]]</f>
        <v>-430304.26</v>
      </c>
      <c r="U240" s="72"/>
    </row>
    <row r="241" spans="2:21" x14ac:dyDescent="0.3">
      <c r="B241" s="12" t="s">
        <v>519</v>
      </c>
      <c r="C241" s="12">
        <v>7</v>
      </c>
      <c r="D241" s="138">
        <v>46149</v>
      </c>
      <c r="E241" s="12" t="s">
        <v>548</v>
      </c>
      <c r="F241" s="11" t="str">
        <f>IF(Rendiciones[[#This Row],[Fecha ]]&lt;&gt;"",TEXT(Rendiciones[[#This Row],[Fecha ]],"MMMM"),"")</f>
        <v>mayo</v>
      </c>
      <c r="G241" s="11" t="s">
        <v>428</v>
      </c>
      <c r="H241" s="12" t="s">
        <v>8</v>
      </c>
      <c r="I241" s="12" t="s">
        <v>28</v>
      </c>
      <c r="K241" s="1" t="s">
        <v>81</v>
      </c>
      <c r="L241" s="20">
        <v>50834.5</v>
      </c>
      <c r="M241" s="20">
        <v>22467</v>
      </c>
      <c r="N241" s="20">
        <f>Rendiciones[[#This Row],[Monto Neto ]]*19%</f>
        <v>9658.5550000000003</v>
      </c>
      <c r="O241" s="6">
        <f>+Rendiciones[[#This Row],[Monto Neto ]]+Rendiciones[[#This Row],[Monto Exento ]]+Rendiciones[[#This Row],[Iva]]</f>
        <v>82960.054999999993</v>
      </c>
      <c r="Q241" s="138"/>
      <c r="R241" s="20"/>
      <c r="S241" s="20">
        <f>Rendiciones[[#This Row],[Total ]]-Rendiciones[[#This Row],[Monto ]]</f>
        <v>82960.054999999993</v>
      </c>
      <c r="U241" s="72"/>
    </row>
    <row r="242" spans="2:21" x14ac:dyDescent="0.3">
      <c r="B242" s="12" t="s">
        <v>519</v>
      </c>
      <c r="C242" s="12">
        <v>7</v>
      </c>
      <c r="D242" s="138">
        <v>46149</v>
      </c>
      <c r="E242" s="12" t="s">
        <v>548</v>
      </c>
      <c r="F242" s="11" t="str">
        <f>IF(Rendiciones[[#This Row],[Fecha ]]&lt;&gt;"",TEXT(Rendiciones[[#This Row],[Fecha ]],"MMMM"),"")</f>
        <v>mayo</v>
      </c>
      <c r="G242" s="11" t="s">
        <v>428</v>
      </c>
      <c r="H242" s="12" t="s">
        <v>8</v>
      </c>
      <c r="I242" s="12" t="s">
        <v>39</v>
      </c>
      <c r="L242" s="20"/>
      <c r="M242" s="20">
        <f>900+4250+4250+2900+600+310+2760+2000+600+2500+1080+1300+600+4250+4250+2900</f>
        <v>35450</v>
      </c>
      <c r="N242" s="20"/>
      <c r="O242" s="6">
        <f>+Rendiciones[[#This Row],[Monto Neto ]]+Rendiciones[[#This Row],[Monto Exento ]]+Rendiciones[[#This Row],[Iva]]</f>
        <v>35450</v>
      </c>
      <c r="Q242" s="138"/>
      <c r="R242" s="20"/>
      <c r="S242" s="20">
        <f>Rendiciones[[#This Row],[Total ]]-Rendiciones[[#This Row],[Monto ]]</f>
        <v>35450</v>
      </c>
      <c r="U242" s="72"/>
    </row>
    <row r="243" spans="2:21" x14ac:dyDescent="0.3">
      <c r="B243" s="12" t="s">
        <v>519</v>
      </c>
      <c r="C243" s="12">
        <v>7</v>
      </c>
      <c r="D243" s="138">
        <v>46149</v>
      </c>
      <c r="E243" s="12" t="s">
        <v>548</v>
      </c>
      <c r="F243" s="11" t="str">
        <f>IF(Rendiciones[[#This Row],[Fecha ]]&lt;&gt;"",TEXT(Rendiciones[[#This Row],[Fecha ]],"MMMM"),"")</f>
        <v>mayo</v>
      </c>
      <c r="G243" s="11" t="s">
        <v>428</v>
      </c>
      <c r="H243" s="12" t="s">
        <v>8</v>
      </c>
      <c r="I243" s="12" t="s">
        <v>28</v>
      </c>
      <c r="K243" s="1" t="s">
        <v>81</v>
      </c>
      <c r="L243" s="20">
        <v>50572</v>
      </c>
      <c r="M243" s="20">
        <v>21376</v>
      </c>
      <c r="N243" s="20">
        <f>Rendiciones[[#This Row],[Monto Neto ]]*19%</f>
        <v>9608.68</v>
      </c>
      <c r="O243" s="6">
        <f>+Rendiciones[[#This Row],[Monto Neto ]]+Rendiciones[[#This Row],[Monto Exento ]]+Rendiciones[[#This Row],[Iva]]</f>
        <v>81556.679999999993</v>
      </c>
      <c r="Q243" s="138"/>
      <c r="R243" s="20"/>
      <c r="S243" s="20">
        <f>Rendiciones[[#This Row],[Total ]]-Rendiciones[[#This Row],[Monto ]]</f>
        <v>81556.679999999993</v>
      </c>
      <c r="U243" s="72"/>
    </row>
    <row r="244" spans="2:21" x14ac:dyDescent="0.3">
      <c r="B244" s="12" t="s">
        <v>519</v>
      </c>
      <c r="C244" s="12">
        <v>7</v>
      </c>
      <c r="D244" s="138">
        <v>46149</v>
      </c>
      <c r="E244" s="12" t="s">
        <v>548</v>
      </c>
      <c r="F244" s="11" t="str">
        <f>IF(Rendiciones[[#This Row],[Fecha ]]&lt;&gt;"",TEXT(Rendiciones[[#This Row],[Fecha ]],"MMMM"),"")</f>
        <v>mayo</v>
      </c>
      <c r="G244" s="11" t="s">
        <v>428</v>
      </c>
      <c r="H244" s="12" t="s">
        <v>8</v>
      </c>
      <c r="I244" s="12" t="s">
        <v>429</v>
      </c>
      <c r="K244" s="1" t="s">
        <v>81</v>
      </c>
      <c r="L244" s="20">
        <v>8459</v>
      </c>
      <c r="M244" s="20"/>
      <c r="N244" s="20">
        <f>Rendiciones[[#This Row],[Monto Neto ]]*19%</f>
        <v>1607.21</v>
      </c>
      <c r="O244" s="6">
        <f>+Rendiciones[[#This Row],[Monto Neto ]]+Rendiciones[[#This Row],[Monto Exento ]]+Rendiciones[[#This Row],[Iva]]</f>
        <v>10066.209999999999</v>
      </c>
      <c r="Q244" s="138"/>
      <c r="R244" s="20"/>
      <c r="S244" s="20">
        <f>Rendiciones[[#This Row],[Total ]]-Rendiciones[[#This Row],[Monto ]]</f>
        <v>10066.209999999999</v>
      </c>
      <c r="U244" s="72"/>
    </row>
    <row r="245" spans="2:21" x14ac:dyDescent="0.3">
      <c r="B245" s="12" t="s">
        <v>519</v>
      </c>
      <c r="C245" s="12">
        <v>7</v>
      </c>
      <c r="D245" s="138">
        <v>46149</v>
      </c>
      <c r="E245" s="12" t="s">
        <v>548</v>
      </c>
      <c r="F245" s="11" t="str">
        <f>IF(Rendiciones[[#This Row],[Fecha ]]&lt;&gt;"",TEXT(Rendiciones[[#This Row],[Fecha ]],"MMMM"),"")</f>
        <v>mayo</v>
      </c>
      <c r="G245" s="11" t="s">
        <v>428</v>
      </c>
      <c r="H245" s="12" t="s">
        <v>8</v>
      </c>
      <c r="I245" s="12" t="s">
        <v>28</v>
      </c>
      <c r="K245" s="1" t="s">
        <v>81</v>
      </c>
      <c r="L245" s="20">
        <v>36979</v>
      </c>
      <c r="M245" s="20">
        <f>14893+1125-3</f>
        <v>16015</v>
      </c>
      <c r="N245" s="20">
        <f>Rendiciones[[#This Row],[Monto Neto ]]*19%</f>
        <v>7026.01</v>
      </c>
      <c r="O245" s="6">
        <f>+Rendiciones[[#This Row],[Monto Neto ]]+Rendiciones[[#This Row],[Monto Exento ]]+Rendiciones[[#This Row],[Iva]]</f>
        <v>60020.01</v>
      </c>
      <c r="Q245" s="138"/>
      <c r="R245" s="20"/>
      <c r="S245" s="20">
        <f>Rendiciones[[#This Row],[Total ]]-Rendiciones[[#This Row],[Monto ]]</f>
        <v>60020.01</v>
      </c>
      <c r="U245" s="72"/>
    </row>
    <row r="246" spans="2:21" x14ac:dyDescent="0.3">
      <c r="B246" s="12" t="s">
        <v>519</v>
      </c>
      <c r="C246" s="12">
        <v>7</v>
      </c>
      <c r="D246" s="138">
        <v>46149</v>
      </c>
      <c r="E246" s="12" t="s">
        <v>548</v>
      </c>
      <c r="F246" s="11" t="str">
        <f>IF(Rendiciones[[#This Row],[Fecha ]]&lt;&gt;"",TEXT(Rendiciones[[#This Row],[Fecha ]],"MMMM"),"")</f>
        <v>mayo</v>
      </c>
      <c r="G246" s="11" t="s">
        <v>428</v>
      </c>
      <c r="H246" s="12" t="s">
        <v>8</v>
      </c>
      <c r="I246" s="12" t="s">
        <v>429</v>
      </c>
      <c r="K246" s="1" t="s">
        <v>81</v>
      </c>
      <c r="L246" s="20">
        <v>34333</v>
      </c>
      <c r="M246" s="20">
        <f>557-3</f>
        <v>554</v>
      </c>
      <c r="N246" s="20">
        <f>Rendiciones[[#This Row],[Monto Neto ]]*19%</f>
        <v>6523.27</v>
      </c>
      <c r="O246" s="6">
        <f>+Rendiciones[[#This Row],[Monto Neto ]]+Rendiciones[[#This Row],[Monto Exento ]]+Rendiciones[[#This Row],[Iva]]</f>
        <v>41410.270000000004</v>
      </c>
      <c r="Q246" s="138"/>
      <c r="R246" s="20"/>
      <c r="S246" s="20">
        <f>Rendiciones[[#This Row],[Total ]]-Rendiciones[[#This Row],[Monto ]]</f>
        <v>41410.270000000004</v>
      </c>
      <c r="U246" s="72"/>
    </row>
    <row r="247" spans="2:21" x14ac:dyDescent="0.3">
      <c r="B247" s="12" t="s">
        <v>519</v>
      </c>
      <c r="C247" s="12">
        <v>7</v>
      </c>
      <c r="D247" s="138">
        <v>46149</v>
      </c>
      <c r="E247" s="12" t="s">
        <v>548</v>
      </c>
      <c r="F247" s="11" t="str">
        <f>IF(Rendiciones[[#This Row],[Fecha ]]&lt;&gt;"",TEXT(Rendiciones[[#This Row],[Fecha ]],"MMMM"),"")</f>
        <v>mayo</v>
      </c>
      <c r="G247" s="11" t="s">
        <v>428</v>
      </c>
      <c r="H247" s="12" t="s">
        <v>8</v>
      </c>
      <c r="I247" s="12" t="s">
        <v>429</v>
      </c>
      <c r="K247" s="1" t="s">
        <v>81</v>
      </c>
      <c r="L247" s="20">
        <v>23008</v>
      </c>
      <c r="M247" s="20"/>
      <c r="N247" s="20">
        <f>Rendiciones[[#This Row],[Monto Neto ]]*19%</f>
        <v>4371.5200000000004</v>
      </c>
      <c r="O247" s="6">
        <f>+Rendiciones[[#This Row],[Monto Neto ]]+Rendiciones[[#This Row],[Monto Exento ]]+Rendiciones[[#This Row],[Iva]]</f>
        <v>27379.52</v>
      </c>
      <c r="Q247" s="138"/>
      <c r="R247" s="20"/>
      <c r="S247" s="20">
        <f>Rendiciones[[#This Row],[Total ]]-Rendiciones[[#This Row],[Monto ]]</f>
        <v>27379.52</v>
      </c>
      <c r="U247" s="72"/>
    </row>
    <row r="248" spans="2:21" x14ac:dyDescent="0.3">
      <c r="B248" s="12" t="s">
        <v>519</v>
      </c>
      <c r="C248" s="12">
        <v>7</v>
      </c>
      <c r="D248" s="138">
        <v>46149</v>
      </c>
      <c r="E248" s="12" t="s">
        <v>548</v>
      </c>
      <c r="F248" s="11" t="str">
        <f>IF(Rendiciones[[#This Row],[Fecha ]]&lt;&gt;"",TEXT(Rendiciones[[#This Row],[Fecha ]],"MMMM"),"")</f>
        <v>mayo</v>
      </c>
      <c r="G248" s="11" t="s">
        <v>428</v>
      </c>
      <c r="H248" s="12" t="s">
        <v>8</v>
      </c>
      <c r="I248" s="12" t="s">
        <v>429</v>
      </c>
      <c r="L248" s="20"/>
      <c r="M248" s="20">
        <f>13880+28500</f>
        <v>42380</v>
      </c>
      <c r="N248" s="20">
        <f>Rendiciones[[#This Row],[Monto Neto ]]*19%</f>
        <v>0</v>
      </c>
      <c r="O248" s="6">
        <f>+Rendiciones[[#This Row],[Monto Neto ]]+Rendiciones[[#This Row],[Monto Exento ]]+Rendiciones[[#This Row],[Iva]]</f>
        <v>42380</v>
      </c>
      <c r="P248" t="s">
        <v>89</v>
      </c>
      <c r="Q248" s="138">
        <v>46153</v>
      </c>
      <c r="R248" s="20">
        <v>57053</v>
      </c>
      <c r="S248" s="20">
        <f>Rendiciones[[#This Row],[Total ]]-Rendiciones[[#This Row],[Monto ]]</f>
        <v>-14673</v>
      </c>
      <c r="U248" s="72"/>
    </row>
    <row r="249" spans="2:21" x14ac:dyDescent="0.3">
      <c r="B249" s="12" t="s">
        <v>519</v>
      </c>
      <c r="D249" s="138">
        <v>46153</v>
      </c>
      <c r="F249" s="11" t="str">
        <f>IF(Rendiciones[[#This Row],[Fecha ]]&lt;&gt;"",TEXT(Rendiciones[[#This Row],[Fecha ]],"MMMM"),"")</f>
        <v>mayo</v>
      </c>
      <c r="G249" s="11"/>
      <c r="L249" s="20"/>
      <c r="M249" s="20"/>
      <c r="N249" s="20">
        <f>Rendiciones[[#This Row],[Monto Neto ]]*19%</f>
        <v>0</v>
      </c>
      <c r="O249" s="6">
        <f>+Rendiciones[[#This Row],[Monto Neto ]]+Rendiciones[[#This Row],[Monto Exento ]]+Rendiciones[[#This Row],[Iva]]</f>
        <v>0</v>
      </c>
      <c r="P249" t="s">
        <v>89</v>
      </c>
      <c r="Q249" s="138">
        <v>46153</v>
      </c>
      <c r="R249" s="20">
        <v>360000</v>
      </c>
      <c r="S249" s="20">
        <f>Rendiciones[[#This Row],[Total ]]-Rendiciones[[#This Row],[Monto ]]</f>
        <v>-360000</v>
      </c>
      <c r="U249" s="72"/>
    </row>
    <row r="250" spans="2:21" x14ac:dyDescent="0.3">
      <c r="B250" s="12" t="s">
        <v>519</v>
      </c>
      <c r="C250" s="12">
        <v>8</v>
      </c>
      <c r="D250" s="138">
        <v>46161</v>
      </c>
      <c r="E250" s="12" t="s">
        <v>549</v>
      </c>
      <c r="F250" s="11" t="str">
        <f>IF(Rendiciones[[#This Row],[Fecha ]]&lt;&gt;"",TEXT(Rendiciones[[#This Row],[Fecha ]],"MMMM"),"")</f>
        <v>mayo</v>
      </c>
      <c r="G250" s="11" t="s">
        <v>428</v>
      </c>
      <c r="H250" s="12" t="s">
        <v>8</v>
      </c>
      <c r="I250" s="12" t="s">
        <v>40</v>
      </c>
      <c r="L250" s="20"/>
      <c r="M250" s="20">
        <v>58012</v>
      </c>
      <c r="N250" s="20">
        <f>Rendiciones[[#This Row],[Monto Neto ]]*19%</f>
        <v>0</v>
      </c>
      <c r="O250" s="6">
        <f>+Rendiciones[[#This Row],[Monto Neto ]]+Rendiciones[[#This Row],[Monto Exento ]]+Rendiciones[[#This Row],[Iva]]</f>
        <v>58012</v>
      </c>
      <c r="Q250" s="138"/>
      <c r="R250" s="20"/>
      <c r="S250" s="20">
        <f>Rendiciones[[#This Row],[Total ]]-Rendiciones[[#This Row],[Monto ]]</f>
        <v>58012</v>
      </c>
      <c r="U250" s="72"/>
    </row>
    <row r="251" spans="2:21" x14ac:dyDescent="0.3">
      <c r="B251" s="12" t="s">
        <v>519</v>
      </c>
      <c r="C251" s="12">
        <v>8</v>
      </c>
      <c r="D251" s="138">
        <v>46161</v>
      </c>
      <c r="E251" s="12" t="s">
        <v>549</v>
      </c>
      <c r="F251" s="11" t="str">
        <f>IF(Rendiciones[[#This Row],[Fecha ]]&lt;&gt;"",TEXT(Rendiciones[[#This Row],[Fecha ]],"MMMM"),"")</f>
        <v>mayo</v>
      </c>
      <c r="G251" s="11" t="s">
        <v>428</v>
      </c>
      <c r="H251" s="12" t="s">
        <v>8</v>
      </c>
      <c r="I251" s="12" t="s">
        <v>39</v>
      </c>
      <c r="L251" s="20"/>
      <c r="M251" s="20">
        <f>2200+500+6800+1000+3750+3080+1700+2250+2500+3800</f>
        <v>27580</v>
      </c>
      <c r="N251" s="20">
        <f>Rendiciones[[#This Row],[Monto Neto ]]*19%</f>
        <v>0</v>
      </c>
      <c r="O251" s="6">
        <f>+Rendiciones[[#This Row],[Monto Neto ]]+Rendiciones[[#This Row],[Monto Exento ]]+Rendiciones[[#This Row],[Iva]]</f>
        <v>27580</v>
      </c>
      <c r="Q251" s="138"/>
      <c r="R251" s="20"/>
      <c r="S251" s="20">
        <f>Rendiciones[[#This Row],[Total ]]-Rendiciones[[#This Row],[Monto ]]</f>
        <v>27580</v>
      </c>
      <c r="U251" s="72"/>
    </row>
    <row r="252" spans="2:21" x14ac:dyDescent="0.3">
      <c r="B252" s="12" t="s">
        <v>519</v>
      </c>
      <c r="C252" s="12">
        <v>8</v>
      </c>
      <c r="D252" s="138">
        <v>46161</v>
      </c>
      <c r="E252" s="12" t="s">
        <v>549</v>
      </c>
      <c r="F252" s="11" t="str">
        <f>IF(Rendiciones[[#This Row],[Fecha ]]&lt;&gt;"",TEXT(Rendiciones[[#This Row],[Fecha ]],"MMMM"),"")</f>
        <v>mayo</v>
      </c>
      <c r="G252" s="11" t="s">
        <v>428</v>
      </c>
      <c r="H252" s="12" t="s">
        <v>8</v>
      </c>
      <c r="I252" s="12" t="s">
        <v>28</v>
      </c>
      <c r="K252" s="1" t="s">
        <v>81</v>
      </c>
      <c r="L252" s="20">
        <v>13167</v>
      </c>
      <c r="M252" s="20">
        <v>4331</v>
      </c>
      <c r="N252" s="20">
        <f>Rendiciones[[#This Row],[Monto Neto ]]*19%</f>
        <v>2501.73</v>
      </c>
      <c r="O252" s="6">
        <f>+Rendiciones[[#This Row],[Monto Neto ]]+Rendiciones[[#This Row],[Monto Exento ]]+Rendiciones[[#This Row],[Iva]]</f>
        <v>19999.73</v>
      </c>
      <c r="Q252" s="138"/>
      <c r="R252" s="20"/>
      <c r="S252" s="20">
        <f>Rendiciones[[#This Row],[Total ]]-Rendiciones[[#This Row],[Monto ]]</f>
        <v>19999.73</v>
      </c>
      <c r="U252" s="72"/>
    </row>
    <row r="253" spans="2:21" x14ac:dyDescent="0.3">
      <c r="B253" s="12" t="s">
        <v>519</v>
      </c>
      <c r="C253" s="12">
        <v>8</v>
      </c>
      <c r="D253" s="138">
        <v>46161</v>
      </c>
      <c r="E253" s="12" t="s">
        <v>549</v>
      </c>
      <c r="F253" s="11" t="str">
        <f>IF(Rendiciones[[#This Row],[Fecha ]]&lt;&gt;"",TEXT(Rendiciones[[#This Row],[Fecha ]],"MMMM"),"")</f>
        <v>mayo</v>
      </c>
      <c r="G253" s="11" t="s">
        <v>428</v>
      </c>
      <c r="H253" s="12" t="s">
        <v>8</v>
      </c>
      <c r="I253" s="12" t="s">
        <v>28</v>
      </c>
      <c r="K253" s="1" t="s">
        <v>81</v>
      </c>
      <c r="L253" s="20">
        <v>50745</v>
      </c>
      <c r="M253" s="20">
        <v>15621.8</v>
      </c>
      <c r="N253" s="20">
        <f>Rendiciones[[#This Row],[Monto Neto ]]*19%</f>
        <v>9641.5499999999993</v>
      </c>
      <c r="O253" s="6">
        <f>+Rendiciones[[#This Row],[Monto Neto ]]+Rendiciones[[#This Row],[Monto Exento ]]+Rendiciones[[#This Row],[Iva]]</f>
        <v>76008.350000000006</v>
      </c>
      <c r="Q253" s="138"/>
      <c r="R253" s="20"/>
      <c r="S253" s="20">
        <f>Rendiciones[[#This Row],[Total ]]-Rendiciones[[#This Row],[Monto ]]</f>
        <v>76008.350000000006</v>
      </c>
      <c r="U253" s="72"/>
    </row>
    <row r="254" spans="2:21" x14ac:dyDescent="0.3">
      <c r="B254" s="12" t="s">
        <v>519</v>
      </c>
      <c r="C254" s="12">
        <v>8</v>
      </c>
      <c r="D254" s="138">
        <v>46161</v>
      </c>
      <c r="E254" s="12" t="s">
        <v>549</v>
      </c>
      <c r="F254" s="11" t="str">
        <f>IF(Rendiciones[[#This Row],[Fecha ]]&lt;&gt;"",TEXT(Rendiciones[[#This Row],[Fecha ]],"MMMM"),"")</f>
        <v>mayo</v>
      </c>
      <c r="G254" s="11" t="s">
        <v>428</v>
      </c>
      <c r="H254" s="12" t="s">
        <v>8</v>
      </c>
      <c r="I254" s="12" t="s">
        <v>28</v>
      </c>
      <c r="K254" s="1" t="s">
        <v>81</v>
      </c>
      <c r="L254" s="20">
        <v>33629</v>
      </c>
      <c r="M254" s="20">
        <v>1</v>
      </c>
      <c r="N254" s="20">
        <f>Rendiciones[[#This Row],[Monto Neto ]]*19%</f>
        <v>6389.51</v>
      </c>
      <c r="O254" s="6">
        <f>+Rendiciones[[#This Row],[Monto Neto ]]+Rendiciones[[#This Row],[Monto Exento ]]+Rendiciones[[#This Row],[Iva]]</f>
        <v>40019.51</v>
      </c>
      <c r="Q254" s="138"/>
      <c r="R254" s="20"/>
      <c r="S254" s="20">
        <f>Rendiciones[[#This Row],[Total ]]-Rendiciones[[#This Row],[Monto ]]</f>
        <v>40019.51</v>
      </c>
      <c r="U254" s="72"/>
    </row>
    <row r="255" spans="2:21" x14ac:dyDescent="0.3">
      <c r="B255" s="12" t="s">
        <v>519</v>
      </c>
      <c r="C255" s="12">
        <v>8</v>
      </c>
      <c r="D255" s="138">
        <v>46161</v>
      </c>
      <c r="E255" s="12" t="s">
        <v>549</v>
      </c>
      <c r="F255" s="11" t="str">
        <f>IF(Rendiciones[[#This Row],[Fecha ]]&lt;&gt;"",TEXT(Rendiciones[[#This Row],[Fecha ]],"MMMM"),"")</f>
        <v>mayo</v>
      </c>
      <c r="G255" s="11" t="s">
        <v>428</v>
      </c>
      <c r="H255" s="12" t="s">
        <v>8</v>
      </c>
      <c r="I255" s="12" t="s">
        <v>429</v>
      </c>
      <c r="K255" s="1" t="s">
        <v>81</v>
      </c>
      <c r="L255" s="20"/>
      <c r="M255" s="20"/>
      <c r="N255" s="20">
        <v>96690</v>
      </c>
      <c r="O255" s="6">
        <f>+Rendiciones[[#This Row],[Monto Neto ]]+Rendiciones[[#This Row],[Monto Exento ]]+Rendiciones[[#This Row],[Iva]]</f>
        <v>96690</v>
      </c>
      <c r="Q255" s="138"/>
      <c r="R255" s="20"/>
      <c r="S255" s="20">
        <f>Rendiciones[[#This Row],[Total ]]-Rendiciones[[#This Row],[Monto ]]</f>
        <v>96690</v>
      </c>
      <c r="U255" s="72"/>
    </row>
    <row r="256" spans="2:21" x14ac:dyDescent="0.3">
      <c r="B256" s="12" t="s">
        <v>519</v>
      </c>
      <c r="C256" s="12">
        <v>8</v>
      </c>
      <c r="D256" s="138">
        <v>46161</v>
      </c>
      <c r="E256" s="12" t="s">
        <v>549</v>
      </c>
      <c r="F256" s="11" t="str">
        <f>IF(Rendiciones[[#This Row],[Fecha ]]&lt;&gt;"",TEXT(Rendiciones[[#This Row],[Fecha ]],"MMMM"),"")</f>
        <v>mayo</v>
      </c>
      <c r="G256" s="11" t="s">
        <v>428</v>
      </c>
      <c r="H256" s="12" t="s">
        <v>8</v>
      </c>
      <c r="I256" s="12" t="s">
        <v>429</v>
      </c>
      <c r="L256" s="20"/>
      <c r="M256" s="20">
        <f>3180+19800+21900</f>
        <v>44880</v>
      </c>
      <c r="N256" s="20">
        <f>Rendiciones[[#This Row],[Monto Neto ]]*19%</f>
        <v>0</v>
      </c>
      <c r="O256" s="6">
        <f>+Rendiciones[[#This Row],[Monto Neto ]]+Rendiciones[[#This Row],[Monto Exento ]]+Rendiciones[[#This Row],[Iva]]</f>
        <v>44880</v>
      </c>
      <c r="Q256" s="138"/>
      <c r="R256" s="20"/>
      <c r="S256" s="20">
        <f>Rendiciones[[#This Row],[Total ]]-Rendiciones[[#This Row],[Monto ]]</f>
        <v>44880</v>
      </c>
      <c r="U256" s="72"/>
    </row>
    <row r="257" spans="2:21" ht="14.5" customHeight="1" x14ac:dyDescent="0.3">
      <c r="B257" s="12" t="s">
        <v>519</v>
      </c>
      <c r="C257" s="12">
        <v>8</v>
      </c>
      <c r="D257" s="138">
        <v>46161</v>
      </c>
      <c r="E257" s="12" t="s">
        <v>549</v>
      </c>
      <c r="F257" s="11" t="str">
        <f>IF(Rendiciones[[#This Row],[Fecha ]]&lt;&gt;"",TEXT(Rendiciones[[#This Row],[Fecha ]],"MMMM"),"")</f>
        <v>mayo</v>
      </c>
      <c r="G257" s="11" t="s">
        <v>428</v>
      </c>
      <c r="H257" s="12" t="s">
        <v>8</v>
      </c>
      <c r="I257" s="12" t="s">
        <v>28</v>
      </c>
      <c r="K257" s="1" t="s">
        <v>81</v>
      </c>
      <c r="L257" s="20">
        <v>49351</v>
      </c>
      <c r="M257" s="20">
        <f>19667.5-3355.6</f>
        <v>16311.9</v>
      </c>
      <c r="N257" s="20">
        <f>Rendiciones[[#This Row],[Monto Neto ]]*19%</f>
        <v>9376.69</v>
      </c>
      <c r="O257" s="6">
        <f>+Rendiciones[[#This Row],[Monto Neto ]]+Rendiciones[[#This Row],[Monto Exento ]]+Rendiciones[[#This Row],[Iva]]</f>
        <v>75039.59</v>
      </c>
      <c r="Q257" s="138"/>
      <c r="R257" s="20"/>
      <c r="S257" s="20">
        <f>Rendiciones[[#This Row],[Total ]]-Rendiciones[[#This Row],[Monto ]]</f>
        <v>75039.59</v>
      </c>
      <c r="U257" s="72"/>
    </row>
    <row r="258" spans="2:21" ht="14.5" customHeight="1" x14ac:dyDescent="0.3">
      <c r="B258" s="12" t="s">
        <v>519</v>
      </c>
      <c r="C258" s="12">
        <v>8</v>
      </c>
      <c r="D258" s="138">
        <v>46161</v>
      </c>
      <c r="E258" s="12" t="s">
        <v>549</v>
      </c>
      <c r="F258" s="11" t="str">
        <f>IF(Rendiciones[[#This Row],[Fecha ]]&lt;&gt;"",TEXT(Rendiciones[[#This Row],[Fecha ]],"MMMM"),"")</f>
        <v>mayo</v>
      </c>
      <c r="G258" s="11" t="s">
        <v>428</v>
      </c>
      <c r="H258" s="12" t="s">
        <v>8</v>
      </c>
      <c r="I258" s="12" t="s">
        <v>52</v>
      </c>
      <c r="J258" s="1" t="s">
        <v>550</v>
      </c>
      <c r="K258" s="1" t="s">
        <v>81</v>
      </c>
      <c r="L258" s="20">
        <v>25917</v>
      </c>
      <c r="M258" s="20"/>
      <c r="N258" s="20">
        <f>Rendiciones[[#This Row],[Monto Neto ]]*19%</f>
        <v>4924.2300000000005</v>
      </c>
      <c r="O258" s="6">
        <f>+Rendiciones[[#This Row],[Monto Neto ]]+Rendiciones[[#This Row],[Monto Exento ]]+Rendiciones[[#This Row],[Iva]]</f>
        <v>30841.23</v>
      </c>
      <c r="P258" t="s">
        <v>89</v>
      </c>
      <c r="Q258" s="138">
        <v>46161</v>
      </c>
      <c r="R258" s="20">
        <v>109071</v>
      </c>
      <c r="S258" s="20">
        <f>Rendiciones[[#This Row],[Total ]]-Rendiciones[[#This Row],[Monto ]]</f>
        <v>-78229.77</v>
      </c>
      <c r="U258" s="72"/>
    </row>
    <row r="259" spans="2:21" x14ac:dyDescent="0.3">
      <c r="B259" s="12" t="s">
        <v>519</v>
      </c>
      <c r="D259" s="138"/>
      <c r="F259" s="11" t="str">
        <f>IF(Rendiciones[[#This Row],[Fecha ]]&lt;&gt;"",TEXT(Rendiciones[[#This Row],[Fecha ]],"MMMM"),"")</f>
        <v/>
      </c>
      <c r="G259" s="11"/>
      <c r="L259" s="20"/>
      <c r="M259" s="20"/>
      <c r="N259" s="20">
        <f>Rendiciones[[#This Row],[Monto Neto ]]*19%</f>
        <v>0</v>
      </c>
      <c r="O259" s="6">
        <f>+Rendiciones[[#This Row],[Monto Neto ]]+Rendiciones[[#This Row],[Monto Exento ]]+Rendiciones[[#This Row],[Iva]]</f>
        <v>0</v>
      </c>
      <c r="P259" t="s">
        <v>89</v>
      </c>
      <c r="Q259" s="138">
        <v>46167</v>
      </c>
      <c r="R259" s="20">
        <v>300000</v>
      </c>
      <c r="S259" s="20">
        <f>Rendiciones[[#This Row],[Total ]]-Rendiciones[[#This Row],[Monto ]]</f>
        <v>-300000</v>
      </c>
      <c r="U259" s="72"/>
    </row>
    <row r="260" spans="2:21" x14ac:dyDescent="0.3">
      <c r="B260" s="12" t="s">
        <v>100</v>
      </c>
      <c r="C260" s="12">
        <v>6</v>
      </c>
      <c r="D260" s="138">
        <v>46153</v>
      </c>
      <c r="E260" s="12" t="s">
        <v>544</v>
      </c>
      <c r="F260" s="11" t="str">
        <f>IF(Rendiciones[[#This Row],[Fecha ]]&lt;&gt;"",TEXT(Rendiciones[[#This Row],[Fecha ]],"MMMM"),"")</f>
        <v>mayo</v>
      </c>
      <c r="G260" s="11" t="s">
        <v>428</v>
      </c>
      <c r="H260" s="12" t="s">
        <v>8</v>
      </c>
      <c r="I260" s="12" t="s">
        <v>40</v>
      </c>
      <c r="K260" s="1" t="s">
        <v>81</v>
      </c>
      <c r="L260" s="20">
        <v>87502</v>
      </c>
      <c r="M260" s="20"/>
      <c r="N260" s="20">
        <f>Rendiciones[[#This Row],[Monto Neto ]]*19%</f>
        <v>16625.38</v>
      </c>
      <c r="O260" s="6">
        <f>+Rendiciones[[#This Row],[Monto Neto ]]+Rendiciones[[#This Row],[Monto Exento ]]+Rendiciones[[#This Row],[Iva]]</f>
        <v>104127.38</v>
      </c>
      <c r="Q260" s="138"/>
      <c r="R260" s="20"/>
      <c r="S260" s="20">
        <f>Rendiciones[[#This Row],[Total ]]-Rendiciones[[#This Row],[Monto ]]</f>
        <v>104127.38</v>
      </c>
      <c r="U260" s="72"/>
    </row>
    <row r="261" spans="2:21" x14ac:dyDescent="0.3">
      <c r="B261" s="12" t="s">
        <v>100</v>
      </c>
      <c r="C261" s="12">
        <v>6</v>
      </c>
      <c r="D261" s="138">
        <v>46153</v>
      </c>
      <c r="E261" s="12" t="s">
        <v>544</v>
      </c>
      <c r="F261" s="11" t="str">
        <f>IF(Rendiciones[[#This Row],[Fecha ]]&lt;&gt;"",TEXT(Rendiciones[[#This Row],[Fecha ]],"MMMM"),"")</f>
        <v>mayo</v>
      </c>
      <c r="G261" s="11" t="s">
        <v>428</v>
      </c>
      <c r="H261" s="12" t="s">
        <v>8</v>
      </c>
      <c r="I261" s="12" t="s">
        <v>60</v>
      </c>
      <c r="L261" s="20"/>
      <c r="M261" s="20">
        <v>135029</v>
      </c>
      <c r="N261" s="20">
        <f>Rendiciones[[#This Row],[Monto Neto ]]*19%</f>
        <v>0</v>
      </c>
      <c r="O261" s="6">
        <f>+Rendiciones[[#This Row],[Monto Neto ]]+Rendiciones[[#This Row],[Monto Exento ]]+Rendiciones[[#This Row],[Iva]]</f>
        <v>135029</v>
      </c>
      <c r="Q261" s="138"/>
      <c r="R261" s="20"/>
      <c r="S261" s="20">
        <f>Rendiciones[[#This Row],[Total ]]-Rendiciones[[#This Row],[Monto ]]</f>
        <v>135029</v>
      </c>
      <c r="U261" s="72"/>
    </row>
    <row r="262" spans="2:21" x14ac:dyDescent="0.3">
      <c r="B262" s="12" t="s">
        <v>100</v>
      </c>
      <c r="C262" s="12">
        <v>6</v>
      </c>
      <c r="D262" s="138">
        <v>46153</v>
      </c>
      <c r="E262" s="12" t="s">
        <v>544</v>
      </c>
      <c r="F262" s="11" t="str">
        <f>IF(Rendiciones[[#This Row],[Fecha ]]&lt;&gt;"",TEXT(Rendiciones[[#This Row],[Fecha ]],"MMMM"),"")</f>
        <v>mayo</v>
      </c>
      <c r="G262" s="11" t="s">
        <v>428</v>
      </c>
      <c r="H262" s="12" t="s">
        <v>8</v>
      </c>
      <c r="I262" s="12" t="s">
        <v>31</v>
      </c>
      <c r="L262" s="20"/>
      <c r="M262" s="20">
        <f>2890+2258+3096+6901+5097+2698+2330</f>
        <v>25270</v>
      </c>
      <c r="N262" s="20">
        <f>Rendiciones[[#This Row],[Monto Neto ]]*19%</f>
        <v>0</v>
      </c>
      <c r="O262" s="6">
        <f>+Rendiciones[[#This Row],[Monto Neto ]]+Rendiciones[[#This Row],[Monto Exento ]]+Rendiciones[[#This Row],[Iva]]</f>
        <v>25270</v>
      </c>
      <c r="Q262" s="138"/>
      <c r="R262" s="20"/>
      <c r="S262" s="20">
        <f>Rendiciones[[#This Row],[Total ]]-Rendiciones[[#This Row],[Monto ]]</f>
        <v>25270</v>
      </c>
      <c r="U262" s="72"/>
    </row>
    <row r="263" spans="2:21" x14ac:dyDescent="0.3">
      <c r="B263" s="12" t="s">
        <v>100</v>
      </c>
      <c r="C263" s="12">
        <v>6</v>
      </c>
      <c r="D263" s="138">
        <v>46153</v>
      </c>
      <c r="E263" s="12" t="s">
        <v>544</v>
      </c>
      <c r="F263" s="11" t="str">
        <f>IF(Rendiciones[[#This Row],[Fecha ]]&lt;&gt;"",TEXT(Rendiciones[[#This Row],[Fecha ]],"MMMM"),"")</f>
        <v>mayo</v>
      </c>
      <c r="G263" s="11" t="s">
        <v>428</v>
      </c>
      <c r="H263" s="12" t="s">
        <v>8</v>
      </c>
      <c r="I263" s="12" t="s">
        <v>60</v>
      </c>
      <c r="L263" s="20"/>
      <c r="M263" s="20">
        <f>8000+42840</f>
        <v>50840</v>
      </c>
      <c r="N263" s="20">
        <f>Rendiciones[[#This Row],[Monto Neto ]]*19%</f>
        <v>0</v>
      </c>
      <c r="O263" s="6">
        <f>+Rendiciones[[#This Row],[Monto Neto ]]+Rendiciones[[#This Row],[Monto Exento ]]+Rendiciones[[#This Row],[Iva]]</f>
        <v>50840</v>
      </c>
      <c r="Q263" s="138"/>
      <c r="R263" s="20"/>
      <c r="S263" s="20">
        <f>Rendiciones[[#This Row],[Total ]]-Rendiciones[[#This Row],[Monto ]]</f>
        <v>50840</v>
      </c>
      <c r="U263" s="72"/>
    </row>
    <row r="264" spans="2:21" x14ac:dyDescent="0.3">
      <c r="B264" s="12" t="s">
        <v>100</v>
      </c>
      <c r="C264" s="12">
        <v>6</v>
      </c>
      <c r="D264" s="138">
        <v>46153</v>
      </c>
      <c r="E264" s="12" t="s">
        <v>544</v>
      </c>
      <c r="F264" s="11" t="str">
        <f>IF(Rendiciones[[#This Row],[Fecha ]]&lt;&gt;"",TEXT(Rendiciones[[#This Row],[Fecha ]],"MMMM"),"")</f>
        <v>mayo</v>
      </c>
      <c r="G264" s="11" t="s">
        <v>428</v>
      </c>
      <c r="H264" s="12" t="s">
        <v>8</v>
      </c>
      <c r="I264" s="12" t="s">
        <v>429</v>
      </c>
      <c r="L264" s="20"/>
      <c r="M264" s="20">
        <f>11000+17160+4990</f>
        <v>33150</v>
      </c>
      <c r="N264" s="20">
        <f>Rendiciones[[#This Row],[Monto Neto ]]*19%</f>
        <v>0</v>
      </c>
      <c r="O264" s="6">
        <f>+Rendiciones[[#This Row],[Monto Neto ]]+Rendiciones[[#This Row],[Monto Exento ]]+Rendiciones[[#This Row],[Iva]]</f>
        <v>33150</v>
      </c>
      <c r="P264" t="s">
        <v>89</v>
      </c>
      <c r="Q264" s="138">
        <v>46160</v>
      </c>
      <c r="R264" s="20">
        <v>348416.38</v>
      </c>
      <c r="S264" s="20">
        <f>Rendiciones[[#This Row],[Total ]]-Rendiciones[[#This Row],[Monto ]]</f>
        <v>-315266.38</v>
      </c>
      <c r="U264" s="72"/>
    </row>
    <row r="265" spans="2:21" x14ac:dyDescent="0.3">
      <c r="B265" s="12" t="s">
        <v>519</v>
      </c>
      <c r="C265" s="12">
        <v>9</v>
      </c>
      <c r="D265" s="138">
        <v>46164</v>
      </c>
      <c r="E265" s="12" t="s">
        <v>549</v>
      </c>
      <c r="F265" s="11" t="str">
        <f>IF(Rendiciones[[#This Row],[Fecha ]]&lt;&gt;"",TEXT(Rendiciones[[#This Row],[Fecha ]],"MMMM"),"")</f>
        <v>mayo</v>
      </c>
      <c r="G265" s="11" t="s">
        <v>428</v>
      </c>
      <c r="H265" s="12" t="s">
        <v>6</v>
      </c>
      <c r="I265" s="12" t="s">
        <v>39</v>
      </c>
      <c r="L265" s="20"/>
      <c r="M265" s="20">
        <f>2000+1050+4950+2400+500</f>
        <v>10900</v>
      </c>
      <c r="N265" s="20">
        <f>Rendiciones[[#This Row],[Monto Neto ]]*19%</f>
        <v>0</v>
      </c>
      <c r="O265" s="6">
        <f>+Rendiciones[[#This Row],[Monto Neto ]]+Rendiciones[[#This Row],[Monto Exento ]]+Rendiciones[[#This Row],[Iva]]</f>
        <v>10900</v>
      </c>
      <c r="Q265" s="138"/>
      <c r="R265" s="20"/>
      <c r="S265" s="20">
        <f>Rendiciones[[#This Row],[Total ]]-Rendiciones[[#This Row],[Monto ]]</f>
        <v>10900</v>
      </c>
      <c r="U265" s="72"/>
    </row>
    <row r="266" spans="2:21" x14ac:dyDescent="0.3">
      <c r="B266" s="12" t="s">
        <v>519</v>
      </c>
      <c r="C266" s="12">
        <v>9</v>
      </c>
      <c r="D266" s="138">
        <v>46164</v>
      </c>
      <c r="E266" s="12" t="s">
        <v>549</v>
      </c>
      <c r="F266" s="11" t="str">
        <f>IF(Rendiciones[[#This Row],[Fecha ]]&lt;&gt;"",TEXT(Rendiciones[[#This Row],[Fecha ]],"MMMM"),"")</f>
        <v>mayo</v>
      </c>
      <c r="G266" s="11" t="s">
        <v>428</v>
      </c>
      <c r="H266" s="12" t="s">
        <v>6</v>
      </c>
      <c r="I266" s="12" t="s">
        <v>429</v>
      </c>
      <c r="L266" s="20"/>
      <c r="M266" s="20">
        <f>11690+9700+10880+1490+12300</f>
        <v>46060</v>
      </c>
      <c r="N266" s="20">
        <f>Rendiciones[[#This Row],[Monto Neto ]]*19%</f>
        <v>0</v>
      </c>
      <c r="O266" s="6">
        <f>+Rendiciones[[#This Row],[Monto Neto ]]+Rendiciones[[#This Row],[Monto Exento ]]+Rendiciones[[#This Row],[Iva]]</f>
        <v>46060</v>
      </c>
      <c r="Q266" s="138"/>
      <c r="R266" s="20"/>
      <c r="S266" s="20">
        <f>Rendiciones[[#This Row],[Total ]]-Rendiciones[[#This Row],[Monto ]]</f>
        <v>46060</v>
      </c>
      <c r="U266" s="72"/>
    </row>
    <row r="267" spans="2:21" x14ac:dyDescent="0.3">
      <c r="B267" s="12" t="s">
        <v>519</v>
      </c>
      <c r="C267" s="12">
        <v>9</v>
      </c>
      <c r="D267" s="138">
        <v>46164</v>
      </c>
      <c r="E267" s="12" t="s">
        <v>549</v>
      </c>
      <c r="F267" s="11" t="str">
        <f>IF(Rendiciones[[#This Row],[Fecha ]]&lt;&gt;"",TEXT(Rendiciones[[#This Row],[Fecha ]],"MMMM"),"")</f>
        <v>mayo</v>
      </c>
      <c r="G267" s="11" t="s">
        <v>428</v>
      </c>
      <c r="H267" s="12" t="s">
        <v>6</v>
      </c>
      <c r="I267" s="12" t="s">
        <v>28</v>
      </c>
      <c r="K267" s="1" t="s">
        <v>81</v>
      </c>
      <c r="L267" s="20">
        <v>26887</v>
      </c>
      <c r="M267" s="20">
        <v>8004</v>
      </c>
      <c r="N267" s="20">
        <f>Rendiciones[[#This Row],[Monto Neto ]]*19%</f>
        <v>5108.53</v>
      </c>
      <c r="O267" s="6">
        <f>+Rendiciones[[#This Row],[Monto Neto ]]+Rendiciones[[#This Row],[Monto Exento ]]+Rendiciones[[#This Row],[Iva]]</f>
        <v>39999.53</v>
      </c>
      <c r="Q267" s="138"/>
      <c r="R267" s="20"/>
      <c r="S267" s="20">
        <f>Rendiciones[[#This Row],[Total ]]-Rendiciones[[#This Row],[Monto ]]</f>
        <v>39999.53</v>
      </c>
      <c r="U267" s="72"/>
    </row>
    <row r="268" spans="2:21" x14ac:dyDescent="0.3">
      <c r="B268" s="12" t="s">
        <v>519</v>
      </c>
      <c r="C268" s="12">
        <v>9</v>
      </c>
      <c r="D268" s="138">
        <v>46164</v>
      </c>
      <c r="E268" s="12" t="s">
        <v>549</v>
      </c>
      <c r="F268" s="11" t="str">
        <f>IF(Rendiciones[[#This Row],[Fecha ]]&lt;&gt;"",TEXT(Rendiciones[[#This Row],[Fecha ]],"MMMM"),"")</f>
        <v>mayo</v>
      </c>
      <c r="G268" s="11" t="s">
        <v>428</v>
      </c>
      <c r="H268" s="12" t="s">
        <v>6</v>
      </c>
      <c r="I268" s="12" t="s">
        <v>28</v>
      </c>
      <c r="K268" s="1" t="s">
        <v>81</v>
      </c>
      <c r="L268" s="20">
        <v>40477</v>
      </c>
      <c r="M268" s="20">
        <f>15438-3606</f>
        <v>11832</v>
      </c>
      <c r="N268" s="20">
        <f>Rendiciones[[#This Row],[Monto Neto ]]*19%</f>
        <v>7690.63</v>
      </c>
      <c r="O268" s="6">
        <f>+Rendiciones[[#This Row],[Monto Neto ]]+Rendiciones[[#This Row],[Monto Exento ]]+Rendiciones[[#This Row],[Iva]]</f>
        <v>59999.63</v>
      </c>
      <c r="P268" t="s">
        <v>89</v>
      </c>
      <c r="Q268" s="138">
        <v>46178</v>
      </c>
      <c r="R268" s="20">
        <v>156960</v>
      </c>
      <c r="S268" s="20">
        <f>Rendiciones[[#This Row],[Total ]]-Rendiciones[[#This Row],[Monto ]]</f>
        <v>-96960.37</v>
      </c>
      <c r="U268" s="72"/>
    </row>
    <row r="269" spans="2:21" x14ac:dyDescent="0.3">
      <c r="B269" s="12" t="s">
        <v>519</v>
      </c>
      <c r="C269" s="12">
        <v>10</v>
      </c>
      <c r="D269" s="138">
        <v>46171</v>
      </c>
      <c r="E269" s="12" t="s">
        <v>552</v>
      </c>
      <c r="F269" s="11" t="str">
        <f>IF(Rendiciones[[#This Row],[Fecha ]]&lt;&gt;"",TEXT(Rendiciones[[#This Row],[Fecha ]],"MMMM"),"")</f>
        <v>mayo</v>
      </c>
      <c r="G269" s="11" t="s">
        <v>428</v>
      </c>
      <c r="H269" s="12" t="s">
        <v>8</v>
      </c>
      <c r="I269" s="12" t="s">
        <v>60</v>
      </c>
      <c r="K269" s="1" t="s">
        <v>81</v>
      </c>
      <c r="L269" s="20"/>
      <c r="M269" s="20">
        <v>108913</v>
      </c>
      <c r="N269" s="20">
        <f>Rendiciones[[#This Row],[Monto Neto ]]*19%</f>
        <v>0</v>
      </c>
      <c r="O269" s="6">
        <f>+Rendiciones[[#This Row],[Monto Neto ]]+Rendiciones[[#This Row],[Monto Exento ]]+Rendiciones[[#This Row],[Iva]]</f>
        <v>108913</v>
      </c>
      <c r="P269" t="s">
        <v>89</v>
      </c>
      <c r="Q269" s="138">
        <v>46161</v>
      </c>
      <c r="R269" s="20">
        <v>550000</v>
      </c>
      <c r="S269" s="20">
        <f>Rendiciones[[#This Row],[Total ]]-Rendiciones[[#This Row],[Monto ]]</f>
        <v>-441087</v>
      </c>
      <c r="U269" s="72"/>
    </row>
    <row r="270" spans="2:21" x14ac:dyDescent="0.3">
      <c r="B270" s="12" t="s">
        <v>519</v>
      </c>
      <c r="C270" s="12">
        <v>10</v>
      </c>
      <c r="D270" s="138">
        <v>46171</v>
      </c>
      <c r="E270" s="12" t="s">
        <v>552</v>
      </c>
      <c r="F270" s="11" t="str">
        <f>IF(Rendiciones[[#This Row],[Fecha ]]&lt;&gt;"",TEXT(Rendiciones[[#This Row],[Fecha ]],"MMMM"),"")</f>
        <v>mayo</v>
      </c>
      <c r="G270" s="11" t="s">
        <v>428</v>
      </c>
      <c r="H270" s="12" t="s">
        <v>8</v>
      </c>
      <c r="I270" s="12" t="s">
        <v>60</v>
      </c>
      <c r="K270" s="1" t="s">
        <v>81</v>
      </c>
      <c r="L270" s="20"/>
      <c r="M270" s="20">
        <v>106913</v>
      </c>
      <c r="N270" s="20">
        <f>Rendiciones[[#This Row],[Monto Neto ]]*19%</f>
        <v>0</v>
      </c>
      <c r="O270" s="6">
        <f>+Rendiciones[[#This Row],[Monto Neto ]]+Rendiciones[[#This Row],[Monto Exento ]]+Rendiciones[[#This Row],[Iva]]</f>
        <v>106913</v>
      </c>
      <c r="Q270" s="138"/>
      <c r="R270" s="20"/>
      <c r="S270" s="20">
        <f>Rendiciones[[#This Row],[Total ]]-Rendiciones[[#This Row],[Monto ]]</f>
        <v>106913</v>
      </c>
      <c r="U270" s="72"/>
    </row>
    <row r="271" spans="2:21" x14ac:dyDescent="0.3">
      <c r="B271" s="12" t="s">
        <v>519</v>
      </c>
      <c r="C271" s="12">
        <v>10</v>
      </c>
      <c r="D271" s="138">
        <v>46171</v>
      </c>
      <c r="E271" s="12" t="s">
        <v>552</v>
      </c>
      <c r="F271" s="11" t="str">
        <f>IF(Rendiciones[[#This Row],[Fecha ]]&lt;&gt;"",TEXT(Rendiciones[[#This Row],[Fecha ]],"MMMM"),"")</f>
        <v>mayo</v>
      </c>
      <c r="G271" s="11" t="s">
        <v>428</v>
      </c>
      <c r="H271" s="12" t="s">
        <v>8</v>
      </c>
      <c r="I271" s="12" t="s">
        <v>40</v>
      </c>
      <c r="K271" s="1" t="s">
        <v>81</v>
      </c>
      <c r="L271" s="20"/>
      <c r="M271" s="20">
        <v>85566</v>
      </c>
      <c r="N271" s="20">
        <f>Rendiciones[[#This Row],[Monto Neto ]]*19%</f>
        <v>0</v>
      </c>
      <c r="O271" s="6">
        <f>+Rendiciones[[#This Row],[Monto Neto ]]+Rendiciones[[#This Row],[Monto Exento ]]+Rendiciones[[#This Row],[Iva]]</f>
        <v>85566</v>
      </c>
      <c r="Q271" s="138"/>
      <c r="R271" s="20"/>
      <c r="S271" s="20">
        <f>Rendiciones[[#This Row],[Total ]]-Rendiciones[[#This Row],[Monto ]]</f>
        <v>85566</v>
      </c>
      <c r="U271" s="72"/>
    </row>
    <row r="272" spans="2:21" x14ac:dyDescent="0.3">
      <c r="B272" s="12" t="s">
        <v>519</v>
      </c>
      <c r="C272" s="12">
        <v>10</v>
      </c>
      <c r="D272" s="138">
        <v>46171</v>
      </c>
      <c r="E272" s="12" t="s">
        <v>552</v>
      </c>
      <c r="F272" s="11" t="str">
        <f>IF(Rendiciones[[#This Row],[Fecha ]]&lt;&gt;"",TEXT(Rendiciones[[#This Row],[Fecha ]],"MMMM"),"")</f>
        <v>mayo</v>
      </c>
      <c r="G272" s="11" t="s">
        <v>428</v>
      </c>
      <c r="H272" s="12" t="s">
        <v>8</v>
      </c>
      <c r="I272" s="12" t="s">
        <v>429</v>
      </c>
      <c r="K272" s="1" t="s">
        <v>81</v>
      </c>
      <c r="L272" s="20"/>
      <c r="M272" s="20">
        <v>31600</v>
      </c>
      <c r="N272" s="20">
        <v>3160</v>
      </c>
      <c r="O272" s="6">
        <f>+Rendiciones[[#This Row],[Monto Neto ]]+Rendiciones[[#This Row],[Monto Exento ]]+Rendiciones[[#This Row],[Iva]]</f>
        <v>34760</v>
      </c>
      <c r="Q272" s="138"/>
      <c r="R272" s="20"/>
      <c r="S272" s="20">
        <f>Rendiciones[[#This Row],[Total ]]-Rendiciones[[#This Row],[Monto ]]</f>
        <v>34760</v>
      </c>
      <c r="U272" s="72"/>
    </row>
    <row r="273" spans="2:21" x14ac:dyDescent="0.3">
      <c r="B273" s="12" t="s">
        <v>519</v>
      </c>
      <c r="C273" s="12">
        <v>10</v>
      </c>
      <c r="D273" s="138">
        <v>46171</v>
      </c>
      <c r="E273" s="12" t="s">
        <v>552</v>
      </c>
      <c r="F273" s="11" t="str">
        <f>IF(Rendiciones[[#This Row],[Fecha ]]&lt;&gt;"",TEXT(Rendiciones[[#This Row],[Fecha ]],"MMMM"),"")</f>
        <v>mayo</v>
      </c>
      <c r="G273" s="11" t="s">
        <v>428</v>
      </c>
      <c r="H273" s="12" t="s">
        <v>8</v>
      </c>
      <c r="I273" s="12" t="s">
        <v>429</v>
      </c>
      <c r="K273" s="1" t="s">
        <v>81</v>
      </c>
      <c r="L273" s="20">
        <v>15949</v>
      </c>
      <c r="M273" s="20"/>
      <c r="N273" s="20">
        <f>Rendiciones[[#This Row],[Monto Neto ]]*19%</f>
        <v>3030.31</v>
      </c>
      <c r="O273" s="6">
        <f>+Rendiciones[[#This Row],[Monto Neto ]]+Rendiciones[[#This Row],[Monto Exento ]]+Rendiciones[[#This Row],[Iva]]</f>
        <v>18979.310000000001</v>
      </c>
      <c r="Q273" s="138"/>
      <c r="R273" s="20"/>
      <c r="S273" s="20">
        <f>Rendiciones[[#This Row],[Total ]]-Rendiciones[[#This Row],[Monto ]]</f>
        <v>18979.310000000001</v>
      </c>
      <c r="U273" s="72"/>
    </row>
    <row r="274" spans="2:21" x14ac:dyDescent="0.3">
      <c r="B274" s="12" t="s">
        <v>519</v>
      </c>
      <c r="C274" s="12">
        <v>10</v>
      </c>
      <c r="D274" s="138">
        <v>46171</v>
      </c>
      <c r="E274" s="12" t="s">
        <v>552</v>
      </c>
      <c r="F274" s="11" t="str">
        <f>IF(Rendiciones[[#This Row],[Fecha ]]&lt;&gt;"",TEXT(Rendiciones[[#This Row],[Fecha ]],"MMMM"),"")</f>
        <v>mayo</v>
      </c>
      <c r="G274" s="11" t="s">
        <v>428</v>
      </c>
      <c r="H274" s="12" t="s">
        <v>8</v>
      </c>
      <c r="I274" s="12" t="s">
        <v>429</v>
      </c>
      <c r="L274" s="20"/>
      <c r="M274" s="20"/>
      <c r="N274" s="20">
        <f>Rendiciones[[#This Row],[Monto Neto ]]*19%</f>
        <v>0</v>
      </c>
      <c r="O274" s="6">
        <f>+Rendiciones[[#This Row],[Monto Neto ]]+Rendiciones[[#This Row],[Monto Exento ]]+Rendiciones[[#This Row],[Iva]]</f>
        <v>0</v>
      </c>
      <c r="Q274" s="138"/>
      <c r="R274" s="20"/>
      <c r="S274" s="20">
        <f>Rendiciones[[#This Row],[Total ]]-Rendiciones[[#This Row],[Monto ]]</f>
        <v>0</v>
      </c>
      <c r="U274" s="72"/>
    </row>
    <row r="275" spans="2:21" x14ac:dyDescent="0.3">
      <c r="B275" s="12" t="s">
        <v>519</v>
      </c>
      <c r="C275" s="12">
        <v>10</v>
      </c>
      <c r="D275" s="138">
        <v>46174</v>
      </c>
      <c r="E275" s="12" t="s">
        <v>553</v>
      </c>
      <c r="F275" s="11" t="str">
        <f>IF(Rendiciones[[#This Row],[Fecha ]]&lt;&gt;"",TEXT(Rendiciones[[#This Row],[Fecha ]],"MMMM"),"")</f>
        <v>junio</v>
      </c>
      <c r="G275" s="11" t="s">
        <v>428</v>
      </c>
      <c r="H275" s="12" t="s">
        <v>8</v>
      </c>
      <c r="I275" s="12" t="s">
        <v>28</v>
      </c>
      <c r="K275" s="1" t="s">
        <v>81</v>
      </c>
      <c r="L275" s="20">
        <v>49086</v>
      </c>
      <c r="M275" s="20">
        <v>18691</v>
      </c>
      <c r="N275" s="20">
        <f>Rendiciones[[#This Row],[Monto Neto ]]*19%</f>
        <v>9326.34</v>
      </c>
      <c r="O275" s="6">
        <f>+Rendiciones[[#This Row],[Monto Neto ]]+Rendiciones[[#This Row],[Monto Exento ]]+Rendiciones[[#This Row],[Iva]]</f>
        <v>77103.34</v>
      </c>
      <c r="Q275" s="138"/>
      <c r="R275" s="20"/>
      <c r="S275" s="20">
        <f>Rendiciones[[#This Row],[Total ]]-Rendiciones[[#This Row],[Monto ]]</f>
        <v>77103.34</v>
      </c>
      <c r="U275" s="72"/>
    </row>
    <row r="276" spans="2:21" x14ac:dyDescent="0.3">
      <c r="B276" s="12" t="s">
        <v>519</v>
      </c>
      <c r="C276" s="12">
        <v>10</v>
      </c>
      <c r="D276" s="138">
        <v>46171</v>
      </c>
      <c r="E276" s="12" t="s">
        <v>553</v>
      </c>
      <c r="F276" s="11" t="str">
        <f>IF(Rendiciones[[#This Row],[Fecha ]]&lt;&gt;"",TEXT(Rendiciones[[#This Row],[Fecha ]],"MMMM"),"")</f>
        <v>mayo</v>
      </c>
      <c r="G276" s="11" t="s">
        <v>428</v>
      </c>
      <c r="H276" s="12" t="s">
        <v>8</v>
      </c>
      <c r="I276" s="12" t="s">
        <v>429</v>
      </c>
      <c r="L276" s="20"/>
      <c r="M276" s="20">
        <f>23900+8200+8900+1590+13520+13600+4037</f>
        <v>73747</v>
      </c>
      <c r="N276" s="20">
        <f>Rendiciones[[#This Row],[Monto Neto ]]*19%</f>
        <v>0</v>
      </c>
      <c r="O276" s="6">
        <f>+Rendiciones[[#This Row],[Monto Neto ]]+Rendiciones[[#This Row],[Monto Exento ]]+Rendiciones[[#This Row],[Iva]]</f>
        <v>73747</v>
      </c>
      <c r="Q276" s="138"/>
      <c r="R276" s="20"/>
      <c r="S276" s="20">
        <f>Rendiciones[[#This Row],[Total ]]-Rendiciones[[#This Row],[Monto ]]</f>
        <v>73747</v>
      </c>
      <c r="U276" s="72"/>
    </row>
    <row r="277" spans="2:21" x14ac:dyDescent="0.3">
      <c r="B277" s="12" t="s">
        <v>519</v>
      </c>
      <c r="C277" s="12">
        <v>10</v>
      </c>
      <c r="D277" s="138">
        <v>46171</v>
      </c>
      <c r="E277" s="12" t="s">
        <v>553</v>
      </c>
      <c r="F277" s="11" t="str">
        <f>IF(Rendiciones[[#This Row],[Fecha ]]&lt;&gt;"",TEXT(Rendiciones[[#This Row],[Fecha ]],"MMMM"),"")</f>
        <v>mayo</v>
      </c>
      <c r="G277" s="11" t="s">
        <v>428</v>
      </c>
      <c r="H277" s="12" t="s">
        <v>8</v>
      </c>
      <c r="I277" s="12" t="s">
        <v>31</v>
      </c>
      <c r="L277" s="20"/>
      <c r="M277" s="20">
        <f>13496+3293+2906+4593+1793+2194+6500+7496+5594+5495+4112+3494+4794+2114+2064+2504+2064+2064+2064+4699+9926+2726+2294+2745+3393+3495+20893</f>
        <v>128805</v>
      </c>
      <c r="N277" s="20">
        <f>Rendiciones[[#This Row],[Monto Neto ]]*19%</f>
        <v>0</v>
      </c>
      <c r="O277" s="6">
        <f>+Rendiciones[[#This Row],[Monto Neto ]]+Rendiciones[[#This Row],[Monto Exento ]]+Rendiciones[[#This Row],[Iva]]</f>
        <v>128805</v>
      </c>
      <c r="Q277" s="138"/>
      <c r="R277" s="20"/>
      <c r="S277" s="20">
        <f>Rendiciones[[#This Row],[Total ]]-Rendiciones[[#This Row],[Monto ]]</f>
        <v>128805</v>
      </c>
      <c r="U277" s="72"/>
    </row>
    <row r="278" spans="2:21" x14ac:dyDescent="0.3">
      <c r="B278" s="12" t="s">
        <v>519</v>
      </c>
      <c r="C278" s="12">
        <v>10</v>
      </c>
      <c r="D278" s="138">
        <v>46171</v>
      </c>
      <c r="E278" s="12" t="s">
        <v>553</v>
      </c>
      <c r="F278" s="11" t="str">
        <f>IF(Rendiciones[[#This Row],[Fecha ]]&lt;&gt;"",TEXT(Rendiciones[[#This Row],[Fecha ]],"MMMM"),"")</f>
        <v>mayo</v>
      </c>
      <c r="G278" s="11" t="s">
        <v>428</v>
      </c>
      <c r="H278" s="12" t="s">
        <v>8</v>
      </c>
      <c r="I278" s="12" t="s">
        <v>60</v>
      </c>
      <c r="L278" s="20"/>
      <c r="M278" s="20">
        <f>5500+6500</f>
        <v>12000</v>
      </c>
      <c r="N278" s="20">
        <f>Rendiciones[[#This Row],[Monto Neto ]]*19%</f>
        <v>0</v>
      </c>
      <c r="O278" s="6">
        <f>+Rendiciones[[#This Row],[Monto Neto ]]+Rendiciones[[#This Row],[Monto Exento ]]+Rendiciones[[#This Row],[Iva]]</f>
        <v>12000</v>
      </c>
      <c r="Q278" s="138"/>
      <c r="R278" s="20"/>
      <c r="S278" s="20">
        <f>Rendiciones[[#This Row],[Total ]]-Rendiciones[[#This Row],[Monto ]]</f>
        <v>12000</v>
      </c>
      <c r="U278" s="72"/>
    </row>
    <row r="279" spans="2:21" x14ac:dyDescent="0.3">
      <c r="B279" s="12" t="s">
        <v>519</v>
      </c>
      <c r="C279" s="12">
        <v>10</v>
      </c>
      <c r="D279" s="138">
        <v>46171</v>
      </c>
      <c r="E279" s="12" t="s">
        <v>553</v>
      </c>
      <c r="F279" s="11" t="str">
        <f>IF(Rendiciones[[#This Row],[Fecha ]]&lt;&gt;"",TEXT(Rendiciones[[#This Row],[Fecha ]],"MMMM"),"")</f>
        <v>mayo</v>
      </c>
      <c r="G279" s="11" t="s">
        <v>428</v>
      </c>
      <c r="H279" s="12" t="s">
        <v>8</v>
      </c>
      <c r="I279" s="12" t="s">
        <v>40</v>
      </c>
      <c r="L279" s="20"/>
      <c r="M279" s="20">
        <v>138184</v>
      </c>
      <c r="N279" s="20">
        <f>Rendiciones[[#This Row],[Monto Neto ]]*19%</f>
        <v>0</v>
      </c>
      <c r="O279" s="6">
        <f>+Rendiciones[[#This Row],[Monto Neto ]]+Rendiciones[[#This Row],[Monto Exento ]]+Rendiciones[[#This Row],[Iva]]</f>
        <v>138184</v>
      </c>
      <c r="Q279" s="138"/>
      <c r="R279" s="20"/>
      <c r="S279" s="20">
        <f>Rendiciones[[#This Row],[Total ]]-Rendiciones[[#This Row],[Monto ]]</f>
        <v>138184</v>
      </c>
      <c r="U279" s="72"/>
    </row>
    <row r="280" spans="2:21" x14ac:dyDescent="0.3">
      <c r="B280" s="12" t="s">
        <v>519</v>
      </c>
      <c r="C280" s="12">
        <v>10</v>
      </c>
      <c r="D280" s="138">
        <v>46171</v>
      </c>
      <c r="E280" s="12" t="s">
        <v>553</v>
      </c>
      <c r="F280" s="11" t="str">
        <f>IF(Rendiciones[[#This Row],[Fecha ]]&lt;&gt;"",TEXT(Rendiciones[[#This Row],[Fecha ]],"MMMM"),"")</f>
        <v>mayo</v>
      </c>
      <c r="G280" s="11" t="s">
        <v>428</v>
      </c>
      <c r="H280" s="12" t="s">
        <v>8</v>
      </c>
      <c r="I280" s="12" t="s">
        <v>39</v>
      </c>
      <c r="L280" s="20"/>
      <c r="M280" s="20">
        <v>3200</v>
      </c>
      <c r="N280" s="20">
        <f>Rendiciones[[#This Row],[Monto Neto ]]*19%</f>
        <v>0</v>
      </c>
      <c r="O280" s="6">
        <f>+Rendiciones[[#This Row],[Monto Neto ]]+Rendiciones[[#This Row],[Monto Exento ]]+Rendiciones[[#This Row],[Iva]]</f>
        <v>3200</v>
      </c>
      <c r="P280" t="s">
        <v>89</v>
      </c>
      <c r="Q280" s="138">
        <v>46178</v>
      </c>
      <c r="R280" s="20">
        <v>557821</v>
      </c>
      <c r="S280" s="20">
        <f>Rendiciones[[#This Row],[Total ]]-Rendiciones[[#This Row],[Monto ]]</f>
        <v>-554621</v>
      </c>
      <c r="U280" s="72"/>
    </row>
    <row r="281" spans="2:21" x14ac:dyDescent="0.3">
      <c r="B281" s="12" t="s">
        <v>519</v>
      </c>
      <c r="C281" s="12">
        <v>11</v>
      </c>
      <c r="D281" s="138">
        <v>46177</v>
      </c>
      <c r="E281" s="12" t="s">
        <v>553</v>
      </c>
      <c r="F281" s="11" t="str">
        <f>IF(Rendiciones[[#This Row],[Fecha ]]&lt;&gt;"",TEXT(Rendiciones[[#This Row],[Fecha ]],"MMMM"),"")</f>
        <v>junio</v>
      </c>
      <c r="G281" s="11" t="s">
        <v>427</v>
      </c>
      <c r="H281" s="12" t="s">
        <v>6</v>
      </c>
      <c r="I281" s="12" t="s">
        <v>39</v>
      </c>
      <c r="L281" s="20"/>
      <c r="M281" s="20">
        <f>400+3250</f>
        <v>3650</v>
      </c>
      <c r="N281" s="20">
        <f>Rendiciones[[#This Row],[Monto Neto ]]*19%</f>
        <v>0</v>
      </c>
      <c r="O281" s="6">
        <f>+Rendiciones[[#This Row],[Monto Neto ]]+Rendiciones[[#This Row],[Monto Exento ]]+Rendiciones[[#This Row],[Iva]]</f>
        <v>3650</v>
      </c>
      <c r="Q281" s="138"/>
      <c r="R281" s="20"/>
      <c r="S281" s="20">
        <f>Rendiciones[[#This Row],[Total ]]-Rendiciones[[#This Row],[Monto ]]</f>
        <v>3650</v>
      </c>
      <c r="U281" s="72"/>
    </row>
    <row r="282" spans="2:21" x14ac:dyDescent="0.3">
      <c r="B282" s="12" t="s">
        <v>519</v>
      </c>
      <c r="C282" s="12">
        <v>11</v>
      </c>
      <c r="D282" s="138">
        <v>46177</v>
      </c>
      <c r="E282" s="12" t="s">
        <v>553</v>
      </c>
      <c r="F282" s="11" t="str">
        <f>IF(Rendiciones[[#This Row],[Fecha ]]&lt;&gt;"",TEXT(Rendiciones[[#This Row],[Fecha ]],"MMMM"),"")</f>
        <v>junio</v>
      </c>
      <c r="G282" s="11" t="s">
        <v>427</v>
      </c>
      <c r="H282" s="12" t="s">
        <v>6</v>
      </c>
      <c r="I282" s="12" t="s">
        <v>429</v>
      </c>
      <c r="K282" s="1" t="s">
        <v>81</v>
      </c>
      <c r="L282" s="20">
        <v>43580</v>
      </c>
      <c r="M282" s="20"/>
      <c r="N282" s="20">
        <f>Rendiciones[[#This Row],[Monto Neto ]]*19%</f>
        <v>8280.2000000000007</v>
      </c>
      <c r="O282" s="6">
        <f>+Rendiciones[[#This Row],[Monto Neto ]]+Rendiciones[[#This Row],[Monto Exento ]]+Rendiciones[[#This Row],[Iva]]</f>
        <v>51860.2</v>
      </c>
      <c r="Q282" s="138"/>
      <c r="R282" s="20"/>
      <c r="S282" s="20">
        <f>Rendiciones[[#This Row],[Total ]]-Rendiciones[[#This Row],[Monto ]]</f>
        <v>51860.2</v>
      </c>
      <c r="U282" s="72"/>
    </row>
    <row r="283" spans="2:21" x14ac:dyDescent="0.3">
      <c r="B283" s="12" t="s">
        <v>519</v>
      </c>
      <c r="C283" s="12">
        <v>11</v>
      </c>
      <c r="D283" s="138">
        <v>46177</v>
      </c>
      <c r="E283" s="12" t="s">
        <v>553</v>
      </c>
      <c r="F283" s="11" t="str">
        <f>IF(Rendiciones[[#This Row],[Fecha ]]&lt;&gt;"",TEXT(Rendiciones[[#This Row],[Fecha ]],"MMMM"),"")</f>
        <v>junio</v>
      </c>
      <c r="G283" s="11" t="s">
        <v>427</v>
      </c>
      <c r="H283" s="12" t="s">
        <v>6</v>
      </c>
      <c r="I283" s="12" t="s">
        <v>28</v>
      </c>
      <c r="K283" s="1" t="s">
        <v>81</v>
      </c>
      <c r="L283" s="20">
        <v>11842</v>
      </c>
      <c r="M283" s="20">
        <f>5254+654</f>
        <v>5908</v>
      </c>
      <c r="N283" s="20">
        <f>Rendiciones[[#This Row],[Monto Neto ]]*19%</f>
        <v>2249.98</v>
      </c>
      <c r="O283" s="6">
        <f>+Rendiciones[[#This Row],[Monto Neto ]]+Rendiciones[[#This Row],[Monto Exento ]]+Rendiciones[[#This Row],[Iva]]</f>
        <v>19999.98</v>
      </c>
      <c r="P283" t="s">
        <v>89</v>
      </c>
      <c r="Q283" s="138">
        <v>46178</v>
      </c>
      <c r="R283" s="20">
        <v>18149</v>
      </c>
      <c r="S283" s="20">
        <f>Rendiciones[[#This Row],[Total ]]-Rendiciones[[#This Row],[Monto ]]</f>
        <v>1850.9799999999996</v>
      </c>
      <c r="U283" s="72"/>
    </row>
    <row r="284" spans="2:21" x14ac:dyDescent="0.3">
      <c r="B284" s="12" t="s">
        <v>519</v>
      </c>
      <c r="C284" s="12">
        <v>11</v>
      </c>
      <c r="D284" s="138">
        <v>46177</v>
      </c>
      <c r="E284" s="12" t="s">
        <v>553</v>
      </c>
      <c r="F284" s="11" t="str">
        <f>IF(Rendiciones[[#This Row],[Fecha ]]&lt;&gt;"",TEXT(Rendiciones[[#This Row],[Fecha ]],"MMMM"),"")</f>
        <v>junio</v>
      </c>
      <c r="G284" s="11" t="s">
        <v>427</v>
      </c>
      <c r="H284" s="12" t="s">
        <v>6</v>
      </c>
      <c r="I284" s="12" t="s">
        <v>563</v>
      </c>
      <c r="K284" s="1" t="s">
        <v>81</v>
      </c>
      <c r="L284" s="20">
        <v>3697</v>
      </c>
      <c r="M284" s="20"/>
      <c r="N284" s="20">
        <f>Rendiciones[[#This Row],[Monto Neto ]]*19%</f>
        <v>702.43000000000006</v>
      </c>
      <c r="O284" s="6">
        <f>+Rendiciones[[#This Row],[Monto Neto ]]+Rendiciones[[#This Row],[Monto Exento ]]+Rendiciones[[#This Row],[Iva]]</f>
        <v>4399.43</v>
      </c>
      <c r="Q284" s="138"/>
      <c r="R284" s="20"/>
      <c r="S284" s="20">
        <f>Rendiciones[[#This Row],[Total ]]-Rendiciones[[#This Row],[Monto ]]</f>
        <v>4399.43</v>
      </c>
      <c r="U284" s="72"/>
    </row>
    <row r="285" spans="2:21" x14ac:dyDescent="0.3">
      <c r="B285" s="12" t="s">
        <v>100</v>
      </c>
      <c r="C285" s="12">
        <v>7</v>
      </c>
      <c r="D285" s="138">
        <v>46162</v>
      </c>
      <c r="E285" s="12" t="s">
        <v>549</v>
      </c>
      <c r="F285" s="11" t="str">
        <f>IF(Rendiciones[[#This Row],[Fecha ]]&lt;&gt;"",TEXT(Rendiciones[[#This Row],[Fecha ]],"MMMM"),"")</f>
        <v>mayo</v>
      </c>
      <c r="G285" s="11" t="s">
        <v>428</v>
      </c>
      <c r="H285" s="12" t="s">
        <v>6</v>
      </c>
      <c r="I285" s="12" t="s">
        <v>60</v>
      </c>
      <c r="L285" s="20"/>
      <c r="M285" s="20">
        <f>4000+4000+4000+4000</f>
        <v>16000</v>
      </c>
      <c r="N285" s="20">
        <f>Rendiciones[[#This Row],[Monto Neto ]]*19%</f>
        <v>0</v>
      </c>
      <c r="O285" s="6">
        <f>+Rendiciones[[#This Row],[Monto Neto ]]+Rendiciones[[#This Row],[Monto Exento ]]+Rendiciones[[#This Row],[Iva]]</f>
        <v>16000</v>
      </c>
      <c r="Q285" s="138"/>
      <c r="R285" s="20"/>
      <c r="S285" s="20">
        <f>Rendiciones[[#This Row],[Total ]]-Rendiciones[[#This Row],[Monto ]]</f>
        <v>16000</v>
      </c>
      <c r="U285" s="72"/>
    </row>
    <row r="286" spans="2:21" x14ac:dyDescent="0.3">
      <c r="B286" s="12" t="s">
        <v>100</v>
      </c>
      <c r="C286" s="12">
        <v>7</v>
      </c>
      <c r="D286" s="138">
        <v>46162</v>
      </c>
      <c r="E286" s="12" t="s">
        <v>549</v>
      </c>
      <c r="F286" s="11" t="str">
        <f>IF(Rendiciones[[#This Row],[Fecha ]]&lt;&gt;"",TEXT(Rendiciones[[#This Row],[Fecha ]],"MMMM"),"")</f>
        <v>mayo</v>
      </c>
      <c r="G286" s="11" t="s">
        <v>428</v>
      </c>
      <c r="H286" s="12" t="s">
        <v>6</v>
      </c>
      <c r="I286" s="12" t="s">
        <v>429</v>
      </c>
      <c r="L286" s="20"/>
      <c r="M286" s="20">
        <f>15500+8690+8420</f>
        <v>32610</v>
      </c>
      <c r="N286" s="20">
        <f>Rendiciones[[#This Row],[Monto Neto ]]*19%</f>
        <v>0</v>
      </c>
      <c r="O286" s="6">
        <f>+Rendiciones[[#This Row],[Monto Neto ]]+Rendiciones[[#This Row],[Monto Exento ]]+Rendiciones[[#This Row],[Iva]]</f>
        <v>32610</v>
      </c>
      <c r="Q286" s="138"/>
      <c r="R286" s="20"/>
      <c r="S286" s="20">
        <f>Rendiciones[[#This Row],[Total ]]-Rendiciones[[#This Row],[Monto ]]</f>
        <v>32610</v>
      </c>
      <c r="U286" s="72"/>
    </row>
    <row r="287" spans="2:21" x14ac:dyDescent="0.3">
      <c r="B287" s="12" t="s">
        <v>100</v>
      </c>
      <c r="C287" s="12">
        <v>7</v>
      </c>
      <c r="D287" s="138">
        <v>46162</v>
      </c>
      <c r="E287" s="12" t="s">
        <v>549</v>
      </c>
      <c r="F287" s="11" t="str">
        <f>IF(Rendiciones[[#This Row],[Fecha ]]&lt;&gt;"",TEXT(Rendiciones[[#This Row],[Fecha ]],"MMMM"),"")</f>
        <v>mayo</v>
      </c>
      <c r="G287" s="11" t="s">
        <v>428</v>
      </c>
      <c r="H287" s="12" t="s">
        <v>6</v>
      </c>
      <c r="I287" s="12" t="s">
        <v>31</v>
      </c>
      <c r="L287" s="20"/>
      <c r="M287" s="20">
        <f>2795+3599+2695+4098+5591</f>
        <v>18778</v>
      </c>
      <c r="N287" s="20">
        <f>Rendiciones[[#This Row],[Monto Neto ]]*19%</f>
        <v>0</v>
      </c>
      <c r="O287" s="6">
        <f>+Rendiciones[[#This Row],[Monto Neto ]]+Rendiciones[[#This Row],[Monto Exento ]]+Rendiciones[[#This Row],[Iva]]</f>
        <v>18778</v>
      </c>
      <c r="P287" t="s">
        <v>89</v>
      </c>
      <c r="Q287" s="138">
        <v>46171</v>
      </c>
      <c r="R287" s="20">
        <v>67388</v>
      </c>
      <c r="S287" s="20">
        <f>Rendiciones[[#This Row],[Total ]]-Rendiciones[[#This Row],[Monto ]]</f>
        <v>-48610</v>
      </c>
      <c r="U287" s="72"/>
    </row>
    <row r="288" spans="2:21" x14ac:dyDescent="0.3">
      <c r="B288" s="12" t="s">
        <v>100</v>
      </c>
      <c r="C288" s="12">
        <v>8</v>
      </c>
      <c r="D288" s="138">
        <v>46168</v>
      </c>
      <c r="E288" s="12" t="s">
        <v>552</v>
      </c>
      <c r="F288" s="11" t="str">
        <f>IF(Rendiciones[[#This Row],[Fecha ]]&lt;&gt;"",TEXT(Rendiciones[[#This Row],[Fecha ]],"MMMM"),"")</f>
        <v>mayo</v>
      </c>
      <c r="G288" s="11" t="s">
        <v>428</v>
      </c>
      <c r="H288" s="12" t="s">
        <v>8</v>
      </c>
      <c r="I288" s="12" t="s">
        <v>40</v>
      </c>
      <c r="K288" s="1" t="s">
        <v>81</v>
      </c>
      <c r="L288" s="20">
        <v>90000</v>
      </c>
      <c r="M288" s="20"/>
      <c r="N288" s="20">
        <f>Rendiciones[[#This Row],[Monto Neto ]]*19%</f>
        <v>17100</v>
      </c>
      <c r="O288" s="6">
        <f>+Rendiciones[[#This Row],[Monto Neto ]]+Rendiciones[[#This Row],[Monto Exento ]]+Rendiciones[[#This Row],[Iva]]</f>
        <v>107100</v>
      </c>
      <c r="Q288" s="138"/>
      <c r="R288" s="20"/>
      <c r="S288" s="20">
        <f>Rendiciones[[#This Row],[Total ]]-Rendiciones[[#This Row],[Monto ]]</f>
        <v>107100</v>
      </c>
      <c r="U288" s="72"/>
    </row>
    <row r="289" spans="2:21" x14ac:dyDescent="0.3">
      <c r="B289" s="12" t="s">
        <v>100</v>
      </c>
      <c r="C289" s="12">
        <v>8</v>
      </c>
      <c r="D289" s="138">
        <v>46168</v>
      </c>
      <c r="E289" s="12" t="s">
        <v>552</v>
      </c>
      <c r="F289" s="11" t="str">
        <f>IF(Rendiciones[[#This Row],[Fecha ]]&lt;&gt;"",TEXT(Rendiciones[[#This Row],[Fecha ]],"MMMM"),"")</f>
        <v>mayo</v>
      </c>
      <c r="G289" s="11" t="s">
        <v>428</v>
      </c>
      <c r="H289" s="12" t="s">
        <v>8</v>
      </c>
      <c r="I289" s="12" t="s">
        <v>31</v>
      </c>
      <c r="L289" s="20"/>
      <c r="M289" s="20">
        <f>5275+2064+2329+2704+8990+8499+4497</f>
        <v>34358</v>
      </c>
      <c r="N289" s="20">
        <f>Rendiciones[[#This Row],[Monto Neto ]]*19%</f>
        <v>0</v>
      </c>
      <c r="O289" s="6">
        <f>+Rendiciones[[#This Row],[Monto Neto ]]+Rendiciones[[#This Row],[Monto Exento ]]+Rendiciones[[#This Row],[Iva]]</f>
        <v>34358</v>
      </c>
      <c r="Q289" s="138"/>
      <c r="R289" s="20"/>
      <c r="S289" s="20">
        <f>Rendiciones[[#This Row],[Total ]]-Rendiciones[[#This Row],[Monto ]]</f>
        <v>34358</v>
      </c>
      <c r="U289" s="72"/>
    </row>
    <row r="290" spans="2:21" x14ac:dyDescent="0.3">
      <c r="B290" s="12" t="s">
        <v>100</v>
      </c>
      <c r="C290" s="12">
        <v>8</v>
      </c>
      <c r="D290" s="138">
        <v>46168</v>
      </c>
      <c r="E290" s="12" t="s">
        <v>552</v>
      </c>
      <c r="F290" s="11" t="str">
        <f>IF(Rendiciones[[#This Row],[Fecha ]]&lt;&gt;"",TEXT(Rendiciones[[#This Row],[Fecha ]],"MMMM"),"")</f>
        <v>mayo</v>
      </c>
      <c r="G290" s="11" t="s">
        <v>428</v>
      </c>
      <c r="H290" s="12" t="s">
        <v>8</v>
      </c>
      <c r="I290" s="12" t="s">
        <v>429</v>
      </c>
      <c r="L290" s="20"/>
      <c r="M290" s="20">
        <f>15210+5730+29810+8400</f>
        <v>59150</v>
      </c>
      <c r="N290" s="20">
        <f>Rendiciones[[#This Row],[Monto Neto ]]*19%</f>
        <v>0</v>
      </c>
      <c r="O290" s="6">
        <f>+Rendiciones[[#This Row],[Monto Neto ]]+Rendiciones[[#This Row],[Monto Exento ]]+Rendiciones[[#This Row],[Iva]]</f>
        <v>59150</v>
      </c>
      <c r="Q290" s="138"/>
      <c r="R290" s="20"/>
      <c r="S290" s="20">
        <f>Rendiciones[[#This Row],[Total ]]-Rendiciones[[#This Row],[Monto ]]</f>
        <v>59150</v>
      </c>
      <c r="U290" s="72"/>
    </row>
    <row r="291" spans="2:21" x14ac:dyDescent="0.3">
      <c r="B291" s="12" t="s">
        <v>100</v>
      </c>
      <c r="C291" s="12">
        <v>8</v>
      </c>
      <c r="D291" s="138">
        <v>46168</v>
      </c>
      <c r="E291" s="12" t="s">
        <v>552</v>
      </c>
      <c r="F291" s="11" t="str">
        <f>IF(Rendiciones[[#This Row],[Fecha ]]&lt;&gt;"",TEXT(Rendiciones[[#This Row],[Fecha ]],"MMMM"),"")</f>
        <v>mayo</v>
      </c>
      <c r="G291" s="11" t="s">
        <v>428</v>
      </c>
      <c r="H291" s="12" t="s">
        <v>8</v>
      </c>
      <c r="I291" s="12" t="s">
        <v>60</v>
      </c>
      <c r="L291" s="20"/>
      <c r="M291" s="20">
        <f>135029+47700</f>
        <v>182729</v>
      </c>
      <c r="N291" s="20">
        <f>Rendiciones[[#This Row],[Monto Neto ]]*19%</f>
        <v>0</v>
      </c>
      <c r="O291" s="6">
        <f>+Rendiciones[[#This Row],[Monto Neto ]]+Rendiciones[[#This Row],[Monto Exento ]]+Rendiciones[[#This Row],[Iva]]</f>
        <v>182729</v>
      </c>
      <c r="P291" t="s">
        <v>89</v>
      </c>
      <c r="Q291" s="138">
        <v>46171</v>
      </c>
      <c r="R291" s="20">
        <v>383337</v>
      </c>
      <c r="S291" s="20">
        <f>Rendiciones[[#This Row],[Total ]]-Rendiciones[[#This Row],[Monto ]]</f>
        <v>-200608</v>
      </c>
      <c r="U291" s="72"/>
    </row>
    <row r="292" spans="2:21" x14ac:dyDescent="0.3">
      <c r="B292" s="12" t="s">
        <v>467</v>
      </c>
      <c r="C292" s="12">
        <v>3</v>
      </c>
      <c r="D292" s="138">
        <v>46172</v>
      </c>
      <c r="E292" s="12" t="s">
        <v>552</v>
      </c>
      <c r="F292" s="11" t="str">
        <f>IF(Rendiciones[[#This Row],[Fecha ]]&lt;&gt;"",TEXT(Rendiciones[[#This Row],[Fecha ]],"MMMM"),"")</f>
        <v>mayo</v>
      </c>
      <c r="G292" s="11" t="s">
        <v>428</v>
      </c>
      <c r="H292" s="12" t="s">
        <v>6</v>
      </c>
      <c r="I292" s="12" t="s">
        <v>65</v>
      </c>
      <c r="K292" s="1" t="s">
        <v>81</v>
      </c>
      <c r="L292" s="20">
        <v>27185</v>
      </c>
      <c r="M292" s="20"/>
      <c r="N292" s="20">
        <f>Rendiciones[[#This Row],[Monto Neto ]]*19%</f>
        <v>5165.1499999999996</v>
      </c>
      <c r="O292" s="6">
        <f>+Rendiciones[[#This Row],[Monto Neto ]]+Rendiciones[[#This Row],[Monto Exento ]]+Rendiciones[[#This Row],[Iva]]</f>
        <v>32350.15</v>
      </c>
      <c r="R292" s="20"/>
      <c r="S292" s="20">
        <f>Rendiciones[[#This Row],[Total ]]-Rendiciones[[#This Row],[Monto ]]</f>
        <v>32350.15</v>
      </c>
      <c r="U292" s="72"/>
    </row>
    <row r="293" spans="2:21" x14ac:dyDescent="0.3">
      <c r="B293" s="12" t="s">
        <v>467</v>
      </c>
      <c r="C293" s="12">
        <v>3</v>
      </c>
      <c r="D293" s="138">
        <v>46172</v>
      </c>
      <c r="E293" s="12" t="s">
        <v>552</v>
      </c>
      <c r="F293" s="11" t="str">
        <f>IF(Rendiciones[[#This Row],[Fecha ]]&lt;&gt;"",TEXT(Rendiciones[[#This Row],[Fecha ]],"MMMM"),"")</f>
        <v>mayo</v>
      </c>
      <c r="G293" s="11" t="s">
        <v>428</v>
      </c>
      <c r="H293" s="12" t="s">
        <v>6</v>
      </c>
      <c r="I293" s="12" t="s">
        <v>28</v>
      </c>
      <c r="K293" s="1" t="s">
        <v>81</v>
      </c>
      <c r="L293" s="20">
        <v>36246</v>
      </c>
      <c r="M293" s="20">
        <v>6542</v>
      </c>
      <c r="N293" s="20">
        <f>Rendiciones[[#This Row],[Monto Neto ]]*19%</f>
        <v>6886.74</v>
      </c>
      <c r="O293" s="6">
        <f>+Rendiciones[[#This Row],[Monto Neto ]]+Rendiciones[[#This Row],[Monto Exento ]]+Rendiciones[[#This Row],[Iva]]</f>
        <v>49674.74</v>
      </c>
      <c r="R293" s="20"/>
      <c r="S293" s="20">
        <f>Rendiciones[[#This Row],[Total ]]-Rendiciones[[#This Row],[Monto ]]</f>
        <v>49674.74</v>
      </c>
      <c r="U293" s="72"/>
    </row>
    <row r="294" spans="2:21" x14ac:dyDescent="0.3">
      <c r="B294" s="12" t="s">
        <v>467</v>
      </c>
      <c r="C294" s="12">
        <v>3</v>
      </c>
      <c r="D294" s="138">
        <v>46172</v>
      </c>
      <c r="E294" s="12" t="s">
        <v>552</v>
      </c>
      <c r="F294" s="11" t="str">
        <f>IF(Rendiciones[[#This Row],[Fecha ]]&lt;&gt;"",TEXT(Rendiciones[[#This Row],[Fecha ]],"MMMM"),"")</f>
        <v>mayo</v>
      </c>
      <c r="G294" s="11" t="s">
        <v>428</v>
      </c>
      <c r="H294" s="12" t="s">
        <v>6</v>
      </c>
      <c r="I294" s="12" t="s">
        <v>28</v>
      </c>
      <c r="K294" s="1" t="s">
        <v>81</v>
      </c>
      <c r="L294" s="20">
        <v>34833</v>
      </c>
      <c r="M294" s="20">
        <v>6274</v>
      </c>
      <c r="N294" s="20">
        <f>Rendiciones[[#This Row],[Monto Neto ]]*19%</f>
        <v>6618.27</v>
      </c>
      <c r="O294" s="6">
        <f>+Rendiciones[[#This Row],[Monto Neto ]]+Rendiciones[[#This Row],[Monto Exento ]]+Rendiciones[[#This Row],[Iva]]</f>
        <v>47725.270000000004</v>
      </c>
      <c r="R294" s="20"/>
      <c r="S294" s="20">
        <f>Rendiciones[[#This Row],[Total ]]-Rendiciones[[#This Row],[Monto ]]</f>
        <v>47725.270000000004</v>
      </c>
      <c r="U294" s="72"/>
    </row>
    <row r="295" spans="2:21" x14ac:dyDescent="0.3">
      <c r="B295" s="12" t="s">
        <v>467</v>
      </c>
      <c r="C295" s="12">
        <v>3</v>
      </c>
      <c r="D295" s="138">
        <v>46172</v>
      </c>
      <c r="E295" s="12" t="s">
        <v>552</v>
      </c>
      <c r="F295" s="11" t="str">
        <f>IF(Rendiciones[[#This Row],[Fecha ]]&lt;&gt;"",TEXT(Rendiciones[[#This Row],[Fecha ]],"MMMM"),"")</f>
        <v>mayo</v>
      </c>
      <c r="G295" s="11" t="s">
        <v>428</v>
      </c>
      <c r="H295" s="12" t="s">
        <v>6</v>
      </c>
      <c r="I295" s="12" t="s">
        <v>39</v>
      </c>
      <c r="L295" s="20"/>
      <c r="M295" s="20">
        <f>8000+3700+3800+3800+3300+900+3800+3800+1150</f>
        <v>32250</v>
      </c>
      <c r="N295" s="20">
        <f>Rendiciones[[#This Row],[Monto Neto ]]*19%</f>
        <v>0</v>
      </c>
      <c r="O295" s="6">
        <f>+Rendiciones[[#This Row],[Monto Neto ]]+Rendiciones[[#This Row],[Monto Exento ]]+Rendiciones[[#This Row],[Iva]]</f>
        <v>32250</v>
      </c>
      <c r="R295" s="20"/>
      <c r="S295" s="20">
        <f>Rendiciones[[#This Row],[Total ]]-Rendiciones[[#This Row],[Monto ]]</f>
        <v>32250</v>
      </c>
      <c r="U295" s="72"/>
    </row>
    <row r="296" spans="2:21" x14ac:dyDescent="0.3">
      <c r="B296" s="12" t="s">
        <v>467</v>
      </c>
      <c r="C296" s="12">
        <v>3</v>
      </c>
      <c r="D296" s="138">
        <v>46172</v>
      </c>
      <c r="E296" s="12" t="s">
        <v>552</v>
      </c>
      <c r="F296" s="11" t="str">
        <f>IF(Rendiciones[[#This Row],[Fecha ]]&lt;&gt;"",TEXT(Rendiciones[[#This Row],[Fecha ]],"MMMM"),"")</f>
        <v>mayo</v>
      </c>
      <c r="G296" s="11" t="s">
        <v>428</v>
      </c>
      <c r="H296" s="12" t="s">
        <v>6</v>
      </c>
      <c r="I296" s="12" t="s">
        <v>429</v>
      </c>
      <c r="L296" s="20"/>
      <c r="M296" s="20">
        <f>4850+14780+13060</f>
        <v>32690</v>
      </c>
      <c r="N296" s="20">
        <f>Rendiciones[[#This Row],[Monto Neto ]]*19%</f>
        <v>0</v>
      </c>
      <c r="O296" s="6">
        <f>+Rendiciones[[#This Row],[Monto Neto ]]+Rendiciones[[#This Row],[Monto Exento ]]+Rendiciones[[#This Row],[Iva]]</f>
        <v>32690</v>
      </c>
      <c r="R296" s="20"/>
      <c r="S296" s="20">
        <f>Rendiciones[[#This Row],[Total ]]-Rendiciones[[#This Row],[Monto ]]</f>
        <v>32690</v>
      </c>
      <c r="U296" s="72"/>
    </row>
    <row r="297" spans="2:21" x14ac:dyDescent="0.3">
      <c r="B297" s="12" t="s">
        <v>467</v>
      </c>
      <c r="C297" s="12">
        <v>4</v>
      </c>
      <c r="D297" s="138">
        <v>46172</v>
      </c>
      <c r="E297" s="12" t="s">
        <v>552</v>
      </c>
      <c r="F297" s="11" t="str">
        <f>IF(Rendiciones[[#This Row],[Fecha ]]&lt;&gt;"",TEXT(Rendiciones[[#This Row],[Fecha ]],"MMMM"),"")</f>
        <v>mayo</v>
      </c>
      <c r="G297" s="11" t="s">
        <v>428</v>
      </c>
      <c r="H297" s="12" t="s">
        <v>6</v>
      </c>
      <c r="I297" s="12" t="s">
        <v>28</v>
      </c>
      <c r="K297" s="1" t="s">
        <v>81</v>
      </c>
      <c r="L297" s="20">
        <v>45108</v>
      </c>
      <c r="M297" s="20">
        <v>15390</v>
      </c>
      <c r="N297" s="20">
        <f>Rendiciones[[#This Row],[Monto Neto ]]*19%</f>
        <v>8570.52</v>
      </c>
      <c r="O297" s="6">
        <f>+Rendiciones[[#This Row],[Monto Neto ]]+Rendiciones[[#This Row],[Monto Exento ]]+Rendiciones[[#This Row],[Iva]]</f>
        <v>69068.52</v>
      </c>
      <c r="R297" s="20"/>
      <c r="S297" s="20">
        <f>Rendiciones[[#This Row],[Total ]]-Rendiciones[[#This Row],[Monto ]]</f>
        <v>69068.52</v>
      </c>
      <c r="U297" s="72"/>
    </row>
    <row r="298" spans="2:21" x14ac:dyDescent="0.3">
      <c r="B298" s="12" t="s">
        <v>467</v>
      </c>
      <c r="C298" s="12">
        <v>4</v>
      </c>
      <c r="D298" s="138">
        <v>46172</v>
      </c>
      <c r="E298" s="12" t="s">
        <v>552</v>
      </c>
      <c r="F298" s="11" t="str">
        <f>IF(Rendiciones[[#This Row],[Fecha ]]&lt;&gt;"",TEXT(Rendiciones[[#This Row],[Fecha ]],"MMMM"),"")</f>
        <v>mayo</v>
      </c>
      <c r="G298" s="11" t="s">
        <v>428</v>
      </c>
      <c r="H298" s="12" t="s">
        <v>6</v>
      </c>
      <c r="I298" s="12" t="s">
        <v>39</v>
      </c>
      <c r="L298" s="20"/>
      <c r="M298" s="20">
        <f>3750+9000+9200+900+8650+5500</f>
        <v>37000</v>
      </c>
      <c r="N298" s="20">
        <f>Rendiciones[[#This Row],[Monto Neto ]]*19%</f>
        <v>0</v>
      </c>
      <c r="O298" s="6">
        <f>+Rendiciones[[#This Row],[Monto Neto ]]+Rendiciones[[#This Row],[Monto Exento ]]+Rendiciones[[#This Row],[Iva]]</f>
        <v>37000</v>
      </c>
      <c r="R298" s="20"/>
      <c r="S298" s="20">
        <f>Rendiciones[[#This Row],[Total ]]-Rendiciones[[#This Row],[Monto ]]</f>
        <v>37000</v>
      </c>
      <c r="U298" s="72"/>
    </row>
    <row r="299" spans="2:21" x14ac:dyDescent="0.3">
      <c r="B299" s="12" t="s">
        <v>467</v>
      </c>
      <c r="C299" s="12">
        <v>5</v>
      </c>
      <c r="D299" s="138">
        <v>46172</v>
      </c>
      <c r="E299" s="12" t="s">
        <v>552</v>
      </c>
      <c r="F299" s="11" t="str">
        <f>IF(Rendiciones[[#This Row],[Fecha ]]&lt;&gt;"",TEXT(Rendiciones[[#This Row],[Fecha ]],"MMMM"),"")</f>
        <v>mayo</v>
      </c>
      <c r="G299" s="11" t="s">
        <v>428</v>
      </c>
      <c r="H299" s="12" t="s">
        <v>6</v>
      </c>
      <c r="I299" s="12" t="s">
        <v>28</v>
      </c>
      <c r="K299" s="1" t="s">
        <v>81</v>
      </c>
      <c r="L299" s="20">
        <v>23898</v>
      </c>
      <c r="M299" s="20">
        <v>11561</v>
      </c>
      <c r="N299" s="20">
        <f>Rendiciones[[#This Row],[Monto Neto ]]*19%</f>
        <v>4540.62</v>
      </c>
      <c r="O299" s="6">
        <f>+Rendiciones[[#This Row],[Monto Neto ]]+Rendiciones[[#This Row],[Monto Exento ]]+Rendiciones[[#This Row],[Iva]]</f>
        <v>39999.620000000003</v>
      </c>
      <c r="R299" s="20"/>
      <c r="S299" s="20">
        <f>Rendiciones[[#This Row],[Total ]]-Rendiciones[[#This Row],[Monto ]]</f>
        <v>39999.620000000003</v>
      </c>
      <c r="U299" s="72"/>
    </row>
    <row r="300" spans="2:21" x14ac:dyDescent="0.3">
      <c r="B300" s="12" t="s">
        <v>467</v>
      </c>
      <c r="C300" s="12">
        <v>5</v>
      </c>
      <c r="D300" s="138">
        <v>46172</v>
      </c>
      <c r="E300" s="12" t="s">
        <v>552</v>
      </c>
      <c r="F300" s="11" t="str">
        <f>IF(Rendiciones[[#This Row],[Fecha ]]&lt;&gt;"",TEXT(Rendiciones[[#This Row],[Fecha ]],"MMMM"),"")</f>
        <v>mayo</v>
      </c>
      <c r="G300" s="11" t="s">
        <v>428</v>
      </c>
      <c r="H300" s="12" t="s">
        <v>6</v>
      </c>
      <c r="I300" s="12" t="s">
        <v>28</v>
      </c>
      <c r="K300" s="1" t="s">
        <v>81</v>
      </c>
      <c r="L300" s="20">
        <v>38229</v>
      </c>
      <c r="M300" s="20">
        <v>14204</v>
      </c>
      <c r="N300" s="20">
        <f>Rendiciones[[#This Row],[Monto Neto ]]*19%</f>
        <v>7263.51</v>
      </c>
      <c r="O300" s="6">
        <f>+Rendiciones[[#This Row],[Monto Neto ]]+Rendiciones[[#This Row],[Monto Exento ]]+Rendiciones[[#This Row],[Iva]]</f>
        <v>59696.51</v>
      </c>
      <c r="R300" s="20"/>
      <c r="S300" s="20">
        <f>Rendiciones[[#This Row],[Total ]]-Rendiciones[[#This Row],[Monto ]]</f>
        <v>59696.51</v>
      </c>
      <c r="U300" s="72"/>
    </row>
    <row r="301" spans="2:21" x14ac:dyDescent="0.3">
      <c r="B301" s="12" t="s">
        <v>467</v>
      </c>
      <c r="C301" s="12">
        <v>5</v>
      </c>
      <c r="D301" s="138">
        <v>46172</v>
      </c>
      <c r="E301" s="12" t="s">
        <v>552</v>
      </c>
      <c r="F301" s="11" t="str">
        <f>IF(Rendiciones[[#This Row],[Fecha ]]&lt;&gt;"",TEXT(Rendiciones[[#This Row],[Fecha ]],"MMMM"),"")</f>
        <v>mayo</v>
      </c>
      <c r="G301" s="11" t="s">
        <v>428</v>
      </c>
      <c r="H301" s="12" t="s">
        <v>6</v>
      </c>
      <c r="I301" s="12" t="s">
        <v>39</v>
      </c>
      <c r="L301" s="20"/>
      <c r="M301" s="20">
        <f>7800+1400+4160+3800+3800+900+3800+900+3800+15100</f>
        <v>45460</v>
      </c>
      <c r="N301" s="20">
        <f>Rendiciones[[#This Row],[Monto Neto ]]*19%</f>
        <v>0</v>
      </c>
      <c r="O301" s="6">
        <f>+Rendiciones[[#This Row],[Monto Neto ]]+Rendiciones[[#This Row],[Monto Exento ]]+Rendiciones[[#This Row],[Iva]]</f>
        <v>45460</v>
      </c>
      <c r="R301" s="20"/>
      <c r="S301" s="20">
        <f>Rendiciones[[#This Row],[Total ]]-Rendiciones[[#This Row],[Monto ]]</f>
        <v>45460</v>
      </c>
      <c r="U301" s="72"/>
    </row>
    <row r="302" spans="2:21" x14ac:dyDescent="0.3">
      <c r="B302" s="12" t="s">
        <v>467</v>
      </c>
      <c r="C302" s="12">
        <v>5</v>
      </c>
      <c r="D302" s="138">
        <v>46172</v>
      </c>
      <c r="E302" s="12" t="s">
        <v>552</v>
      </c>
      <c r="F302" s="11" t="str">
        <f>IF(Rendiciones[[#This Row],[Fecha ]]&lt;&gt;"",TEXT(Rendiciones[[#This Row],[Fecha ]],"MMMM"),"")</f>
        <v>mayo</v>
      </c>
      <c r="G302" s="11" t="s">
        <v>428</v>
      </c>
      <c r="H302" s="12" t="s">
        <v>6</v>
      </c>
      <c r="I302" s="12" t="s">
        <v>429</v>
      </c>
      <c r="L302" s="20"/>
      <c r="M302" s="20">
        <f>8470+5390+6000+10430</f>
        <v>30290</v>
      </c>
      <c r="N302" s="20">
        <f>Rendiciones[[#This Row],[Monto Neto ]]*19%</f>
        <v>0</v>
      </c>
      <c r="O302" s="6">
        <f>+Rendiciones[[#This Row],[Monto Neto ]]+Rendiciones[[#This Row],[Monto Exento ]]+Rendiciones[[#This Row],[Iva]]</f>
        <v>30290</v>
      </c>
      <c r="P302" t="s">
        <v>89</v>
      </c>
      <c r="Q302" s="138">
        <v>46181</v>
      </c>
      <c r="R302" s="20">
        <v>443203.83</v>
      </c>
      <c r="S302" s="20">
        <f>Rendiciones[[#This Row],[Total ]]-Rendiciones[[#This Row],[Monto ]]</f>
        <v>-412913.83</v>
      </c>
      <c r="U302" s="72"/>
    </row>
    <row r="303" spans="2:21" x14ac:dyDescent="0.3">
      <c r="B303" s="12" t="s">
        <v>16</v>
      </c>
      <c r="C303" s="12">
        <v>7</v>
      </c>
      <c r="D303" s="138">
        <v>46154</v>
      </c>
      <c r="E303" s="12" t="s">
        <v>544</v>
      </c>
      <c r="F303" s="11" t="str">
        <f>IF(Rendiciones[[#This Row],[Fecha ]]&lt;&gt;"",TEXT(Rendiciones[[#This Row],[Fecha ]],"MMMM"),"")</f>
        <v>mayo</v>
      </c>
      <c r="G303" s="11" t="s">
        <v>428</v>
      </c>
      <c r="H303" s="12" t="s">
        <v>5</v>
      </c>
      <c r="I303" s="12" t="s">
        <v>26</v>
      </c>
      <c r="K303" s="1" t="s">
        <v>81</v>
      </c>
      <c r="L303" s="20">
        <v>6126</v>
      </c>
      <c r="M303" s="20"/>
      <c r="N303" s="20">
        <f>Rendiciones[[#This Row],[Monto Neto ]]*19%</f>
        <v>1163.94</v>
      </c>
      <c r="O303" s="6">
        <f>+Rendiciones[[#This Row],[Monto Neto ]]+Rendiciones[[#This Row],[Monto Exento ]]+Rendiciones[[#This Row],[Iva]]</f>
        <v>7289.9400000000005</v>
      </c>
      <c r="Q303" s="138"/>
      <c r="R303" s="20"/>
      <c r="S303" s="20">
        <f>Rendiciones[[#This Row],[Total ]]-Rendiciones[[#This Row],[Monto ]]</f>
        <v>7289.9400000000005</v>
      </c>
      <c r="U303" s="72"/>
    </row>
    <row r="304" spans="2:21" x14ac:dyDescent="0.3">
      <c r="B304" s="12" t="s">
        <v>16</v>
      </c>
      <c r="C304" s="12">
        <v>8</v>
      </c>
      <c r="D304" s="138">
        <v>46155</v>
      </c>
      <c r="E304" s="12" t="s">
        <v>544</v>
      </c>
      <c r="F304" s="11" t="str">
        <f>IF(Rendiciones[[#This Row],[Fecha ]]&lt;&gt;"",TEXT(Rendiciones[[#This Row],[Fecha ]],"MMMM"),"")</f>
        <v>mayo</v>
      </c>
      <c r="G304" s="11" t="s">
        <v>428</v>
      </c>
      <c r="H304" s="12" t="s">
        <v>5</v>
      </c>
      <c r="I304" s="12" t="s">
        <v>26</v>
      </c>
      <c r="L304" s="20"/>
      <c r="M304" s="20">
        <v>10740</v>
      </c>
      <c r="N304" s="20">
        <f>Rendiciones[[#This Row],[Monto Neto ]]*19%</f>
        <v>0</v>
      </c>
      <c r="O304" s="6">
        <f>+Rendiciones[[#This Row],[Monto Neto ]]+Rendiciones[[#This Row],[Monto Exento ]]+Rendiciones[[#This Row],[Iva]]</f>
        <v>10740</v>
      </c>
      <c r="P304" t="s">
        <v>89</v>
      </c>
      <c r="Q304" s="138">
        <v>46160</v>
      </c>
      <c r="R304" s="20">
        <v>40019.949999999997</v>
      </c>
      <c r="S304" s="20">
        <f>Rendiciones[[#This Row],[Total ]]-Rendiciones[[#This Row],[Monto ]]</f>
        <v>-29279.949999999997</v>
      </c>
      <c r="U304" s="72"/>
    </row>
    <row r="305" spans="2:21" x14ac:dyDescent="0.3">
      <c r="B305" s="12" t="s">
        <v>16</v>
      </c>
      <c r="D305" s="138"/>
      <c r="F305" s="11" t="str">
        <f>IF(Rendiciones[[#This Row],[Fecha ]]&lt;&gt;"",TEXT(Rendiciones[[#This Row],[Fecha ]],"MMMM"),"")</f>
        <v/>
      </c>
      <c r="G305" s="11"/>
      <c r="L305" s="20"/>
      <c r="M305" s="20"/>
      <c r="N305" s="20">
        <f>Rendiciones[[#This Row],[Monto Neto ]]*19%</f>
        <v>0</v>
      </c>
      <c r="O305" s="6">
        <f>+Rendiciones[[#This Row],[Monto Neto ]]+Rendiciones[[#This Row],[Monto Exento ]]+Rendiciones[[#This Row],[Iva]]</f>
        <v>0</v>
      </c>
      <c r="P305" t="s">
        <v>89</v>
      </c>
      <c r="Q305" s="138">
        <v>46160</v>
      </c>
      <c r="R305" s="20">
        <v>400000</v>
      </c>
      <c r="S305" s="20">
        <f>Rendiciones[[#This Row],[Total ]]-Rendiciones[[#This Row],[Monto ]]</f>
        <v>-400000</v>
      </c>
      <c r="U305" s="72"/>
    </row>
    <row r="306" spans="2:21" x14ac:dyDescent="0.3">
      <c r="B306" s="12" t="s">
        <v>16</v>
      </c>
      <c r="C306" s="12">
        <v>9</v>
      </c>
      <c r="D306" s="138">
        <v>46154</v>
      </c>
      <c r="E306" s="12" t="s">
        <v>544</v>
      </c>
      <c r="F306" s="11" t="str">
        <f>IF(Rendiciones[[#This Row],[Fecha ]]&lt;&gt;"",TEXT(Rendiciones[[#This Row],[Fecha ]],"MMMM"),"")</f>
        <v>mayo</v>
      </c>
      <c r="G306" s="11" t="s">
        <v>428</v>
      </c>
      <c r="H306" s="12" t="s">
        <v>458</v>
      </c>
      <c r="I306" s="12" t="s">
        <v>505</v>
      </c>
      <c r="K306" s="1" t="s">
        <v>81</v>
      </c>
      <c r="L306" s="20">
        <v>277556</v>
      </c>
      <c r="M306" s="20"/>
      <c r="N306" s="20">
        <f>Rendiciones[[#This Row],[Monto Neto ]]*19%</f>
        <v>52735.64</v>
      </c>
      <c r="O306" s="6">
        <f>+Rendiciones[[#This Row],[Monto Neto ]]+Rendiciones[[#This Row],[Monto Exento ]]+Rendiciones[[#This Row],[Iva]]</f>
        <v>330291.64</v>
      </c>
      <c r="P306" t="s">
        <v>110</v>
      </c>
      <c r="Q306" s="138"/>
      <c r="R306" s="20"/>
      <c r="S306" s="20">
        <f>Rendiciones[[#This Row],[Total ]]-Rendiciones[[#This Row],[Monto ]]</f>
        <v>330291.64</v>
      </c>
      <c r="U306" s="72"/>
    </row>
    <row r="307" spans="2:21" x14ac:dyDescent="0.3">
      <c r="B307" s="12" t="s">
        <v>16</v>
      </c>
      <c r="C307" s="12">
        <v>10</v>
      </c>
      <c r="D307" s="138">
        <v>46177</v>
      </c>
      <c r="E307" s="12" t="s">
        <v>553</v>
      </c>
      <c r="F307" s="11" t="str">
        <f>IF(Rendiciones[[#This Row],[Fecha ]]&lt;&gt;"",TEXT(Rendiciones[[#This Row],[Fecha ]],"MMMM"),"")</f>
        <v>junio</v>
      </c>
      <c r="G307" s="11" t="s">
        <v>428</v>
      </c>
      <c r="H307" s="12" t="s">
        <v>6</v>
      </c>
      <c r="I307" s="12" t="s">
        <v>52</v>
      </c>
      <c r="K307" s="1" t="s">
        <v>81</v>
      </c>
      <c r="L307" s="20">
        <v>25990</v>
      </c>
      <c r="M307" s="20"/>
      <c r="N307" s="20">
        <f>Rendiciones[[#This Row],[Monto Neto ]]*19%</f>
        <v>4938.1000000000004</v>
      </c>
      <c r="O307" s="6">
        <f>+Rendiciones[[#This Row],[Monto Neto ]]+Rendiciones[[#This Row],[Monto Exento ]]+Rendiciones[[#This Row],[Iva]]</f>
        <v>30928.1</v>
      </c>
      <c r="P307" t="s">
        <v>110</v>
      </c>
      <c r="Q307" s="138"/>
      <c r="R307" s="20"/>
      <c r="S307" s="20">
        <f>Rendiciones[[#This Row],[Total ]]-Rendiciones[[#This Row],[Monto ]]</f>
        <v>30928.1</v>
      </c>
      <c r="U307" s="72"/>
    </row>
    <row r="308" spans="2:21" x14ac:dyDescent="0.3">
      <c r="B308" s="12" t="s">
        <v>20</v>
      </c>
      <c r="C308" s="12">
        <v>8</v>
      </c>
      <c r="D308" s="138">
        <v>46153</v>
      </c>
      <c r="E308" s="12" t="s">
        <v>544</v>
      </c>
      <c r="F308" s="11" t="str">
        <f>IF(Rendiciones[[#This Row],[Fecha ]]&lt;&gt;"",TEXT(Rendiciones[[#This Row],[Fecha ]],"MMMM"),"")</f>
        <v>mayo</v>
      </c>
      <c r="G308" s="11" t="s">
        <v>428</v>
      </c>
      <c r="H308" s="12" t="s">
        <v>9</v>
      </c>
      <c r="I308" s="12" t="s">
        <v>25</v>
      </c>
      <c r="K308" s="1" t="s">
        <v>512</v>
      </c>
      <c r="L308" s="20"/>
      <c r="M308" s="20">
        <v>131000</v>
      </c>
      <c r="N308" s="20">
        <f>Rendiciones[[#This Row],[Monto Neto ]]*19%</f>
        <v>0</v>
      </c>
      <c r="O308" s="6">
        <f>+Rendiciones[[#This Row],[Monto Neto ]]+Rendiciones[[#This Row],[Monto Exento ]]+Rendiciones[[#This Row],[Iva]]</f>
        <v>131000</v>
      </c>
      <c r="Q308" s="138"/>
      <c r="R308" s="20"/>
      <c r="S308" s="20">
        <f>Rendiciones[[#This Row],[Total ]]-Rendiciones[[#This Row],[Monto ]]</f>
        <v>131000</v>
      </c>
      <c r="U308" s="72"/>
    </row>
    <row r="309" spans="2:21" x14ac:dyDescent="0.3">
      <c r="B309" s="12" t="s">
        <v>20</v>
      </c>
      <c r="C309" s="12">
        <v>9</v>
      </c>
      <c r="D309" s="138">
        <v>46154</v>
      </c>
      <c r="E309" s="12" t="s">
        <v>544</v>
      </c>
      <c r="F309" s="11" t="str">
        <f>IF(Rendiciones[[#This Row],[Fecha ]]&lt;&gt;"",TEXT(Rendiciones[[#This Row],[Fecha ]],"MMMM"),"")</f>
        <v>mayo</v>
      </c>
      <c r="G309" s="11" t="s">
        <v>428</v>
      </c>
      <c r="H309" s="12" t="s">
        <v>6</v>
      </c>
      <c r="I309" s="12" t="s">
        <v>60</v>
      </c>
      <c r="L309" s="20"/>
      <c r="M309" s="20">
        <v>32100</v>
      </c>
      <c r="N309" s="20">
        <f>Rendiciones[[#This Row],[Monto Neto ]]*19%</f>
        <v>0</v>
      </c>
      <c r="O309" s="6">
        <f>+Rendiciones[[#This Row],[Monto Neto ]]+Rendiciones[[#This Row],[Monto Exento ]]+Rendiciones[[#This Row],[Iva]]</f>
        <v>32100</v>
      </c>
      <c r="P309" t="s">
        <v>89</v>
      </c>
      <c r="Q309" s="138">
        <v>46160</v>
      </c>
      <c r="R309" s="20">
        <v>163100</v>
      </c>
      <c r="S309" s="20">
        <f>Rendiciones[[#This Row],[Total ]]-Rendiciones[[#This Row],[Monto ]]</f>
        <v>-131000</v>
      </c>
      <c r="U309" s="72"/>
    </row>
    <row r="310" spans="2:21" x14ac:dyDescent="0.3">
      <c r="B310" s="12" t="s">
        <v>20</v>
      </c>
      <c r="C310" s="12">
        <v>10</v>
      </c>
      <c r="D310" s="138">
        <v>46154</v>
      </c>
      <c r="E310" s="12" t="s">
        <v>544</v>
      </c>
      <c r="F310" s="11" t="str">
        <f>IF(Rendiciones[[#This Row],[Fecha ]]&lt;&gt;"",TEXT(Rendiciones[[#This Row],[Fecha ]],"MMMM"),"")</f>
        <v>mayo</v>
      </c>
      <c r="G310" s="11" t="s">
        <v>428</v>
      </c>
      <c r="H310" s="12" t="s">
        <v>6</v>
      </c>
      <c r="I310" s="12" t="s">
        <v>60</v>
      </c>
      <c r="L310" s="20"/>
      <c r="M310" s="20">
        <v>45300</v>
      </c>
      <c r="N310" s="20">
        <f>Rendiciones[[#This Row],[Monto Neto ]]*19%</f>
        <v>0</v>
      </c>
      <c r="O310" s="6">
        <f>+Rendiciones[[#This Row],[Monto Neto ]]+Rendiciones[[#This Row],[Monto Exento ]]+Rendiciones[[#This Row],[Iva]]</f>
        <v>45300</v>
      </c>
      <c r="P310" t="s">
        <v>89</v>
      </c>
      <c r="Q310" s="138">
        <v>46171</v>
      </c>
      <c r="R310" s="20">
        <v>45300</v>
      </c>
      <c r="S310" s="20">
        <f>Rendiciones[[#This Row],[Total ]]-Rendiciones[[#This Row],[Monto ]]</f>
        <v>0</v>
      </c>
      <c r="U310" s="72"/>
    </row>
    <row r="311" spans="2:21" x14ac:dyDescent="0.3">
      <c r="B311" s="12" t="s">
        <v>20</v>
      </c>
      <c r="C311" s="12">
        <v>11</v>
      </c>
      <c r="D311" s="138">
        <v>46171</v>
      </c>
      <c r="E311" s="12" t="s">
        <v>552</v>
      </c>
      <c r="F311" s="11" t="str">
        <f>IF(Rendiciones[[#This Row],[Fecha ]]&lt;&gt;"",TEXT(Rendiciones[[#This Row],[Fecha ]],"MMMM"),"")</f>
        <v>mayo</v>
      </c>
      <c r="G311" s="11" t="s">
        <v>428</v>
      </c>
      <c r="H311" s="12" t="s">
        <v>9</v>
      </c>
      <c r="I311" s="12" t="s">
        <v>25</v>
      </c>
      <c r="K311" s="1" t="s">
        <v>512</v>
      </c>
      <c r="L311" s="20"/>
      <c r="M311" s="20">
        <v>395680</v>
      </c>
      <c r="N311" s="20">
        <f>Rendiciones[[#This Row],[Monto Neto ]]*19%</f>
        <v>0</v>
      </c>
      <c r="O311" s="6">
        <f>+Rendiciones[[#This Row],[Monto Neto ]]+Rendiciones[[#This Row],[Monto Exento ]]+Rendiciones[[#This Row],[Iva]]</f>
        <v>395680</v>
      </c>
      <c r="P311" t="s">
        <v>89</v>
      </c>
      <c r="Q311" s="138">
        <v>46181</v>
      </c>
      <c r="R311" s="20">
        <v>395680</v>
      </c>
      <c r="S311" s="20">
        <f>Rendiciones[[#This Row],[Total ]]-Rendiciones[[#This Row],[Monto ]]</f>
        <v>0</v>
      </c>
      <c r="U311" s="72"/>
    </row>
    <row r="312" spans="2:21" x14ac:dyDescent="0.3">
      <c r="B312" s="12" t="s">
        <v>100</v>
      </c>
      <c r="C312" s="12">
        <v>9</v>
      </c>
      <c r="D312" s="138">
        <v>46171</v>
      </c>
      <c r="E312" s="12" t="s">
        <v>552</v>
      </c>
      <c r="F312" s="11" t="str">
        <f>IF(Rendiciones[[#This Row],[Fecha ]]&lt;&gt;"",TEXT(Rendiciones[[#This Row],[Fecha ]],"MMMM"),"")</f>
        <v>mayo</v>
      </c>
      <c r="G312" s="11" t="s">
        <v>428</v>
      </c>
      <c r="H312" s="12" t="s">
        <v>8</v>
      </c>
      <c r="I312" s="12" t="s">
        <v>40</v>
      </c>
      <c r="K312" s="1" t="s">
        <v>81</v>
      </c>
      <c r="L312" s="20">
        <v>89300</v>
      </c>
      <c r="M312" s="20"/>
      <c r="N312" s="20">
        <f>Rendiciones[[#This Row],[Monto Neto ]]*19%</f>
        <v>16967</v>
      </c>
      <c r="O312" s="6">
        <f>+Rendiciones[[#This Row],[Monto Neto ]]+Rendiciones[[#This Row],[Monto Exento ]]+Rendiciones[[#This Row],[Iva]]</f>
        <v>106267</v>
      </c>
      <c r="Q312" s="138"/>
      <c r="R312" s="20"/>
      <c r="S312" s="20">
        <f>Rendiciones[[#This Row],[Total ]]-Rendiciones[[#This Row],[Monto ]]</f>
        <v>106267</v>
      </c>
      <c r="U312" s="72"/>
    </row>
    <row r="313" spans="2:21" x14ac:dyDescent="0.3">
      <c r="B313" s="12" t="s">
        <v>100</v>
      </c>
      <c r="C313" s="12">
        <v>9</v>
      </c>
      <c r="D313" s="138">
        <v>46171</v>
      </c>
      <c r="E313" s="12" t="s">
        <v>552</v>
      </c>
      <c r="F313" s="11" t="str">
        <f>IF(Rendiciones[[#This Row],[Fecha ]]&lt;&gt;"",TEXT(Rendiciones[[#This Row],[Fecha ]],"MMMM"),"")</f>
        <v>mayo</v>
      </c>
      <c r="G313" s="11" t="s">
        <v>428</v>
      </c>
      <c r="H313" s="12" t="s">
        <v>8</v>
      </c>
      <c r="I313" s="12" t="s">
        <v>60</v>
      </c>
      <c r="L313" s="20"/>
      <c r="M313" s="20">
        <f>37100+75029+6900+6900</f>
        <v>125929</v>
      </c>
      <c r="N313" s="20">
        <f>Rendiciones[[#This Row],[Monto Neto ]]*19%</f>
        <v>0</v>
      </c>
      <c r="O313" s="6">
        <f>+Rendiciones[[#This Row],[Monto Neto ]]+Rendiciones[[#This Row],[Monto Exento ]]+Rendiciones[[#This Row],[Iva]]</f>
        <v>125929</v>
      </c>
      <c r="Q313" s="138"/>
      <c r="R313" s="20"/>
      <c r="S313" s="20">
        <f>Rendiciones[[#This Row],[Total ]]-Rendiciones[[#This Row],[Monto ]]</f>
        <v>125929</v>
      </c>
      <c r="U313" s="72"/>
    </row>
    <row r="314" spans="2:21" x14ac:dyDescent="0.3">
      <c r="B314" s="12" t="s">
        <v>100</v>
      </c>
      <c r="C314" s="12">
        <v>9</v>
      </c>
      <c r="D314" s="138">
        <v>46171</v>
      </c>
      <c r="E314" s="12" t="s">
        <v>552</v>
      </c>
      <c r="F314" s="11" t="str">
        <f>IF(Rendiciones[[#This Row],[Fecha ]]&lt;&gt;"",TEXT(Rendiciones[[#This Row],[Fecha ]],"MMMM"),"")</f>
        <v>mayo</v>
      </c>
      <c r="G314" s="11" t="s">
        <v>428</v>
      </c>
      <c r="H314" s="12" t="s">
        <v>8</v>
      </c>
      <c r="I314" s="12" t="s">
        <v>429</v>
      </c>
      <c r="L314" s="20"/>
      <c r="M314" s="20">
        <f>5390+14300+15818+52690+20350+11720</f>
        <v>120268</v>
      </c>
      <c r="N314" s="20">
        <f>Rendiciones[[#This Row],[Monto Neto ]]*19%</f>
        <v>0</v>
      </c>
      <c r="O314" s="6">
        <f>+Rendiciones[[#This Row],[Monto Neto ]]+Rendiciones[[#This Row],[Monto Exento ]]+Rendiciones[[#This Row],[Iva]]</f>
        <v>120268</v>
      </c>
      <c r="Q314" s="138"/>
      <c r="R314" s="20"/>
      <c r="S314" s="20">
        <f>Rendiciones[[#This Row],[Total ]]-Rendiciones[[#This Row],[Monto ]]</f>
        <v>120268</v>
      </c>
      <c r="U314" s="72"/>
    </row>
    <row r="315" spans="2:21" x14ac:dyDescent="0.3">
      <c r="B315" s="12" t="s">
        <v>100</v>
      </c>
      <c r="C315" s="12">
        <v>9</v>
      </c>
      <c r="D315" s="138">
        <v>46171</v>
      </c>
      <c r="E315" s="12" t="s">
        <v>552</v>
      </c>
      <c r="F315" s="11" t="str">
        <f>IF(Rendiciones[[#This Row],[Fecha ]]&lt;&gt;"",TEXT(Rendiciones[[#This Row],[Fecha ]],"MMMM"),"")</f>
        <v>mayo</v>
      </c>
      <c r="G315" s="11" t="s">
        <v>428</v>
      </c>
      <c r="H315" s="12" t="s">
        <v>8</v>
      </c>
      <c r="I315" s="12" t="s">
        <v>31</v>
      </c>
      <c r="L315" s="20"/>
      <c r="M315" s="20">
        <f>1595+1295+1495+2196+1696+2092+4747+2890+4438</f>
        <v>22444</v>
      </c>
      <c r="N315" s="20">
        <f>Rendiciones[[#This Row],[Monto Neto ]]*19%</f>
        <v>0</v>
      </c>
      <c r="O315" s="6">
        <f>+Rendiciones[[#This Row],[Monto Neto ]]+Rendiciones[[#This Row],[Monto Exento ]]+Rendiciones[[#This Row],[Iva]]</f>
        <v>22444</v>
      </c>
      <c r="P315" t="s">
        <v>89</v>
      </c>
      <c r="Q315" s="138">
        <v>46181</v>
      </c>
      <c r="R315" s="20">
        <v>377748</v>
      </c>
      <c r="S315" s="20">
        <f>Rendiciones[[#This Row],[Total ]]-Rendiciones[[#This Row],[Monto ]]</f>
        <v>-355304</v>
      </c>
      <c r="U315" s="72"/>
    </row>
    <row r="316" spans="2:21" x14ac:dyDescent="0.3">
      <c r="B316" s="12" t="s">
        <v>435</v>
      </c>
      <c r="C316" s="12">
        <v>5</v>
      </c>
      <c r="D316" s="138">
        <v>46149</v>
      </c>
      <c r="E316" s="12" t="s">
        <v>548</v>
      </c>
      <c r="F316" s="11" t="str">
        <f>IF(Rendiciones[[#This Row],[Fecha ]]&lt;&gt;"",TEXT(Rendiciones[[#This Row],[Fecha ]],"MMMM"),"")</f>
        <v>mayo</v>
      </c>
      <c r="G316" s="11" t="s">
        <v>428</v>
      </c>
      <c r="H316" s="12" t="s">
        <v>5</v>
      </c>
      <c r="I316" s="12" t="s">
        <v>52</v>
      </c>
      <c r="L316" s="20"/>
      <c r="M316" s="20">
        <v>25000</v>
      </c>
      <c r="N316" s="20">
        <f>Rendiciones[[#This Row],[Monto Neto ]]*19%</f>
        <v>0</v>
      </c>
      <c r="O316" s="6">
        <f>+Rendiciones[[#This Row],[Monto Neto ]]+Rendiciones[[#This Row],[Monto Exento ]]+Rendiciones[[#This Row],[Iva]]</f>
        <v>25000</v>
      </c>
      <c r="P316" t="s">
        <v>89</v>
      </c>
      <c r="Q316" s="138">
        <v>46153</v>
      </c>
      <c r="R316" s="20">
        <v>25000</v>
      </c>
      <c r="S316" s="20">
        <f>Rendiciones[[#This Row],[Total ]]-Rendiciones[[#This Row],[Monto ]]</f>
        <v>0</v>
      </c>
      <c r="U316" s="72"/>
    </row>
    <row r="317" spans="2:21" x14ac:dyDescent="0.3">
      <c r="B317" s="12" t="s">
        <v>435</v>
      </c>
      <c r="C317" s="12">
        <v>6</v>
      </c>
      <c r="D317" s="138">
        <v>46155</v>
      </c>
      <c r="E317" s="12" t="s">
        <v>548</v>
      </c>
      <c r="F317" s="11" t="str">
        <f>IF(Rendiciones[[#This Row],[Fecha ]]&lt;&gt;"",TEXT(Rendiciones[[#This Row],[Fecha ]],"MMMM"),"")</f>
        <v>mayo</v>
      </c>
      <c r="G317" s="11" t="s">
        <v>428</v>
      </c>
      <c r="H317" s="12" t="s">
        <v>5</v>
      </c>
      <c r="I317" s="12" t="s">
        <v>52</v>
      </c>
      <c r="L317" s="20"/>
      <c r="M317" s="20">
        <v>13990</v>
      </c>
      <c r="N317" s="20">
        <f>Rendiciones[[#This Row],[Monto Neto ]]*19%</f>
        <v>0</v>
      </c>
      <c r="O317" s="6">
        <f>+Rendiciones[[#This Row],[Monto Neto ]]+Rendiciones[[#This Row],[Monto Exento ]]+Rendiciones[[#This Row],[Iva]]</f>
        <v>13990</v>
      </c>
      <c r="P317" t="s">
        <v>89</v>
      </c>
      <c r="Q317" s="138">
        <v>46153</v>
      </c>
      <c r="R317" s="20">
        <v>13990</v>
      </c>
      <c r="S317" s="20">
        <f>Rendiciones[[#This Row],[Total ]]-Rendiciones[[#This Row],[Monto ]]</f>
        <v>0</v>
      </c>
      <c r="U317" s="72"/>
    </row>
    <row r="318" spans="2:21" x14ac:dyDescent="0.3">
      <c r="B318" s="12" t="s">
        <v>17</v>
      </c>
      <c r="C318" s="12">
        <v>19</v>
      </c>
      <c r="D318" s="138">
        <v>46149</v>
      </c>
      <c r="E318" s="12" t="s">
        <v>548</v>
      </c>
      <c r="F318" s="11" t="str">
        <f>IF(Rendiciones[[#This Row],[Fecha ]]&lt;&gt;"",TEXT(Rendiciones[[#This Row],[Fecha ]],"MMMM"),"")</f>
        <v>mayo</v>
      </c>
      <c r="G318" s="11" t="s">
        <v>428</v>
      </c>
      <c r="H318" s="12" t="s">
        <v>6</v>
      </c>
      <c r="I318" s="12" t="s">
        <v>52</v>
      </c>
      <c r="L318" s="20"/>
      <c r="M318" s="20">
        <v>49308</v>
      </c>
      <c r="N318" s="20">
        <f>Rendiciones[[#This Row],[Monto Neto ]]*19%</f>
        <v>0</v>
      </c>
      <c r="O318" s="6">
        <f>+Rendiciones[[#This Row],[Monto Neto ]]+Rendiciones[[#This Row],[Monto Exento ]]+Rendiciones[[#This Row],[Iva]]</f>
        <v>49308</v>
      </c>
      <c r="P318" t="s">
        <v>89</v>
      </c>
      <c r="Q318" s="138">
        <v>46153</v>
      </c>
      <c r="R318" s="20">
        <v>49308</v>
      </c>
      <c r="S318" s="20">
        <f>Rendiciones[[#This Row],[Total ]]-Rendiciones[[#This Row],[Monto ]]</f>
        <v>0</v>
      </c>
      <c r="U318" s="72"/>
    </row>
    <row r="319" spans="2:21" x14ac:dyDescent="0.3">
      <c r="B319" s="12" t="s">
        <v>445</v>
      </c>
      <c r="C319" s="12">
        <v>13</v>
      </c>
      <c r="D319" s="138">
        <v>46149</v>
      </c>
      <c r="E319" s="12" t="s">
        <v>548</v>
      </c>
      <c r="F319" s="11" t="str">
        <f>IF(Rendiciones[[#This Row],[Fecha ]]&lt;&gt;"",TEXT(Rendiciones[[#This Row],[Fecha ]],"MMMM"),"")</f>
        <v>mayo</v>
      </c>
      <c r="G319" s="11" t="s">
        <v>428</v>
      </c>
      <c r="H319" s="12" t="s">
        <v>6</v>
      </c>
      <c r="I319" s="12" t="s">
        <v>28</v>
      </c>
      <c r="K319" s="1" t="s">
        <v>81</v>
      </c>
      <c r="L319" s="20">
        <v>55271</v>
      </c>
      <c r="M319" s="20">
        <f>5137+5453.4</f>
        <v>10590.4</v>
      </c>
      <c r="N319" s="20">
        <f>Rendiciones[[#This Row],[Monto Neto ]]*19%</f>
        <v>10501.49</v>
      </c>
      <c r="O319" s="6">
        <f>+Rendiciones[[#This Row],[Monto Neto ]]+Rendiciones[[#This Row],[Monto Exento ]]+Rendiciones[[#This Row],[Iva]]</f>
        <v>76362.89</v>
      </c>
      <c r="Q319" s="138"/>
      <c r="R319" s="20"/>
      <c r="S319" s="20">
        <f>Rendiciones[[#This Row],[Total ]]-Rendiciones[[#This Row],[Monto ]]</f>
        <v>76362.89</v>
      </c>
      <c r="U319" s="72"/>
    </row>
    <row r="320" spans="2:21" x14ac:dyDescent="0.3">
      <c r="B320" s="12" t="s">
        <v>445</v>
      </c>
      <c r="C320" s="12">
        <v>13</v>
      </c>
      <c r="D320" s="138">
        <v>46149</v>
      </c>
      <c r="E320" s="12" t="s">
        <v>548</v>
      </c>
      <c r="F320" s="11" t="str">
        <f>IF(Rendiciones[[#This Row],[Fecha ]]&lt;&gt;"",TEXT(Rendiciones[[#This Row],[Fecha ]],"MMMM"),"")</f>
        <v>mayo</v>
      </c>
      <c r="G320" s="11" t="s">
        <v>428</v>
      </c>
      <c r="H320" s="12" t="s">
        <v>6</v>
      </c>
      <c r="I320" s="12" t="s">
        <v>28</v>
      </c>
      <c r="K320" s="1" t="s">
        <v>81</v>
      </c>
      <c r="L320" s="20">
        <v>21714</v>
      </c>
      <c r="M320" s="20">
        <f>2018+2142</f>
        <v>4160</v>
      </c>
      <c r="N320" s="20">
        <f>Rendiciones[[#This Row],[Monto Neto ]]*19%</f>
        <v>4125.66</v>
      </c>
      <c r="O320" s="6">
        <f>+Rendiciones[[#This Row],[Monto Neto ]]+Rendiciones[[#This Row],[Monto Exento ]]+Rendiciones[[#This Row],[Iva]]</f>
        <v>29999.66</v>
      </c>
      <c r="Q320" s="138"/>
      <c r="R320" s="20"/>
      <c r="S320" s="20">
        <f>Rendiciones[[#This Row],[Total ]]-Rendiciones[[#This Row],[Monto ]]</f>
        <v>29999.66</v>
      </c>
      <c r="U320" s="72"/>
    </row>
    <row r="321" spans="2:21" x14ac:dyDescent="0.3">
      <c r="B321" s="12" t="s">
        <v>445</v>
      </c>
      <c r="C321" s="12">
        <v>13</v>
      </c>
      <c r="D321" s="138">
        <v>46149</v>
      </c>
      <c r="E321" s="12" t="s">
        <v>548</v>
      </c>
      <c r="F321" s="11" t="str">
        <f>IF(Rendiciones[[#This Row],[Fecha ]]&lt;&gt;"",TEXT(Rendiciones[[#This Row],[Fecha ]],"MMMM"),"")</f>
        <v>mayo</v>
      </c>
      <c r="G321" s="11" t="s">
        <v>428</v>
      </c>
      <c r="H321" s="12" t="s">
        <v>6</v>
      </c>
      <c r="I321" s="12" t="s">
        <v>429</v>
      </c>
      <c r="L321" s="20"/>
      <c r="M321" s="20">
        <v>5700</v>
      </c>
      <c r="N321" s="20">
        <f>Rendiciones[[#This Row],[Monto Neto ]]*19%</f>
        <v>0</v>
      </c>
      <c r="O321" s="6">
        <f>+Rendiciones[[#This Row],[Monto Neto ]]+Rendiciones[[#This Row],[Monto Exento ]]+Rendiciones[[#This Row],[Iva]]</f>
        <v>5700</v>
      </c>
      <c r="P321" t="s">
        <v>89</v>
      </c>
      <c r="Q321" s="138">
        <v>46153</v>
      </c>
      <c r="R321" s="20">
        <v>112062.55</v>
      </c>
      <c r="S321" s="20">
        <f>Rendiciones[[#This Row],[Total ]]-Rendiciones[[#This Row],[Monto ]]</f>
        <v>-106362.55</v>
      </c>
      <c r="U321" s="72"/>
    </row>
    <row r="322" spans="2:21" x14ac:dyDescent="0.3">
      <c r="B322" s="12" t="s">
        <v>445</v>
      </c>
      <c r="C322" s="12">
        <v>14</v>
      </c>
      <c r="D322" s="138">
        <v>46156</v>
      </c>
      <c r="E322" s="12" t="s">
        <v>544</v>
      </c>
      <c r="F322" s="11" t="str">
        <f>IF(Rendiciones[[#This Row],[Fecha ]]&lt;&gt;"",TEXT(Rendiciones[[#This Row],[Fecha ]],"MMMM"),"")</f>
        <v>mayo</v>
      </c>
      <c r="G322" s="11" t="s">
        <v>428</v>
      </c>
      <c r="H322" s="12" t="s">
        <v>6</v>
      </c>
      <c r="I322" s="12" t="s">
        <v>28</v>
      </c>
      <c r="K322" s="1" t="s">
        <v>81</v>
      </c>
      <c r="L322" s="20">
        <v>23473</v>
      </c>
      <c r="M322" s="20">
        <f>2080-13</f>
        <v>2067</v>
      </c>
      <c r="N322" s="20">
        <f>Rendiciones[[#This Row],[Monto Neto ]]*19%</f>
        <v>4459.87</v>
      </c>
      <c r="O322" s="6">
        <f>+Rendiciones[[#This Row],[Monto Neto ]]+Rendiciones[[#This Row],[Monto Exento ]]+Rendiciones[[#This Row],[Iva]]</f>
        <v>29999.87</v>
      </c>
      <c r="Q322" s="138"/>
      <c r="R322" s="20"/>
      <c r="S322" s="20">
        <f>Rendiciones[[#This Row],[Total ]]-Rendiciones[[#This Row],[Monto ]]</f>
        <v>29999.87</v>
      </c>
      <c r="U322" s="72"/>
    </row>
    <row r="323" spans="2:21" x14ac:dyDescent="0.3">
      <c r="B323" s="12" t="s">
        <v>445</v>
      </c>
      <c r="C323" s="12">
        <v>14</v>
      </c>
      <c r="D323" s="138">
        <v>46156</v>
      </c>
      <c r="E323" s="12" t="s">
        <v>544</v>
      </c>
      <c r="F323" s="11" t="str">
        <f>IF(Rendiciones[[#This Row],[Fecha ]]&lt;&gt;"",TEXT(Rendiciones[[#This Row],[Fecha ]],"MMMM"),"")</f>
        <v>mayo</v>
      </c>
      <c r="G323" s="11" t="s">
        <v>428</v>
      </c>
      <c r="H323" s="12" t="s">
        <v>6</v>
      </c>
      <c r="I323" s="12" t="s">
        <v>28</v>
      </c>
      <c r="K323" s="1" t="s">
        <v>81</v>
      </c>
      <c r="L323" s="20">
        <v>31227</v>
      </c>
      <c r="M323" s="20">
        <f>2774+66</f>
        <v>2840</v>
      </c>
      <c r="N323" s="20">
        <f>Rendiciones[[#This Row],[Monto Neto ]]*19%</f>
        <v>5933.13</v>
      </c>
      <c r="O323" s="6">
        <f>+Rendiciones[[#This Row],[Monto Neto ]]+Rendiciones[[#This Row],[Monto Exento ]]+Rendiciones[[#This Row],[Iva]]</f>
        <v>40000.129999999997</v>
      </c>
      <c r="Q323" s="138"/>
      <c r="R323" s="20"/>
      <c r="S323" s="20">
        <f>Rendiciones[[#This Row],[Total ]]-Rendiciones[[#This Row],[Monto ]]</f>
        <v>40000.129999999997</v>
      </c>
      <c r="U323" s="72"/>
    </row>
    <row r="324" spans="2:21" x14ac:dyDescent="0.3">
      <c r="B324" s="12" t="s">
        <v>445</v>
      </c>
      <c r="C324" s="12">
        <v>14</v>
      </c>
      <c r="D324" s="138">
        <v>46156</v>
      </c>
      <c r="E324" s="12" t="s">
        <v>544</v>
      </c>
      <c r="F324" s="11" t="str">
        <f>IF(Rendiciones[[#This Row],[Fecha ]]&lt;&gt;"",TEXT(Rendiciones[[#This Row],[Fecha ]],"MMMM"),"")</f>
        <v>mayo</v>
      </c>
      <c r="G324" s="11" t="s">
        <v>428</v>
      </c>
      <c r="H324" s="12" t="s">
        <v>6</v>
      </c>
      <c r="I324" s="12" t="s">
        <v>39</v>
      </c>
      <c r="L324" s="20"/>
      <c r="M324" s="20">
        <f>1050+250+1050</f>
        <v>2350</v>
      </c>
      <c r="N324" s="20">
        <f>Rendiciones[[#This Row],[Monto Neto ]]*19%</f>
        <v>0</v>
      </c>
      <c r="O324" s="6">
        <f>+Rendiciones[[#This Row],[Monto Neto ]]+Rendiciones[[#This Row],[Monto Exento ]]+Rendiciones[[#This Row],[Iva]]</f>
        <v>2350</v>
      </c>
      <c r="Q324" s="138"/>
      <c r="R324" s="20"/>
      <c r="S324" s="20">
        <f>Rendiciones[[#This Row],[Total ]]-Rendiciones[[#This Row],[Monto ]]</f>
        <v>2350</v>
      </c>
      <c r="U324" s="72"/>
    </row>
    <row r="325" spans="2:21" x14ac:dyDescent="0.3">
      <c r="B325" s="12" t="s">
        <v>445</v>
      </c>
      <c r="C325" s="12">
        <v>14</v>
      </c>
      <c r="D325" s="138">
        <v>46156</v>
      </c>
      <c r="E325" s="12" t="s">
        <v>544</v>
      </c>
      <c r="F325" s="11" t="str">
        <f>IF(Rendiciones[[#This Row],[Fecha ]]&lt;&gt;"",TEXT(Rendiciones[[#This Row],[Fecha ]],"MMMM"),"")</f>
        <v>mayo</v>
      </c>
      <c r="G325" s="11" t="s">
        <v>428</v>
      </c>
      <c r="H325" s="12" t="s">
        <v>6</v>
      </c>
      <c r="I325" s="12" t="s">
        <v>429</v>
      </c>
      <c r="L325" s="20"/>
      <c r="M325" s="20">
        <f>7200+7200</f>
        <v>14400</v>
      </c>
      <c r="N325" s="20">
        <f>Rendiciones[[#This Row],[Monto Neto ]]*19%</f>
        <v>0</v>
      </c>
      <c r="O325" s="6">
        <f>+Rendiciones[[#This Row],[Monto Neto ]]+Rendiciones[[#This Row],[Monto Exento ]]+Rendiciones[[#This Row],[Iva]]</f>
        <v>14400</v>
      </c>
      <c r="Q325" s="138"/>
      <c r="R325" s="20"/>
      <c r="S325" s="20">
        <f>Rendiciones[[#This Row],[Total ]]-Rendiciones[[#This Row],[Monto ]]</f>
        <v>14400</v>
      </c>
      <c r="U325" s="72"/>
    </row>
    <row r="326" spans="2:21" x14ac:dyDescent="0.3">
      <c r="B326" s="12" t="s">
        <v>445</v>
      </c>
      <c r="C326" s="12">
        <v>14</v>
      </c>
      <c r="D326" s="138">
        <v>46156</v>
      </c>
      <c r="E326" s="12" t="s">
        <v>544</v>
      </c>
      <c r="F326" s="11" t="str">
        <f>IF(Rendiciones[[#This Row],[Fecha ]]&lt;&gt;"",TEXT(Rendiciones[[#This Row],[Fecha ]],"MMMM"),"")</f>
        <v>mayo</v>
      </c>
      <c r="G326" s="11" t="s">
        <v>428</v>
      </c>
      <c r="H326" s="12" t="s">
        <v>5</v>
      </c>
      <c r="I326" s="12" t="s">
        <v>52</v>
      </c>
      <c r="L326" s="20"/>
      <c r="M326" s="20">
        <v>17401</v>
      </c>
      <c r="N326" s="20">
        <f>Rendiciones[[#This Row],[Monto Neto ]]*19%</f>
        <v>0</v>
      </c>
      <c r="O326" s="6">
        <f>+Rendiciones[[#This Row],[Monto Neto ]]+Rendiciones[[#This Row],[Monto Exento ]]+Rendiciones[[#This Row],[Iva]]</f>
        <v>17401</v>
      </c>
      <c r="P326" t="s">
        <v>89</v>
      </c>
      <c r="Q326" s="138">
        <v>46160</v>
      </c>
      <c r="R326" s="20">
        <v>104151</v>
      </c>
      <c r="S326" s="20">
        <f>Rendiciones[[#This Row],[Total ]]-Rendiciones[[#This Row],[Monto ]]</f>
        <v>-86750</v>
      </c>
      <c r="U326" s="72"/>
    </row>
    <row r="327" spans="2:21" x14ac:dyDescent="0.3">
      <c r="B327" s="219" t="s">
        <v>445</v>
      </c>
      <c r="C327" s="219">
        <v>15</v>
      </c>
      <c r="D327" s="220">
        <v>46163</v>
      </c>
      <c r="E327" s="219" t="s">
        <v>549</v>
      </c>
      <c r="F327" s="221" t="str">
        <f>IF(Rendiciones[[#This Row],[Fecha ]]&lt;&gt;"",TEXT(Rendiciones[[#This Row],[Fecha ]],"MMMM"),"")</f>
        <v>mayo</v>
      </c>
      <c r="G327" s="221" t="s">
        <v>428</v>
      </c>
      <c r="H327" s="219" t="s">
        <v>6</v>
      </c>
      <c r="I327" s="219"/>
      <c r="J327" s="222" t="s">
        <v>554</v>
      </c>
      <c r="K327" s="222" t="s">
        <v>81</v>
      </c>
      <c r="L327" s="223"/>
      <c r="M327" s="223">
        <v>92220</v>
      </c>
      <c r="N327" s="223">
        <f>Rendiciones[[#This Row],[Monto Neto ]]*19%</f>
        <v>0</v>
      </c>
      <c r="O327" s="224">
        <f>+Rendiciones[[#This Row],[Monto Neto ]]+Rendiciones[[#This Row],[Monto Exento ]]+Rendiciones[[#This Row],[Iva]]</f>
        <v>92220</v>
      </c>
      <c r="P327" s="225" t="s">
        <v>89</v>
      </c>
      <c r="Q327" s="220">
        <v>46167</v>
      </c>
      <c r="R327" s="223">
        <v>92220.38</v>
      </c>
      <c r="S327" s="223">
        <f>Rendiciones[[#This Row],[Total ]]-Rendiciones[[#This Row],[Monto ]]</f>
        <v>-0.38000000000465661</v>
      </c>
      <c r="T327" s="225"/>
      <c r="U327" s="72"/>
    </row>
    <row r="328" spans="2:21" x14ac:dyDescent="0.3">
      <c r="B328" s="12" t="s">
        <v>445</v>
      </c>
      <c r="C328" s="12">
        <v>16</v>
      </c>
      <c r="D328" s="138">
        <v>46170</v>
      </c>
      <c r="E328" s="12" t="s">
        <v>552</v>
      </c>
      <c r="F328" s="11" t="str">
        <f>IF(Rendiciones[[#This Row],[Fecha ]]&lt;&gt;"",TEXT(Rendiciones[[#This Row],[Fecha ]],"MMMM"),"")</f>
        <v>mayo</v>
      </c>
      <c r="G328" s="11" t="s">
        <v>428</v>
      </c>
      <c r="H328" s="12" t="s">
        <v>6</v>
      </c>
      <c r="I328" s="12" t="s">
        <v>28</v>
      </c>
      <c r="K328" s="1" t="s">
        <v>81</v>
      </c>
      <c r="L328" s="20">
        <v>22337</v>
      </c>
      <c r="M328" s="20">
        <f>2041+1378</f>
        <v>3419</v>
      </c>
      <c r="N328" s="20">
        <f>Rendiciones[[#This Row],[Monto Neto ]]*19%</f>
        <v>4244.03</v>
      </c>
      <c r="O328" s="6">
        <f>+Rendiciones[[#This Row],[Monto Neto ]]+Rendiciones[[#This Row],[Monto Exento ]]+Rendiciones[[#This Row],[Iva]]</f>
        <v>30000.03</v>
      </c>
      <c r="Q328" s="138"/>
      <c r="R328" s="20"/>
      <c r="S328" s="20">
        <f>Rendiciones[[#This Row],[Total ]]-Rendiciones[[#This Row],[Monto ]]</f>
        <v>30000.03</v>
      </c>
      <c r="U328" s="72"/>
    </row>
    <row r="329" spans="2:21" x14ac:dyDescent="0.3">
      <c r="B329" s="12" t="s">
        <v>445</v>
      </c>
      <c r="C329" s="12">
        <v>16</v>
      </c>
      <c r="D329" s="138">
        <v>46170</v>
      </c>
      <c r="E329" s="12" t="s">
        <v>552</v>
      </c>
      <c r="F329" s="11" t="str">
        <f>IF(Rendiciones[[#This Row],[Fecha ]]&lt;&gt;"",TEXT(Rendiciones[[#This Row],[Fecha ]],"MMMM"),"")</f>
        <v>mayo</v>
      </c>
      <c r="G329" s="11" t="s">
        <v>428</v>
      </c>
      <c r="H329" s="12" t="s">
        <v>6</v>
      </c>
      <c r="I329" s="12" t="s">
        <v>28</v>
      </c>
      <c r="K329" s="1" t="s">
        <v>81</v>
      </c>
      <c r="L329" s="20">
        <v>44565</v>
      </c>
      <c r="M329" s="20">
        <f>4160+2808</f>
        <v>6968</v>
      </c>
      <c r="N329" s="20">
        <f>Rendiciones[[#This Row],[Monto Neto ]]*19%</f>
        <v>8467.35</v>
      </c>
      <c r="O329" s="6">
        <f>+Rendiciones[[#This Row],[Monto Neto ]]+Rendiciones[[#This Row],[Monto Exento ]]+Rendiciones[[#This Row],[Iva]]</f>
        <v>60000.35</v>
      </c>
      <c r="Q329" s="138"/>
      <c r="R329" s="20"/>
      <c r="S329" s="20">
        <f>Rendiciones[[#This Row],[Total ]]-Rendiciones[[#This Row],[Monto ]]</f>
        <v>60000.35</v>
      </c>
      <c r="U329" s="72"/>
    </row>
    <row r="330" spans="2:21" x14ac:dyDescent="0.3">
      <c r="B330" s="12" t="s">
        <v>445</v>
      </c>
      <c r="C330" s="12">
        <v>16</v>
      </c>
      <c r="D330" s="138">
        <v>46170</v>
      </c>
      <c r="E330" s="12" t="s">
        <v>552</v>
      </c>
      <c r="F330" s="11" t="str">
        <f>IF(Rendiciones[[#This Row],[Fecha ]]&lt;&gt;"",TEXT(Rendiciones[[#This Row],[Fecha ]],"MMMM"),"")</f>
        <v>mayo</v>
      </c>
      <c r="G330" s="11" t="s">
        <v>428</v>
      </c>
      <c r="H330" s="12" t="s">
        <v>6</v>
      </c>
      <c r="I330" s="12" t="s">
        <v>57</v>
      </c>
      <c r="K330" s="1" t="s">
        <v>81</v>
      </c>
      <c r="L330" s="20">
        <f>18000/1.19</f>
        <v>15126.050420168069</v>
      </c>
      <c r="M330" s="20"/>
      <c r="N330" s="20">
        <f>Rendiciones[[#This Row],[Monto Neto ]]*19%</f>
        <v>2873.9495798319331</v>
      </c>
      <c r="O330" s="6">
        <f>+Rendiciones[[#This Row],[Monto Neto ]]+Rendiciones[[#This Row],[Monto Exento ]]+Rendiciones[[#This Row],[Iva]]</f>
        <v>18000</v>
      </c>
      <c r="Q330" s="138"/>
      <c r="R330" s="20"/>
      <c r="S330" s="20">
        <f>Rendiciones[[#This Row],[Total ]]-Rendiciones[[#This Row],[Monto ]]</f>
        <v>18000</v>
      </c>
      <c r="U330" s="72"/>
    </row>
    <row r="331" spans="2:21" x14ac:dyDescent="0.3">
      <c r="B331" s="12" t="s">
        <v>445</v>
      </c>
      <c r="C331" s="12">
        <v>16</v>
      </c>
      <c r="D331" s="138">
        <v>46170</v>
      </c>
      <c r="E331" s="12" t="s">
        <v>552</v>
      </c>
      <c r="F331" s="11" t="str">
        <f>IF(Rendiciones[[#This Row],[Fecha ]]&lt;&gt;"",TEXT(Rendiciones[[#This Row],[Fecha ]],"MMMM"),"")</f>
        <v>mayo</v>
      </c>
      <c r="G331" s="11" t="s">
        <v>428</v>
      </c>
      <c r="H331" s="12" t="s">
        <v>6</v>
      </c>
      <c r="I331" s="12" t="s">
        <v>429</v>
      </c>
      <c r="L331" s="20"/>
      <c r="M331" s="20">
        <f>7200+6980+7200</f>
        <v>21380</v>
      </c>
      <c r="N331" s="20">
        <f>Rendiciones[[#This Row],[Monto Neto ]]*19%</f>
        <v>0</v>
      </c>
      <c r="O331" s="6">
        <f>+Rendiciones[[#This Row],[Monto Neto ]]+Rendiciones[[#This Row],[Monto Exento ]]+Rendiciones[[#This Row],[Iva]]</f>
        <v>21380</v>
      </c>
      <c r="Q331" s="138"/>
      <c r="R331" s="20"/>
      <c r="S331" s="20">
        <f>Rendiciones[[#This Row],[Total ]]-Rendiciones[[#This Row],[Monto ]]</f>
        <v>21380</v>
      </c>
      <c r="U331" s="72"/>
    </row>
    <row r="332" spans="2:21" x14ac:dyDescent="0.3">
      <c r="B332" s="12" t="s">
        <v>445</v>
      </c>
      <c r="C332" s="12">
        <v>16</v>
      </c>
      <c r="D332" s="138">
        <v>46170</v>
      </c>
      <c r="E332" s="12" t="s">
        <v>552</v>
      </c>
      <c r="F332" s="11" t="str">
        <f>IF(Rendiciones[[#This Row],[Fecha ]]&lt;&gt;"",TEXT(Rendiciones[[#This Row],[Fecha ]],"MMMM"),"")</f>
        <v>mayo</v>
      </c>
      <c r="G332" s="11" t="s">
        <v>428</v>
      </c>
      <c r="H332" s="12" t="s">
        <v>6</v>
      </c>
      <c r="I332" s="12" t="s">
        <v>39</v>
      </c>
      <c r="L332" s="20"/>
      <c r="M332" s="20">
        <f>900+3450+5350+2300+850</f>
        <v>12850</v>
      </c>
      <c r="N332" s="20">
        <f>Rendiciones[[#This Row],[Monto Neto ]]*19%</f>
        <v>0</v>
      </c>
      <c r="O332" s="6">
        <f>+Rendiciones[[#This Row],[Monto Neto ]]+Rendiciones[[#This Row],[Monto Exento ]]+Rendiciones[[#This Row],[Iva]]</f>
        <v>12850</v>
      </c>
      <c r="Q332" s="138"/>
      <c r="R332" s="20"/>
      <c r="S332" s="20">
        <f>Rendiciones[[#This Row],[Total ]]-Rendiciones[[#This Row],[Monto ]]</f>
        <v>12850</v>
      </c>
      <c r="U332" s="72"/>
    </row>
    <row r="333" spans="2:21" x14ac:dyDescent="0.3">
      <c r="B333" s="12" t="s">
        <v>445</v>
      </c>
      <c r="C333" s="12">
        <v>16</v>
      </c>
      <c r="D333" s="138">
        <v>46170</v>
      </c>
      <c r="E333" s="12" t="s">
        <v>552</v>
      </c>
      <c r="F333" s="11" t="str">
        <f>IF(Rendiciones[[#This Row],[Fecha ]]&lt;&gt;"",TEXT(Rendiciones[[#This Row],[Fecha ]],"MMMM"),"")</f>
        <v>mayo</v>
      </c>
      <c r="G333" s="11" t="s">
        <v>428</v>
      </c>
      <c r="H333" s="12" t="s">
        <v>5</v>
      </c>
      <c r="I333" s="12" t="s">
        <v>52</v>
      </c>
      <c r="L333" s="20"/>
      <c r="M333" s="20">
        <f>15611+5000</f>
        <v>20611</v>
      </c>
      <c r="N333" s="20">
        <f>Rendiciones[[#This Row],[Monto Neto ]]*19%</f>
        <v>0</v>
      </c>
      <c r="O333" s="6">
        <f>+Rendiciones[[#This Row],[Monto Neto ]]+Rendiciones[[#This Row],[Monto Exento ]]+Rendiciones[[#This Row],[Iva]]</f>
        <v>20611</v>
      </c>
      <c r="P333" t="s">
        <v>89</v>
      </c>
      <c r="Q333" s="138">
        <v>46171</v>
      </c>
      <c r="R333" s="20">
        <v>162841</v>
      </c>
      <c r="S333" s="20">
        <f>Rendiciones[[#This Row],[Total ]]-Rendiciones[[#This Row],[Monto ]]</f>
        <v>-142230</v>
      </c>
      <c r="U333" s="72"/>
    </row>
    <row r="334" spans="2:21" x14ac:dyDescent="0.3">
      <c r="B334" s="12" t="s">
        <v>445</v>
      </c>
      <c r="C334" s="12">
        <v>17</v>
      </c>
      <c r="D334" s="138">
        <v>46177</v>
      </c>
      <c r="E334" s="12" t="s">
        <v>553</v>
      </c>
      <c r="F334" s="11" t="str">
        <f>IF(Rendiciones[[#This Row],[Fecha ]]&lt;&gt;"",TEXT(Rendiciones[[#This Row],[Fecha ]],"MMMM"),"")</f>
        <v>junio</v>
      </c>
      <c r="G334" s="11" t="s">
        <v>428</v>
      </c>
      <c r="H334" s="12" t="s">
        <v>6</v>
      </c>
      <c r="I334" s="12" t="s">
        <v>28</v>
      </c>
      <c r="K334" s="1" t="s">
        <v>81</v>
      </c>
      <c r="L334" s="20">
        <v>46068</v>
      </c>
      <c r="M334" s="20">
        <f>4402+777</f>
        <v>5179</v>
      </c>
      <c r="N334" s="20">
        <f>Rendiciones[[#This Row],[Monto Neto ]]*19%</f>
        <v>8752.92</v>
      </c>
      <c r="O334" s="6">
        <f>+Rendiciones[[#This Row],[Monto Neto ]]+Rendiciones[[#This Row],[Monto Exento ]]+Rendiciones[[#This Row],[Iva]]</f>
        <v>59999.92</v>
      </c>
      <c r="Q334" s="138"/>
      <c r="R334" s="20"/>
      <c r="S334" s="20">
        <f>Rendiciones[[#This Row],[Total ]]-Rendiciones[[#This Row],[Monto ]]</f>
        <v>59999.92</v>
      </c>
      <c r="U334" s="72"/>
    </row>
    <row r="335" spans="2:21" x14ac:dyDescent="0.3">
      <c r="B335" s="12" t="s">
        <v>445</v>
      </c>
      <c r="C335" s="12">
        <v>17</v>
      </c>
      <c r="D335" s="138">
        <v>46177</v>
      </c>
      <c r="E335" s="12" t="s">
        <v>553</v>
      </c>
      <c r="F335" s="11" t="str">
        <f>IF(Rendiciones[[#This Row],[Fecha ]]&lt;&gt;"",TEXT(Rendiciones[[#This Row],[Fecha ]],"MMMM"),"")</f>
        <v>junio</v>
      </c>
      <c r="G335" s="11" t="s">
        <v>428</v>
      </c>
      <c r="H335" s="12" t="s">
        <v>6</v>
      </c>
      <c r="I335" s="12" t="s">
        <v>28</v>
      </c>
      <c r="K335" s="1" t="s">
        <v>81</v>
      </c>
      <c r="L335" s="20">
        <v>14467</v>
      </c>
      <c r="M335" s="20">
        <f>1478+1306</f>
        <v>2784</v>
      </c>
      <c r="N335" s="20">
        <f>Rendiciones[[#This Row],[Monto Neto ]]*19%</f>
        <v>2748.73</v>
      </c>
      <c r="O335" s="6">
        <f>+Rendiciones[[#This Row],[Monto Neto ]]+Rendiciones[[#This Row],[Monto Exento ]]+Rendiciones[[#This Row],[Iva]]</f>
        <v>19999.73</v>
      </c>
      <c r="Q335" s="138"/>
      <c r="R335" s="20"/>
      <c r="S335" s="20">
        <f>Rendiciones[[#This Row],[Total ]]-Rendiciones[[#This Row],[Monto ]]</f>
        <v>19999.73</v>
      </c>
      <c r="U335" s="72"/>
    </row>
    <row r="336" spans="2:21" x14ac:dyDescent="0.3">
      <c r="B336" s="12" t="s">
        <v>445</v>
      </c>
      <c r="C336" s="12">
        <v>17</v>
      </c>
      <c r="D336" s="138">
        <v>46177</v>
      </c>
      <c r="E336" s="12" t="s">
        <v>553</v>
      </c>
      <c r="F336" s="11" t="str">
        <f>IF(Rendiciones[[#This Row],[Fecha ]]&lt;&gt;"",TEXT(Rendiciones[[#This Row],[Fecha ]],"MMMM"),"")</f>
        <v>junio</v>
      </c>
      <c r="G336" s="11" t="s">
        <v>428</v>
      </c>
      <c r="H336" s="12" t="s">
        <v>6</v>
      </c>
      <c r="I336" s="12" t="s">
        <v>39</v>
      </c>
      <c r="L336" s="20"/>
      <c r="M336" s="20">
        <v>1940</v>
      </c>
      <c r="N336" s="20">
        <f>Rendiciones[[#This Row],[Monto Neto ]]*19%</f>
        <v>0</v>
      </c>
      <c r="O336" s="6">
        <f>+Rendiciones[[#This Row],[Monto Neto ]]+Rendiciones[[#This Row],[Monto Exento ]]+Rendiciones[[#This Row],[Iva]]</f>
        <v>1940</v>
      </c>
      <c r="Q336" s="138"/>
      <c r="R336" s="20"/>
      <c r="S336" s="20">
        <f>Rendiciones[[#This Row],[Total ]]-Rendiciones[[#This Row],[Monto ]]</f>
        <v>1940</v>
      </c>
      <c r="U336" s="72"/>
    </row>
    <row r="337" spans="2:21" x14ac:dyDescent="0.3">
      <c r="B337" s="12" t="s">
        <v>445</v>
      </c>
      <c r="C337" s="12">
        <v>17</v>
      </c>
      <c r="D337" s="138">
        <v>46177</v>
      </c>
      <c r="E337" s="12" t="s">
        <v>553</v>
      </c>
      <c r="F337" s="11" t="str">
        <f>IF(Rendiciones[[#This Row],[Fecha ]]&lt;&gt;"",TEXT(Rendiciones[[#This Row],[Fecha ]],"MMMM"),"")</f>
        <v>junio</v>
      </c>
      <c r="G337" s="11" t="s">
        <v>428</v>
      </c>
      <c r="H337" s="12" t="s">
        <v>5</v>
      </c>
      <c r="I337" s="12" t="s">
        <v>52</v>
      </c>
      <c r="L337" s="20"/>
      <c r="M337" s="20">
        <v>13624</v>
      </c>
      <c r="N337" s="20">
        <f>Rendiciones[[#This Row],[Monto Neto ]]*19%</f>
        <v>0</v>
      </c>
      <c r="O337" s="6">
        <f>+Rendiciones[[#This Row],[Monto Neto ]]+Rendiciones[[#This Row],[Monto Exento ]]+Rendiciones[[#This Row],[Iva]]</f>
        <v>13624</v>
      </c>
      <c r="P337" t="s">
        <v>89</v>
      </c>
      <c r="Q337" s="138">
        <v>46181</v>
      </c>
      <c r="R337" s="20">
        <v>95563.65</v>
      </c>
      <c r="S337" s="20">
        <f>Rendiciones[[#This Row],[Total ]]-Rendiciones[[#This Row],[Monto ]]</f>
        <v>-81939.649999999994</v>
      </c>
      <c r="U337" s="72"/>
    </row>
    <row r="338" spans="2:21" x14ac:dyDescent="0.3">
      <c r="B338" s="12" t="s">
        <v>435</v>
      </c>
      <c r="C338" s="12">
        <v>7</v>
      </c>
      <c r="D338" s="138">
        <v>46176</v>
      </c>
      <c r="E338" s="138" t="s">
        <v>553</v>
      </c>
      <c r="F338" s="11" t="str">
        <f>IF(Rendiciones[[#This Row],[Fecha ]]&lt;&gt;"",TEXT(Rendiciones[[#This Row],[Fecha ]],"MMMM"),"")</f>
        <v>junio</v>
      </c>
      <c r="G338" s="11" t="s">
        <v>428</v>
      </c>
      <c r="H338" s="12" t="s">
        <v>9</v>
      </c>
      <c r="I338" s="12" t="s">
        <v>66</v>
      </c>
      <c r="K338" s="1" t="s">
        <v>81</v>
      </c>
      <c r="L338" s="20"/>
      <c r="M338" s="20">
        <v>30925</v>
      </c>
      <c r="N338" s="20">
        <f>Rendiciones[[#This Row],[Monto Neto ]]*19%</f>
        <v>0</v>
      </c>
      <c r="O338" s="6">
        <f>+Rendiciones[[#This Row],[Monto Neto ]]+Rendiciones[[#This Row],[Monto Exento ]]+Rendiciones[[#This Row],[Iva]]</f>
        <v>30925</v>
      </c>
      <c r="P338" t="s">
        <v>89</v>
      </c>
      <c r="Q338" s="138">
        <v>46181</v>
      </c>
      <c r="R338" s="20">
        <v>30925</v>
      </c>
      <c r="S338" s="20">
        <f>Rendiciones[[#This Row],[Total ]]-Rendiciones[[#This Row],[Monto ]]</f>
        <v>0</v>
      </c>
      <c r="U338" s="72"/>
    </row>
    <row r="339" spans="2:21" x14ac:dyDescent="0.3">
      <c r="B339" s="12" t="s">
        <v>20</v>
      </c>
      <c r="C339" s="12">
        <v>12</v>
      </c>
      <c r="D339" s="138">
        <v>46176</v>
      </c>
      <c r="E339" s="12" t="s">
        <v>553</v>
      </c>
      <c r="F339" s="11" t="str">
        <f>IF(Rendiciones[[#This Row],[Fecha ]]&lt;&gt;"",TEXT(Rendiciones[[#This Row],[Fecha ]],"MMMM"),"")</f>
        <v>junio</v>
      </c>
      <c r="G339" s="11" t="s">
        <v>428</v>
      </c>
      <c r="H339" s="12" t="s">
        <v>6</v>
      </c>
      <c r="I339" s="12" t="s">
        <v>25</v>
      </c>
      <c r="K339" s="1" t="s">
        <v>512</v>
      </c>
      <c r="L339" s="20"/>
      <c r="M339" s="20">
        <v>20000</v>
      </c>
      <c r="N339" s="20">
        <f>Rendiciones[[#This Row],[Monto Neto ]]*19%</f>
        <v>0</v>
      </c>
      <c r="O339" s="6">
        <f>+Rendiciones[[#This Row],[Monto Neto ]]+Rendiciones[[#This Row],[Monto Exento ]]+Rendiciones[[#This Row],[Iva]]</f>
        <v>20000</v>
      </c>
      <c r="P339" t="s">
        <v>89</v>
      </c>
      <c r="Q339" s="138">
        <v>46181</v>
      </c>
      <c r="R339" s="20">
        <v>20000</v>
      </c>
      <c r="S339" s="20">
        <f>Rendiciones[[#This Row],[Total ]]-Rendiciones[[#This Row],[Monto ]]</f>
        <v>0</v>
      </c>
      <c r="U339" s="72"/>
    </row>
    <row r="340" spans="2:21" x14ac:dyDescent="0.3">
      <c r="B340" s="12" t="s">
        <v>557</v>
      </c>
      <c r="C340" s="12">
        <v>1</v>
      </c>
      <c r="D340" s="138">
        <v>46190</v>
      </c>
      <c r="E340" s="12" t="s">
        <v>558</v>
      </c>
      <c r="F340" s="11" t="str">
        <f>IF(Rendiciones[[#This Row],[Fecha ]]&lt;&gt;"",TEXT(Rendiciones[[#This Row],[Fecha ]],"MMMM"),"")</f>
        <v>junio</v>
      </c>
      <c r="G340" s="11" t="s">
        <v>559</v>
      </c>
      <c r="H340" s="12" t="s">
        <v>6</v>
      </c>
      <c r="I340" s="12" t="s">
        <v>95</v>
      </c>
      <c r="J340" s="1" t="s">
        <v>560</v>
      </c>
      <c r="K340" s="1" t="s">
        <v>81</v>
      </c>
      <c r="L340" s="20">
        <v>120000</v>
      </c>
      <c r="M340" s="20"/>
      <c r="N340" s="20">
        <f>Rendiciones[[#This Row],[Monto Neto ]]*19%</f>
        <v>22800</v>
      </c>
      <c r="O340" s="6">
        <f>+Rendiciones[[#This Row],[Monto Neto ]]+Rendiciones[[#This Row],[Monto Exento ]]+Rendiciones[[#This Row],[Iva]]</f>
        <v>142800</v>
      </c>
      <c r="Q340" s="138"/>
      <c r="R340" s="20"/>
      <c r="S340" s="20">
        <f>Rendiciones[[#This Row],[Total ]]-Rendiciones[[#This Row],[Monto ]]</f>
        <v>142800</v>
      </c>
      <c r="U340" s="72"/>
    </row>
    <row r="341" spans="2:21" x14ac:dyDescent="0.3">
      <c r="B341" s="12" t="s">
        <v>557</v>
      </c>
      <c r="C341" s="12">
        <v>1</v>
      </c>
      <c r="D341" s="138">
        <v>46190</v>
      </c>
      <c r="E341" s="12" t="s">
        <v>558</v>
      </c>
      <c r="F341" s="11" t="str">
        <f>IF(Rendiciones[[#This Row],[Fecha ]]&lt;&gt;"",TEXT(Rendiciones[[#This Row],[Fecha ]],"MMMM"),"")</f>
        <v>junio</v>
      </c>
      <c r="G341" s="11" t="s">
        <v>559</v>
      </c>
      <c r="H341" s="12" t="s">
        <v>6</v>
      </c>
      <c r="I341" s="12" t="s">
        <v>95</v>
      </c>
      <c r="J341" s="1" t="s">
        <v>560</v>
      </c>
      <c r="K341" s="1" t="s">
        <v>81</v>
      </c>
      <c r="L341" s="20">
        <v>28491</v>
      </c>
      <c r="M341" s="20"/>
      <c r="N341" s="20">
        <f>Rendiciones[[#This Row],[Monto Neto ]]*19%</f>
        <v>5413.29</v>
      </c>
      <c r="O341" s="6">
        <f>+Rendiciones[[#This Row],[Monto Neto ]]+Rendiciones[[#This Row],[Monto Exento ]]+Rendiciones[[#This Row],[Iva]]</f>
        <v>33904.29</v>
      </c>
      <c r="Q341" s="138"/>
      <c r="R341" s="20"/>
      <c r="S341" s="20">
        <f>Rendiciones[[#This Row],[Total ]]-Rendiciones[[#This Row],[Monto ]]</f>
        <v>33904.29</v>
      </c>
      <c r="U341" s="72"/>
    </row>
    <row r="342" spans="2:21" x14ac:dyDescent="0.3">
      <c r="B342" s="12" t="s">
        <v>557</v>
      </c>
      <c r="C342" s="12">
        <v>1</v>
      </c>
      <c r="D342" s="138">
        <v>46190</v>
      </c>
      <c r="E342" s="12" t="s">
        <v>558</v>
      </c>
      <c r="F342" s="11" t="str">
        <f>IF(Rendiciones[[#This Row],[Fecha ]]&lt;&gt;"",TEXT(Rendiciones[[#This Row],[Fecha ]],"MMMM"),"")</f>
        <v>junio</v>
      </c>
      <c r="G342" s="11" t="s">
        <v>559</v>
      </c>
      <c r="H342" s="12" t="s">
        <v>6</v>
      </c>
      <c r="I342" s="12" t="s">
        <v>429</v>
      </c>
      <c r="K342" s="1" t="s">
        <v>81</v>
      </c>
      <c r="L342" s="20">
        <v>45714</v>
      </c>
      <c r="M342" s="20"/>
      <c r="N342" s="20">
        <f>Rendiciones[[#This Row],[Monto Neto ]]*19%</f>
        <v>8685.66</v>
      </c>
      <c r="O342" s="6">
        <f>+Rendiciones[[#This Row],[Monto Neto ]]+Rendiciones[[#This Row],[Monto Exento ]]+Rendiciones[[#This Row],[Iva]]</f>
        <v>54399.66</v>
      </c>
      <c r="Q342" s="138"/>
      <c r="R342" s="20"/>
      <c r="S342" s="20">
        <f>Rendiciones[[#This Row],[Total ]]-Rendiciones[[#This Row],[Monto ]]</f>
        <v>54399.66</v>
      </c>
      <c r="U342" s="72"/>
    </row>
    <row r="343" spans="2:21" x14ac:dyDescent="0.3">
      <c r="B343" s="12" t="s">
        <v>557</v>
      </c>
      <c r="C343" s="12">
        <v>1</v>
      </c>
      <c r="D343" s="138">
        <v>46190</v>
      </c>
      <c r="E343" s="12" t="s">
        <v>558</v>
      </c>
      <c r="F343" s="11" t="str">
        <f>IF(Rendiciones[[#This Row],[Fecha ]]&lt;&gt;"",TEXT(Rendiciones[[#This Row],[Fecha ]],"MMMM"),"")</f>
        <v>junio</v>
      </c>
      <c r="G343" s="11" t="s">
        <v>559</v>
      </c>
      <c r="H343" s="12" t="s">
        <v>6</v>
      </c>
      <c r="I343" s="12" t="s">
        <v>429</v>
      </c>
      <c r="K343" s="1" t="s">
        <v>81</v>
      </c>
      <c r="L343" s="20">
        <v>41262</v>
      </c>
      <c r="M343" s="20"/>
      <c r="N343" s="20">
        <f>Rendiciones[[#This Row],[Monto Neto ]]*19%</f>
        <v>7839.78</v>
      </c>
      <c r="O343" s="6">
        <f>+Rendiciones[[#This Row],[Monto Neto ]]+Rendiciones[[#This Row],[Monto Exento ]]+Rendiciones[[#This Row],[Iva]]</f>
        <v>49101.78</v>
      </c>
      <c r="Q343" s="138"/>
      <c r="R343" s="20"/>
      <c r="S343" s="20">
        <f>Rendiciones[[#This Row],[Total ]]-Rendiciones[[#This Row],[Monto ]]</f>
        <v>49101.78</v>
      </c>
      <c r="U343" s="72"/>
    </row>
    <row r="344" spans="2:21" x14ac:dyDescent="0.3">
      <c r="B344" s="12" t="s">
        <v>557</v>
      </c>
      <c r="C344" s="12">
        <v>1</v>
      </c>
      <c r="D344" s="138">
        <v>46190</v>
      </c>
      <c r="E344" s="12" t="s">
        <v>558</v>
      </c>
      <c r="F344" s="11" t="str">
        <f>IF(Rendiciones[[#This Row],[Fecha ]]&lt;&gt;"",TEXT(Rendiciones[[#This Row],[Fecha ]],"MMMM"),"")</f>
        <v>junio</v>
      </c>
      <c r="G344" s="11" t="s">
        <v>559</v>
      </c>
      <c r="H344" s="12" t="s">
        <v>6</v>
      </c>
      <c r="I344" s="12" t="s">
        <v>28</v>
      </c>
      <c r="K344" s="1" t="s">
        <v>81</v>
      </c>
      <c r="L344" s="20">
        <v>15457</v>
      </c>
      <c r="M344" s="20">
        <v>7368</v>
      </c>
      <c r="N344" s="20">
        <f>Rendiciones[[#This Row],[Monto Neto ]]*19%</f>
        <v>2936.83</v>
      </c>
      <c r="O344" s="6">
        <f>+Rendiciones[[#This Row],[Monto Neto ]]+Rendiciones[[#This Row],[Monto Exento ]]+Rendiciones[[#This Row],[Iva]]</f>
        <v>25761.83</v>
      </c>
      <c r="Q344" s="138"/>
      <c r="R344" s="20"/>
      <c r="S344" s="20">
        <f>Rendiciones[[#This Row],[Total ]]-Rendiciones[[#This Row],[Monto ]]</f>
        <v>25761.83</v>
      </c>
      <c r="U344" s="72"/>
    </row>
    <row r="345" spans="2:21" x14ac:dyDescent="0.3">
      <c r="B345" s="12" t="s">
        <v>557</v>
      </c>
      <c r="C345" s="12">
        <v>1</v>
      </c>
      <c r="D345" s="138">
        <v>46190</v>
      </c>
      <c r="E345" s="12" t="s">
        <v>558</v>
      </c>
      <c r="F345" s="11" t="str">
        <f>IF(Rendiciones[[#This Row],[Fecha ]]&lt;&gt;"",TEXT(Rendiciones[[#This Row],[Fecha ]],"MMMM"),"")</f>
        <v>junio</v>
      </c>
      <c r="G345" s="11" t="s">
        <v>559</v>
      </c>
      <c r="H345" s="12" t="s">
        <v>6</v>
      </c>
      <c r="I345" s="12" t="s">
        <v>31</v>
      </c>
      <c r="L345" s="20"/>
      <c r="M345" s="20">
        <f>1605+2352+3772+10305+5037+1741</f>
        <v>24812</v>
      </c>
      <c r="N345" s="20">
        <f>Rendiciones[[#This Row],[Monto Neto ]]*19%</f>
        <v>0</v>
      </c>
      <c r="O345" s="6">
        <f>+Rendiciones[[#This Row],[Monto Neto ]]+Rendiciones[[#This Row],[Monto Exento ]]+Rendiciones[[#This Row],[Iva]]</f>
        <v>24812</v>
      </c>
      <c r="Q345" s="138"/>
      <c r="R345" s="20"/>
      <c r="S345" s="20">
        <f>Rendiciones[[#This Row],[Total ]]-Rendiciones[[#This Row],[Monto ]]</f>
        <v>24812</v>
      </c>
      <c r="U345" s="72"/>
    </row>
    <row r="346" spans="2:21" x14ac:dyDescent="0.3">
      <c r="B346" s="12" t="s">
        <v>557</v>
      </c>
      <c r="C346" s="12">
        <v>1</v>
      </c>
      <c r="D346" s="138">
        <v>46190</v>
      </c>
      <c r="E346" s="12" t="s">
        <v>558</v>
      </c>
      <c r="F346" s="11" t="str">
        <f>IF(Rendiciones[[#This Row],[Fecha ]]&lt;&gt;"",TEXT(Rendiciones[[#This Row],[Fecha ]],"MMMM"),"")</f>
        <v>junio</v>
      </c>
      <c r="G346" s="11" t="s">
        <v>559</v>
      </c>
      <c r="H346" s="12" t="s">
        <v>6</v>
      </c>
      <c r="I346" s="12" t="s">
        <v>28</v>
      </c>
      <c r="L346" s="20"/>
      <c r="M346" s="20">
        <v>5000</v>
      </c>
      <c r="N346" s="20">
        <f>Rendiciones[[#This Row],[Monto Neto ]]*19%</f>
        <v>0</v>
      </c>
      <c r="O346" s="6">
        <f>+Rendiciones[[#This Row],[Monto Neto ]]+Rendiciones[[#This Row],[Monto Exento ]]+Rendiciones[[#This Row],[Iva]]</f>
        <v>5000</v>
      </c>
      <c r="Q346" s="138"/>
      <c r="R346" s="20"/>
      <c r="S346" s="20">
        <f>Rendiciones[[#This Row],[Total ]]-Rendiciones[[#This Row],[Monto ]]</f>
        <v>5000</v>
      </c>
      <c r="U346" s="72"/>
    </row>
    <row r="347" spans="2:21" x14ac:dyDescent="0.3">
      <c r="B347" s="12" t="s">
        <v>557</v>
      </c>
      <c r="C347" s="12">
        <v>1</v>
      </c>
      <c r="D347" s="138">
        <v>46190</v>
      </c>
      <c r="E347" s="12" t="s">
        <v>558</v>
      </c>
      <c r="F347" s="11" t="str">
        <f>IF(Rendiciones[[#This Row],[Fecha ]]&lt;&gt;"",TEXT(Rendiciones[[#This Row],[Fecha ]],"MMMM"),"")</f>
        <v>junio</v>
      </c>
      <c r="G347" s="11" t="s">
        <v>559</v>
      </c>
      <c r="H347" s="12" t="s">
        <v>6</v>
      </c>
      <c r="I347" s="12" t="s">
        <v>60</v>
      </c>
      <c r="L347" s="20"/>
      <c r="M347" s="20">
        <f>9100+9400</f>
        <v>18500</v>
      </c>
      <c r="N347" s="20">
        <f>Rendiciones[[#This Row],[Monto Neto ]]*19%</f>
        <v>0</v>
      </c>
      <c r="O347" s="6">
        <f>+Rendiciones[[#This Row],[Monto Neto ]]+Rendiciones[[#This Row],[Monto Exento ]]+Rendiciones[[#This Row],[Iva]]</f>
        <v>18500</v>
      </c>
      <c r="P347" t="s">
        <v>477</v>
      </c>
      <c r="Q347" s="138">
        <v>46191</v>
      </c>
      <c r="R347" s="20">
        <v>354279.56</v>
      </c>
      <c r="S347" s="20">
        <f>Rendiciones[[#This Row],[Total ]]-Rendiciones[[#This Row],[Monto ]]</f>
        <v>-335779.56</v>
      </c>
      <c r="U347" s="72"/>
    </row>
    <row r="348" spans="2:21" x14ac:dyDescent="0.3">
      <c r="B348" s="12" t="s">
        <v>20</v>
      </c>
      <c r="C348" s="12">
        <v>13</v>
      </c>
      <c r="D348" s="138">
        <v>46188</v>
      </c>
      <c r="E348" s="12" t="s">
        <v>561</v>
      </c>
      <c r="F348" s="11" t="str">
        <f>IF(Rendiciones[[#This Row],[Fecha ]]&lt;&gt;"",TEXT(Rendiciones[[#This Row],[Fecha ]],"MMMM"),"")</f>
        <v>junio</v>
      </c>
      <c r="G348" s="11" t="s">
        <v>428</v>
      </c>
      <c r="H348" s="12" t="s">
        <v>6</v>
      </c>
      <c r="I348" s="12" t="s">
        <v>25</v>
      </c>
      <c r="K348" s="1" t="s">
        <v>512</v>
      </c>
      <c r="L348" s="20"/>
      <c r="M348" s="20">
        <v>10000</v>
      </c>
      <c r="N348" s="20">
        <f>Rendiciones[[#This Row],[Monto Neto ]]*19%</f>
        <v>0</v>
      </c>
      <c r="O348" s="6">
        <f>+Rendiciones[[#This Row],[Monto Neto ]]+Rendiciones[[#This Row],[Monto Exento ]]+Rendiciones[[#This Row],[Iva]]</f>
        <v>10000</v>
      </c>
      <c r="P348" t="s">
        <v>477</v>
      </c>
      <c r="Q348" s="138">
        <v>46191</v>
      </c>
      <c r="R348" s="20">
        <v>10000</v>
      </c>
      <c r="S348" s="20">
        <f>Rendiciones[[#This Row],[Total ]]-Rendiciones[[#This Row],[Monto ]]</f>
        <v>0</v>
      </c>
      <c r="U348" s="72"/>
    </row>
    <row r="349" spans="2:21" x14ac:dyDescent="0.3">
      <c r="B349" s="12" t="s">
        <v>435</v>
      </c>
      <c r="C349" s="12">
        <v>8</v>
      </c>
      <c r="D349" s="138">
        <v>46183</v>
      </c>
      <c r="E349" s="138" t="s">
        <v>562</v>
      </c>
      <c r="F349" s="11" t="str">
        <f>IF(Rendiciones[[#This Row],[Fecha ]]&lt;&gt;"",TEXT(Rendiciones[[#This Row],[Fecha ]],"MMMM"),"")</f>
        <v>junio</v>
      </c>
      <c r="G349" s="11" t="s">
        <v>428</v>
      </c>
      <c r="H349" s="12" t="s">
        <v>9</v>
      </c>
      <c r="I349" s="12" t="s">
        <v>66</v>
      </c>
      <c r="K349" s="1" t="s">
        <v>81</v>
      </c>
      <c r="L349" s="20">
        <v>28168</v>
      </c>
      <c r="M349" s="20"/>
      <c r="N349" s="20">
        <f>Rendiciones[[#This Row],[Monto Neto ]]*19%</f>
        <v>5351.92</v>
      </c>
      <c r="O349" s="6">
        <f>+Rendiciones[[#This Row],[Monto Neto ]]+Rendiciones[[#This Row],[Monto Exento ]]+Rendiciones[[#This Row],[Iva]]</f>
        <v>33519.919999999998</v>
      </c>
      <c r="P349" t="s">
        <v>89</v>
      </c>
      <c r="Q349" s="138">
        <v>46185</v>
      </c>
      <c r="R349" s="20">
        <v>30519.919999999998</v>
      </c>
      <c r="S349" s="20">
        <f>Rendiciones[[#This Row],[Total ]]-Rendiciones[[#This Row],[Monto ]]</f>
        <v>3000</v>
      </c>
      <c r="U349" s="72"/>
    </row>
    <row r="350" spans="2:21" x14ac:dyDescent="0.3">
      <c r="B350" s="12" t="s">
        <v>435</v>
      </c>
      <c r="C350" s="12">
        <v>9</v>
      </c>
      <c r="D350" s="138">
        <v>46189</v>
      </c>
      <c r="E350" s="138" t="s">
        <v>561</v>
      </c>
      <c r="F350" s="11" t="str">
        <f>IF(Rendiciones[[#This Row],[Fecha ]]&lt;&gt;"",TEXT(Rendiciones[[#This Row],[Fecha ]],"MMMM"),"")</f>
        <v>junio</v>
      </c>
      <c r="G350" s="11" t="s">
        <v>428</v>
      </c>
      <c r="H350" s="12" t="s">
        <v>9</v>
      </c>
      <c r="I350" s="12" t="s">
        <v>66</v>
      </c>
      <c r="L350" s="20"/>
      <c r="M350" s="20">
        <v>375703</v>
      </c>
      <c r="N350" s="20">
        <f>Rendiciones[[#This Row],[Monto Neto ]]*19%</f>
        <v>0</v>
      </c>
      <c r="O350" s="6">
        <f>+Rendiciones[[#This Row],[Monto Neto ]]+Rendiciones[[#This Row],[Monto Exento ]]+Rendiciones[[#This Row],[Iva]]</f>
        <v>375703</v>
      </c>
      <c r="P350" t="s">
        <v>89</v>
      </c>
      <c r="Q350" s="138">
        <v>46191</v>
      </c>
      <c r="R350" s="20">
        <v>375703</v>
      </c>
      <c r="S350" s="20">
        <f>Rendiciones[[#This Row],[Total ]]-Rendiciones[[#This Row],[Monto ]]</f>
        <v>0</v>
      </c>
      <c r="U350" s="72"/>
    </row>
    <row r="351" spans="2:21" x14ac:dyDescent="0.3">
      <c r="B351" s="12" t="s">
        <v>445</v>
      </c>
      <c r="C351" s="12">
        <v>18</v>
      </c>
      <c r="D351" s="138">
        <v>46184</v>
      </c>
      <c r="E351" s="12" t="s">
        <v>562</v>
      </c>
      <c r="F351" s="11" t="str">
        <f>IF(Rendiciones[[#This Row],[Fecha ]]&lt;&gt;"",TEXT(Rendiciones[[#This Row],[Fecha ]],"MMMM"),"")</f>
        <v>junio</v>
      </c>
      <c r="G351" s="11" t="s">
        <v>428</v>
      </c>
      <c r="H351" s="12" t="s">
        <v>6</v>
      </c>
      <c r="I351" s="12" t="s">
        <v>28</v>
      </c>
      <c r="K351" s="1" t="s">
        <v>81</v>
      </c>
      <c r="L351" s="20">
        <v>36191</v>
      </c>
      <c r="M351" s="20">
        <f>3681+3252</f>
        <v>6933</v>
      </c>
      <c r="N351" s="20">
        <f>Rendiciones[[#This Row],[Monto Neto ]]*19%</f>
        <v>6876.29</v>
      </c>
      <c r="O351" s="6">
        <f>+Rendiciones[[#This Row],[Monto Neto ]]+Rendiciones[[#This Row],[Monto Exento ]]+Rendiciones[[#This Row],[Iva]]</f>
        <v>50000.29</v>
      </c>
      <c r="Q351" s="138"/>
      <c r="R351" s="20"/>
      <c r="S351" s="20">
        <f>Rendiciones[[#This Row],[Total ]]-Rendiciones[[#This Row],[Monto ]]</f>
        <v>50000.29</v>
      </c>
      <c r="U351" s="72"/>
    </row>
    <row r="352" spans="2:21" x14ac:dyDescent="0.3">
      <c r="B352" s="12" t="s">
        <v>445</v>
      </c>
      <c r="C352" s="12">
        <v>18</v>
      </c>
      <c r="D352" s="138">
        <v>46184</v>
      </c>
      <c r="E352" s="12" t="s">
        <v>562</v>
      </c>
      <c r="F352" s="11" t="str">
        <f>IF(Rendiciones[[#This Row],[Fecha ]]&lt;&gt;"",TEXT(Rendiciones[[#This Row],[Fecha ]],"MMMM"),"")</f>
        <v>junio</v>
      </c>
      <c r="G352" s="11" t="s">
        <v>428</v>
      </c>
      <c r="H352" s="12" t="s">
        <v>6</v>
      </c>
      <c r="I352" s="12" t="s">
        <v>28</v>
      </c>
      <c r="K352" s="1" t="s">
        <v>81</v>
      </c>
      <c r="L352" s="20">
        <v>21083</v>
      </c>
      <c r="M352" s="20">
        <f>2208+2703</f>
        <v>4911</v>
      </c>
      <c r="N352" s="20">
        <f>Rendiciones[[#This Row],[Monto Neto ]]*19%</f>
        <v>4005.77</v>
      </c>
      <c r="O352" s="6">
        <f>+Rendiciones[[#This Row],[Monto Neto ]]+Rendiciones[[#This Row],[Monto Exento ]]+Rendiciones[[#This Row],[Iva]]</f>
        <v>29999.77</v>
      </c>
      <c r="Q352" s="138"/>
      <c r="R352" s="20"/>
      <c r="S352" s="20">
        <f>Rendiciones[[#This Row],[Total ]]-Rendiciones[[#This Row],[Monto ]]</f>
        <v>29999.77</v>
      </c>
      <c r="U352" s="72"/>
    </row>
    <row r="353" spans="2:21" x14ac:dyDescent="0.3">
      <c r="B353" s="12" t="s">
        <v>445</v>
      </c>
      <c r="C353" s="12">
        <v>18</v>
      </c>
      <c r="D353" s="138">
        <v>46184</v>
      </c>
      <c r="E353" s="12" t="s">
        <v>562</v>
      </c>
      <c r="F353" s="11" t="str">
        <f>IF(Rendiciones[[#This Row],[Fecha ]]&lt;&gt;"",TEXT(Rendiciones[[#This Row],[Fecha ]],"MMMM"),"")</f>
        <v>junio</v>
      </c>
      <c r="G353" s="11" t="s">
        <v>428</v>
      </c>
      <c r="H353" s="12" t="s">
        <v>6</v>
      </c>
      <c r="I353" s="12" t="s">
        <v>429</v>
      </c>
      <c r="L353" s="20"/>
      <c r="M353" s="20">
        <f>7400+4100</f>
        <v>11500</v>
      </c>
      <c r="N353" s="20">
        <f>Rendiciones[[#This Row],[Monto Neto ]]*19%</f>
        <v>0</v>
      </c>
      <c r="O353" s="6">
        <f>+Rendiciones[[#This Row],[Monto Neto ]]+Rendiciones[[#This Row],[Monto Exento ]]+Rendiciones[[#This Row],[Iva]]</f>
        <v>11500</v>
      </c>
      <c r="Q353" s="138"/>
      <c r="R353" s="20"/>
      <c r="S353" s="20">
        <f>Rendiciones[[#This Row],[Total ]]-Rendiciones[[#This Row],[Monto ]]</f>
        <v>11500</v>
      </c>
      <c r="U353" s="72"/>
    </row>
    <row r="354" spans="2:21" x14ac:dyDescent="0.3">
      <c r="B354" s="12" t="s">
        <v>445</v>
      </c>
      <c r="C354" s="12">
        <v>18</v>
      </c>
      <c r="D354" s="138">
        <v>46184</v>
      </c>
      <c r="E354" s="12" t="s">
        <v>562</v>
      </c>
      <c r="F354" s="11" t="str">
        <f>IF(Rendiciones[[#This Row],[Fecha ]]&lt;&gt;"",TEXT(Rendiciones[[#This Row],[Fecha ]],"MMMM"),"")</f>
        <v>junio</v>
      </c>
      <c r="G354" s="11" t="s">
        <v>428</v>
      </c>
      <c r="H354" s="12" t="s">
        <v>5</v>
      </c>
      <c r="I354" s="12" t="s">
        <v>52</v>
      </c>
      <c r="L354" s="20"/>
      <c r="M354" s="20">
        <v>8207</v>
      </c>
      <c r="N354" s="20">
        <f>Rendiciones[[#This Row],[Monto Neto ]]*19%</f>
        <v>0</v>
      </c>
      <c r="O354" s="6">
        <f>+Rendiciones[[#This Row],[Monto Neto ]]+Rendiciones[[#This Row],[Monto Exento ]]+Rendiciones[[#This Row],[Iva]]</f>
        <v>8207</v>
      </c>
      <c r="Q354" s="138"/>
      <c r="R354" s="20"/>
      <c r="S354" s="20">
        <f>Rendiciones[[#This Row],[Total ]]-Rendiciones[[#This Row],[Monto ]]</f>
        <v>8207</v>
      </c>
      <c r="U354" s="72"/>
    </row>
    <row r="355" spans="2:21" x14ac:dyDescent="0.3">
      <c r="B355" s="12" t="s">
        <v>445</v>
      </c>
      <c r="C355" s="12">
        <v>18</v>
      </c>
      <c r="D355" s="138">
        <v>46184</v>
      </c>
      <c r="E355" s="12" t="s">
        <v>562</v>
      </c>
      <c r="F355" s="11" t="str">
        <f>IF(Rendiciones[[#This Row],[Fecha ]]&lt;&gt;"",TEXT(Rendiciones[[#This Row],[Fecha ]],"MMMM"),"")</f>
        <v>junio</v>
      </c>
      <c r="G355" s="11" t="s">
        <v>428</v>
      </c>
      <c r="H355" s="12" t="s">
        <v>5</v>
      </c>
      <c r="I355" s="12" t="s">
        <v>39</v>
      </c>
      <c r="L355" s="20"/>
      <c r="M355" s="20">
        <v>700</v>
      </c>
      <c r="N355" s="20">
        <f>Rendiciones[[#This Row],[Monto Neto ]]*19%</f>
        <v>0</v>
      </c>
      <c r="O355" s="6">
        <f>+Rendiciones[[#This Row],[Monto Neto ]]+Rendiciones[[#This Row],[Monto Exento ]]+Rendiciones[[#This Row],[Iva]]</f>
        <v>700</v>
      </c>
      <c r="P355" t="s">
        <v>89</v>
      </c>
      <c r="Q355" s="138">
        <v>46188</v>
      </c>
      <c r="R355" s="20">
        <v>100407.06</v>
      </c>
      <c r="S355" s="20">
        <f>Rendiciones[[#This Row],[Total ]]-Rendiciones[[#This Row],[Monto ]]</f>
        <v>-99707.06</v>
      </c>
      <c r="U355" s="72"/>
    </row>
    <row r="356" spans="2:21" x14ac:dyDescent="0.3">
      <c r="B356" s="12" t="s">
        <v>445</v>
      </c>
      <c r="C356" s="12">
        <v>19</v>
      </c>
      <c r="D356" s="138">
        <v>46191</v>
      </c>
      <c r="E356" s="12" t="s">
        <v>561</v>
      </c>
      <c r="F356" s="11" t="str">
        <f>IF(Rendiciones[[#This Row],[Fecha ]]&lt;&gt;"",TEXT(Rendiciones[[#This Row],[Fecha ]],"MMMM"),"")</f>
        <v>junio</v>
      </c>
      <c r="G356" s="11" t="s">
        <v>428</v>
      </c>
      <c r="H356" s="12" t="s">
        <v>6</v>
      </c>
      <c r="I356" s="12" t="s">
        <v>28</v>
      </c>
      <c r="K356" s="1" t="s">
        <v>81</v>
      </c>
      <c r="L356" s="20">
        <v>46392</v>
      </c>
      <c r="M356" s="20">
        <f>4785+9</f>
        <v>4794</v>
      </c>
      <c r="N356" s="20">
        <f>Rendiciones[[#This Row],[Monto Neto ]]*19%</f>
        <v>8814.48</v>
      </c>
      <c r="O356" s="6">
        <f>+Rendiciones[[#This Row],[Monto Neto ]]+Rendiciones[[#This Row],[Monto Exento ]]+Rendiciones[[#This Row],[Iva]]</f>
        <v>60000.479999999996</v>
      </c>
      <c r="Q356" s="138"/>
      <c r="R356" s="20"/>
      <c r="S356" s="20">
        <f>Rendiciones[[#This Row],[Total ]]-Rendiciones[[#This Row],[Monto ]]</f>
        <v>60000.479999999996</v>
      </c>
      <c r="U356" s="72"/>
    </row>
    <row r="357" spans="2:21" x14ac:dyDescent="0.3">
      <c r="B357" s="12" t="s">
        <v>445</v>
      </c>
      <c r="C357" s="12">
        <v>19</v>
      </c>
      <c r="D357" s="138">
        <v>46191</v>
      </c>
      <c r="E357" s="12" t="s">
        <v>561</v>
      </c>
      <c r="F357" s="11" t="str">
        <f>IF(Rendiciones[[#This Row],[Fecha ]]&lt;&gt;"",TEXT(Rendiciones[[#This Row],[Fecha ]],"MMMM"),"")</f>
        <v>junio</v>
      </c>
      <c r="G357" s="11" t="s">
        <v>428</v>
      </c>
      <c r="H357" s="12" t="s">
        <v>6</v>
      </c>
      <c r="I357" s="12" t="s">
        <v>429</v>
      </c>
      <c r="L357" s="20"/>
      <c r="M357" s="20">
        <v>7200</v>
      </c>
      <c r="N357" s="20">
        <f>Rendiciones[[#This Row],[Monto Neto ]]*19%</f>
        <v>0</v>
      </c>
      <c r="O357" s="6">
        <f>+Rendiciones[[#This Row],[Monto Neto ]]+Rendiciones[[#This Row],[Monto Exento ]]+Rendiciones[[#This Row],[Iva]]</f>
        <v>7200</v>
      </c>
      <c r="Q357" s="138"/>
      <c r="R357" s="20"/>
      <c r="S357" s="20">
        <f>Rendiciones[[#This Row],[Total ]]-Rendiciones[[#This Row],[Monto ]]</f>
        <v>7200</v>
      </c>
      <c r="U357" s="72"/>
    </row>
    <row r="358" spans="2:21" x14ac:dyDescent="0.3">
      <c r="B358" s="12" t="s">
        <v>445</v>
      </c>
      <c r="C358" s="12">
        <v>19</v>
      </c>
      <c r="D358" s="138">
        <v>46191</v>
      </c>
      <c r="E358" s="12" t="s">
        <v>561</v>
      </c>
      <c r="F358" s="11" t="str">
        <f>IF(Rendiciones[[#This Row],[Fecha ]]&lt;&gt;"",TEXT(Rendiciones[[#This Row],[Fecha ]],"MMMM"),"")</f>
        <v>junio</v>
      </c>
      <c r="G358" s="11" t="s">
        <v>428</v>
      </c>
      <c r="H358" s="12" t="s">
        <v>6</v>
      </c>
      <c r="I358" s="12" t="s">
        <v>57</v>
      </c>
      <c r="K358" s="1" t="s">
        <v>81</v>
      </c>
      <c r="L358" s="20">
        <v>15126</v>
      </c>
      <c r="M358" s="20"/>
      <c r="N358" s="20">
        <f>Rendiciones[[#This Row],[Monto Neto ]]*19%</f>
        <v>2873.94</v>
      </c>
      <c r="O358" s="6">
        <f>+Rendiciones[[#This Row],[Monto Neto ]]+Rendiciones[[#This Row],[Monto Exento ]]+Rendiciones[[#This Row],[Iva]]</f>
        <v>17999.939999999999</v>
      </c>
      <c r="Q358" s="138"/>
      <c r="R358" s="20"/>
      <c r="S358" s="20">
        <f>Rendiciones[[#This Row],[Total ]]-Rendiciones[[#This Row],[Monto ]]</f>
        <v>17999.939999999999</v>
      </c>
      <c r="U358" s="72"/>
    </row>
    <row r="359" spans="2:21" x14ac:dyDescent="0.3">
      <c r="B359" s="12" t="s">
        <v>445</v>
      </c>
      <c r="C359" s="12">
        <v>19</v>
      </c>
      <c r="D359" s="138">
        <v>46191</v>
      </c>
      <c r="E359" s="12" t="s">
        <v>561</v>
      </c>
      <c r="F359" s="11" t="str">
        <f>IF(Rendiciones[[#This Row],[Fecha ]]&lt;&gt;"",TEXT(Rendiciones[[#This Row],[Fecha ]],"MMMM"),"")</f>
        <v>junio</v>
      </c>
      <c r="G359" s="11" t="s">
        <v>428</v>
      </c>
      <c r="H359" s="12" t="s">
        <v>6</v>
      </c>
      <c r="I359" s="12" t="s">
        <v>39</v>
      </c>
      <c r="L359" s="20"/>
      <c r="M359" s="20">
        <f>2020+3070+780</f>
        <v>5870</v>
      </c>
      <c r="N359" s="20">
        <f>Rendiciones[[#This Row],[Monto Neto ]]*19%</f>
        <v>0</v>
      </c>
      <c r="O359" s="6">
        <f>+Rendiciones[[#This Row],[Monto Neto ]]+Rendiciones[[#This Row],[Monto Exento ]]+Rendiciones[[#This Row],[Iva]]</f>
        <v>5870</v>
      </c>
      <c r="P359" t="s">
        <v>477</v>
      </c>
      <c r="Q359" s="138">
        <v>46189</v>
      </c>
      <c r="R359" s="20">
        <v>91070.42</v>
      </c>
      <c r="S359" s="20">
        <f>Rendiciones[[#This Row],[Total ]]-Rendiciones[[#This Row],[Monto ]]</f>
        <v>-85200.42</v>
      </c>
      <c r="U359" s="72"/>
    </row>
    <row r="360" spans="2:21" x14ac:dyDescent="0.3">
      <c r="B360" s="12" t="s">
        <v>467</v>
      </c>
      <c r="D360" s="138">
        <v>46191</v>
      </c>
      <c r="F360" s="11" t="str">
        <f>IF(Rendiciones[[#This Row],[Fecha ]]&lt;&gt;"",TEXT(Rendiciones[[#This Row],[Fecha ]],"MMMM"),"")</f>
        <v>junio</v>
      </c>
      <c r="G360" s="11" t="s">
        <v>428</v>
      </c>
      <c r="L360" s="20"/>
      <c r="M360" s="20"/>
      <c r="N360" s="20">
        <f>Rendiciones[[#This Row],[Monto Neto ]]*19%</f>
        <v>0</v>
      </c>
      <c r="O360" s="6">
        <f>+Rendiciones[[#This Row],[Monto Neto ]]+Rendiciones[[#This Row],[Monto Exento ]]+Rendiciones[[#This Row],[Iva]]</f>
        <v>0</v>
      </c>
      <c r="P360" t="s">
        <v>477</v>
      </c>
      <c r="Q360" s="138">
        <v>46191</v>
      </c>
      <c r="R360" s="20">
        <v>850000</v>
      </c>
      <c r="S360" s="20">
        <f>Rendiciones[[#This Row],[Total ]]-Rendiciones[[#This Row],[Monto ]]</f>
        <v>-850000</v>
      </c>
      <c r="U360" s="72"/>
    </row>
    <row r="361" spans="2:21" x14ac:dyDescent="0.3">
      <c r="B361" s="12" t="s">
        <v>519</v>
      </c>
      <c r="C361" s="12">
        <v>12</v>
      </c>
      <c r="D361" s="138">
        <v>46190</v>
      </c>
      <c r="E361" s="12" t="s">
        <v>561</v>
      </c>
      <c r="F361" s="11" t="str">
        <f>IF(Rendiciones[[#This Row],[Fecha ]]&lt;&gt;"",TEXT(Rendiciones[[#This Row],[Fecha ]],"MMMM"),"")</f>
        <v>junio</v>
      </c>
      <c r="G361" s="11" t="s">
        <v>428</v>
      </c>
      <c r="H361" s="12" t="s">
        <v>6</v>
      </c>
      <c r="I361" s="12" t="s">
        <v>429</v>
      </c>
      <c r="K361" s="1" t="s">
        <v>81</v>
      </c>
      <c r="L361" s="20">
        <v>13361</v>
      </c>
      <c r="M361" s="20"/>
      <c r="N361" s="20">
        <f>Rendiciones[[#This Row],[Monto Neto ]]*19%</f>
        <v>2538.59</v>
      </c>
      <c r="O361" s="6">
        <f>+Rendiciones[[#This Row],[Monto Neto ]]+Rendiciones[[#This Row],[Monto Exento ]]+Rendiciones[[#This Row],[Iva]]</f>
        <v>15899.59</v>
      </c>
      <c r="Q361" s="138"/>
      <c r="R361" s="20"/>
      <c r="S361" s="20">
        <f>Rendiciones[[#This Row],[Total ]]-Rendiciones[[#This Row],[Monto ]]</f>
        <v>15899.59</v>
      </c>
      <c r="U361" s="72"/>
    </row>
    <row r="362" spans="2:21" x14ac:dyDescent="0.3">
      <c r="B362" s="12" t="s">
        <v>519</v>
      </c>
      <c r="C362" s="12">
        <v>12</v>
      </c>
      <c r="D362" s="138">
        <v>46190</v>
      </c>
      <c r="E362" s="12" t="s">
        <v>561</v>
      </c>
      <c r="F362" s="11" t="str">
        <f>IF(Rendiciones[[#This Row],[Fecha ]]&lt;&gt;"",TEXT(Rendiciones[[#This Row],[Fecha ]],"MMMM"),"")</f>
        <v>junio</v>
      </c>
      <c r="G362" s="11" t="s">
        <v>428</v>
      </c>
      <c r="H362" s="12" t="s">
        <v>6</v>
      </c>
      <c r="I362" s="12" t="s">
        <v>28</v>
      </c>
      <c r="K362" s="1" t="s">
        <v>81</v>
      </c>
      <c r="L362" s="20">
        <v>23616</v>
      </c>
      <c r="M362" s="20">
        <v>11897</v>
      </c>
      <c r="N362" s="20">
        <f>Rendiciones[[#This Row],[Monto Neto ]]*19%</f>
        <v>4487.04</v>
      </c>
      <c r="O362" s="6">
        <f>+Rendiciones[[#This Row],[Monto Neto ]]+Rendiciones[[#This Row],[Monto Exento ]]+Rendiciones[[#This Row],[Iva]]</f>
        <v>40000.04</v>
      </c>
      <c r="Q362" s="138"/>
      <c r="R362" s="20"/>
      <c r="S362" s="20">
        <f>Rendiciones[[#This Row],[Total ]]-Rendiciones[[#This Row],[Monto ]]</f>
        <v>40000.04</v>
      </c>
      <c r="U362" s="72"/>
    </row>
    <row r="363" spans="2:21" x14ac:dyDescent="0.3">
      <c r="B363" s="12" t="s">
        <v>519</v>
      </c>
      <c r="C363" s="12">
        <v>12</v>
      </c>
      <c r="D363" s="138">
        <v>46190</v>
      </c>
      <c r="E363" s="12" t="s">
        <v>561</v>
      </c>
      <c r="F363" s="11" t="str">
        <f>IF(Rendiciones[[#This Row],[Fecha ]]&lt;&gt;"",TEXT(Rendiciones[[#This Row],[Fecha ]],"MMMM"),"")</f>
        <v>junio</v>
      </c>
      <c r="G363" s="11" t="s">
        <v>428</v>
      </c>
      <c r="H363" s="12" t="s">
        <v>6</v>
      </c>
      <c r="I363" s="12" t="s">
        <v>65</v>
      </c>
      <c r="K363" s="1" t="s">
        <v>81</v>
      </c>
      <c r="L363" s="20">
        <v>249158</v>
      </c>
      <c r="M363" s="20">
        <v>29650</v>
      </c>
      <c r="N363" s="20">
        <f>Rendiciones[[#This Row],[Monto Neto ]]*19%</f>
        <v>47340.020000000004</v>
      </c>
      <c r="O363" s="6">
        <f>+Rendiciones[[#This Row],[Monto Neto ]]+Rendiciones[[#This Row],[Monto Exento ]]+Rendiciones[[#This Row],[Iva]]</f>
        <v>326148.02</v>
      </c>
      <c r="Q363" s="138"/>
      <c r="R363" s="20"/>
      <c r="S363" s="20">
        <f>Rendiciones[[#This Row],[Total ]]-Rendiciones[[#This Row],[Monto ]]</f>
        <v>326148.02</v>
      </c>
      <c r="U363" s="72"/>
    </row>
    <row r="364" spans="2:21" x14ac:dyDescent="0.3">
      <c r="B364" s="12" t="s">
        <v>519</v>
      </c>
      <c r="C364" s="12">
        <v>12</v>
      </c>
      <c r="D364" s="138">
        <v>46190</v>
      </c>
      <c r="E364" s="12" t="s">
        <v>561</v>
      </c>
      <c r="F364" s="11" t="str">
        <f>IF(Rendiciones[[#This Row],[Fecha ]]&lt;&gt;"",TEXT(Rendiciones[[#This Row],[Fecha ]],"MMMM"),"")</f>
        <v>junio</v>
      </c>
      <c r="G364" s="11" t="s">
        <v>428</v>
      </c>
      <c r="H364" s="12" t="s">
        <v>6</v>
      </c>
      <c r="I364" s="12" t="s">
        <v>65</v>
      </c>
      <c r="K364" s="1" t="s">
        <v>81</v>
      </c>
      <c r="L364" s="20">
        <v>10840</v>
      </c>
      <c r="M364" s="20">
        <v>1290</v>
      </c>
      <c r="N364" s="20">
        <f>Rendiciones[[#This Row],[Monto Neto ]]*19%</f>
        <v>2059.6</v>
      </c>
      <c r="O364" s="6">
        <f>+Rendiciones[[#This Row],[Monto Neto ]]+Rendiciones[[#This Row],[Monto Exento ]]+Rendiciones[[#This Row],[Iva]]</f>
        <v>14189.6</v>
      </c>
      <c r="Q364" s="138"/>
      <c r="R364" s="20"/>
      <c r="S364" s="20">
        <f>Rendiciones[[#This Row],[Total ]]-Rendiciones[[#This Row],[Monto ]]</f>
        <v>14189.6</v>
      </c>
      <c r="U364" s="72"/>
    </row>
    <row r="365" spans="2:21" x14ac:dyDescent="0.3">
      <c r="B365" s="12" t="s">
        <v>519</v>
      </c>
      <c r="C365" s="12">
        <v>12</v>
      </c>
      <c r="D365" s="138">
        <v>46190</v>
      </c>
      <c r="E365" s="12" t="s">
        <v>561</v>
      </c>
      <c r="F365" s="11" t="str">
        <f>IF(Rendiciones[[#This Row],[Fecha ]]&lt;&gt;"",TEXT(Rendiciones[[#This Row],[Fecha ]],"MMMM"),"")</f>
        <v>junio</v>
      </c>
      <c r="G365" s="11" t="s">
        <v>428</v>
      </c>
      <c r="H365" s="12" t="s">
        <v>6</v>
      </c>
      <c r="I365" s="12" t="s">
        <v>429</v>
      </c>
      <c r="K365" s="1" t="s">
        <v>81</v>
      </c>
      <c r="L365" s="20">
        <v>38570</v>
      </c>
      <c r="M365" s="20">
        <v>4590</v>
      </c>
      <c r="N365" s="20">
        <f>Rendiciones[[#This Row],[Monto Neto ]]*19%</f>
        <v>7328.3</v>
      </c>
      <c r="O365" s="6">
        <f>+Rendiciones[[#This Row],[Monto Neto ]]+Rendiciones[[#This Row],[Monto Exento ]]+Rendiciones[[#This Row],[Iva]]</f>
        <v>50488.3</v>
      </c>
      <c r="Q365" s="138"/>
      <c r="R365" s="20"/>
      <c r="S365" s="20">
        <f>Rendiciones[[#This Row],[Total ]]-Rendiciones[[#This Row],[Monto ]]</f>
        <v>50488.3</v>
      </c>
      <c r="U365" s="72"/>
    </row>
    <row r="366" spans="2:21" x14ac:dyDescent="0.3">
      <c r="B366" s="12" t="s">
        <v>519</v>
      </c>
      <c r="C366" s="12">
        <v>12</v>
      </c>
      <c r="D366" s="138">
        <v>46190</v>
      </c>
      <c r="E366" s="12" t="s">
        <v>561</v>
      </c>
      <c r="F366" s="11" t="str">
        <f>IF(Rendiciones[[#This Row],[Fecha ]]&lt;&gt;"",TEXT(Rendiciones[[#This Row],[Fecha ]],"MMMM"),"")</f>
        <v>junio</v>
      </c>
      <c r="G366" s="11" t="s">
        <v>428</v>
      </c>
      <c r="H366" s="12" t="s">
        <v>6</v>
      </c>
      <c r="I366" s="12" t="s">
        <v>28</v>
      </c>
      <c r="K366" s="1" t="s">
        <v>81</v>
      </c>
      <c r="L366" s="20">
        <v>43218</v>
      </c>
      <c r="M366" s="20">
        <v>26261</v>
      </c>
      <c r="N366" s="20">
        <f>Rendiciones[[#This Row],[Monto Neto ]]*19%</f>
        <v>8211.42</v>
      </c>
      <c r="O366" s="6">
        <f>+Rendiciones[[#This Row],[Monto Neto ]]+Rendiciones[[#This Row],[Monto Exento ]]+Rendiciones[[#This Row],[Iva]]</f>
        <v>77690.42</v>
      </c>
      <c r="Q366" s="138"/>
      <c r="R366" s="20"/>
      <c r="S366" s="20">
        <f>Rendiciones[[#This Row],[Total ]]-Rendiciones[[#This Row],[Monto ]]</f>
        <v>77690.42</v>
      </c>
      <c r="U366" s="72"/>
    </row>
    <row r="367" spans="2:21" x14ac:dyDescent="0.3">
      <c r="B367" s="12" t="s">
        <v>519</v>
      </c>
      <c r="C367" s="12">
        <v>12</v>
      </c>
      <c r="D367" s="138">
        <v>46190</v>
      </c>
      <c r="E367" s="12" t="s">
        <v>561</v>
      </c>
      <c r="F367" s="11" t="str">
        <f>IF(Rendiciones[[#This Row],[Fecha ]]&lt;&gt;"",TEXT(Rendiciones[[#This Row],[Fecha ]],"MMMM"),"")</f>
        <v>junio</v>
      </c>
      <c r="G367" s="11" t="s">
        <v>428</v>
      </c>
      <c r="H367" s="12" t="s">
        <v>6</v>
      </c>
      <c r="I367" s="12" t="s">
        <v>60</v>
      </c>
      <c r="K367" s="1" t="s">
        <v>81</v>
      </c>
      <c r="L367" s="20"/>
      <c r="M367" s="20">
        <v>44029</v>
      </c>
      <c r="N367" s="20">
        <f>Rendiciones[[#This Row],[Monto Neto ]]*19%</f>
        <v>0</v>
      </c>
      <c r="O367" s="6">
        <f>+Rendiciones[[#This Row],[Monto Neto ]]+Rendiciones[[#This Row],[Monto Exento ]]+Rendiciones[[#This Row],[Iva]]</f>
        <v>44029</v>
      </c>
      <c r="Q367" s="138"/>
      <c r="R367" s="20"/>
      <c r="S367" s="20">
        <f>Rendiciones[[#This Row],[Total ]]-Rendiciones[[#This Row],[Monto ]]</f>
        <v>44029</v>
      </c>
      <c r="U367" s="72"/>
    </row>
    <row r="368" spans="2:21" x14ac:dyDescent="0.3">
      <c r="B368" s="12" t="s">
        <v>519</v>
      </c>
      <c r="C368" s="12">
        <v>12</v>
      </c>
      <c r="D368" s="138">
        <v>46190</v>
      </c>
      <c r="E368" s="12" t="s">
        <v>561</v>
      </c>
      <c r="F368" s="11" t="str">
        <f>IF(Rendiciones[[#This Row],[Fecha ]]&lt;&gt;"",TEXT(Rendiciones[[#This Row],[Fecha ]],"MMMM"),"")</f>
        <v>junio</v>
      </c>
      <c r="G368" s="11" t="s">
        <v>428</v>
      </c>
      <c r="H368" s="12" t="s">
        <v>6</v>
      </c>
      <c r="I368" s="12" t="s">
        <v>28</v>
      </c>
      <c r="K368" s="1" t="s">
        <v>81</v>
      </c>
      <c r="L368" s="20">
        <v>16819</v>
      </c>
      <c r="M368" s="20">
        <f>7882+2103</f>
        <v>9985</v>
      </c>
      <c r="N368" s="20">
        <f>Rendiciones[[#This Row],[Monto Neto ]]*19%</f>
        <v>3195.61</v>
      </c>
      <c r="O368" s="6">
        <f>+Rendiciones[[#This Row],[Monto Neto ]]+Rendiciones[[#This Row],[Monto Exento ]]+Rendiciones[[#This Row],[Iva]]</f>
        <v>29999.61</v>
      </c>
      <c r="Q368" s="138"/>
      <c r="R368" s="20"/>
      <c r="S368" s="20">
        <f>Rendiciones[[#This Row],[Total ]]-Rendiciones[[#This Row],[Monto ]]</f>
        <v>29999.61</v>
      </c>
      <c r="U368" s="72"/>
    </row>
    <row r="369" spans="2:21" x14ac:dyDescent="0.3">
      <c r="B369" s="12" t="s">
        <v>519</v>
      </c>
      <c r="C369" s="12">
        <v>12</v>
      </c>
      <c r="D369" s="138">
        <v>46190</v>
      </c>
      <c r="E369" s="12" t="s">
        <v>561</v>
      </c>
      <c r="F369" s="11" t="str">
        <f>IF(Rendiciones[[#This Row],[Fecha ]]&lt;&gt;"",TEXT(Rendiciones[[#This Row],[Fecha ]],"MMMM"),"")</f>
        <v>junio</v>
      </c>
      <c r="G369" s="11" t="s">
        <v>428</v>
      </c>
      <c r="H369" s="12" t="s">
        <v>6</v>
      </c>
      <c r="I369" s="12" t="s">
        <v>563</v>
      </c>
      <c r="J369" s="1" t="s">
        <v>564</v>
      </c>
      <c r="K369" s="1" t="s">
        <v>81</v>
      </c>
      <c r="L369" s="20">
        <v>242899</v>
      </c>
      <c r="M369" s="20"/>
      <c r="N369" s="20">
        <f>Rendiciones[[#This Row],[Monto Neto ]]*19%</f>
        <v>46150.81</v>
      </c>
      <c r="O369" s="6">
        <f>+Rendiciones[[#This Row],[Monto Neto ]]+Rendiciones[[#This Row],[Monto Exento ]]+Rendiciones[[#This Row],[Iva]]</f>
        <v>289049.81</v>
      </c>
      <c r="Q369" s="138"/>
      <c r="R369" s="20"/>
      <c r="S369" s="20">
        <f>Rendiciones[[#This Row],[Total ]]-Rendiciones[[#This Row],[Monto ]]</f>
        <v>289049.81</v>
      </c>
      <c r="U369" s="72"/>
    </row>
    <row r="370" spans="2:21" x14ac:dyDescent="0.3">
      <c r="B370" s="12" t="s">
        <v>519</v>
      </c>
      <c r="C370" s="12">
        <v>12</v>
      </c>
      <c r="D370" s="138">
        <v>46190</v>
      </c>
      <c r="E370" s="12" t="s">
        <v>561</v>
      </c>
      <c r="F370" s="11" t="str">
        <f>IF(Rendiciones[[#This Row],[Fecha ]]&lt;&gt;"",TEXT(Rendiciones[[#This Row],[Fecha ]],"MMMM"),"")</f>
        <v>junio</v>
      </c>
      <c r="G370" s="11" t="s">
        <v>428</v>
      </c>
      <c r="H370" s="12" t="s">
        <v>6</v>
      </c>
      <c r="I370" s="12" t="s">
        <v>49</v>
      </c>
      <c r="L370" s="20"/>
      <c r="M370" s="20">
        <v>5690</v>
      </c>
      <c r="N370" s="20">
        <f>Rendiciones[[#This Row],[Monto Neto ]]*19%</f>
        <v>0</v>
      </c>
      <c r="O370" s="6">
        <f>+Rendiciones[[#This Row],[Monto Neto ]]+Rendiciones[[#This Row],[Monto Exento ]]+Rendiciones[[#This Row],[Iva]]</f>
        <v>5690</v>
      </c>
      <c r="Q370" s="138"/>
      <c r="R370" s="20"/>
      <c r="S370" s="20">
        <f>Rendiciones[[#This Row],[Total ]]-Rendiciones[[#This Row],[Monto ]]</f>
        <v>5690</v>
      </c>
      <c r="U370" s="72"/>
    </row>
    <row r="371" spans="2:21" x14ac:dyDescent="0.3">
      <c r="B371" s="12" t="s">
        <v>519</v>
      </c>
      <c r="C371" s="12">
        <v>12</v>
      </c>
      <c r="D371" s="138">
        <v>46190</v>
      </c>
      <c r="E371" s="12" t="s">
        <v>561</v>
      </c>
      <c r="F371" s="11" t="str">
        <f>IF(Rendiciones[[#This Row],[Fecha ]]&lt;&gt;"",TEXT(Rendiciones[[#This Row],[Fecha ]],"MMMM"),"")</f>
        <v>junio</v>
      </c>
      <c r="G371" s="11" t="s">
        <v>428</v>
      </c>
      <c r="H371" s="12" t="s">
        <v>6</v>
      </c>
      <c r="I371" s="12" t="s">
        <v>39</v>
      </c>
      <c r="L371" s="20"/>
      <c r="M371" s="20">
        <f>3500+1400+4600+5810+7000+2950+400+800</f>
        <v>26460</v>
      </c>
      <c r="N371" s="20">
        <f>Rendiciones[[#This Row],[Monto Neto ]]*19%</f>
        <v>0</v>
      </c>
      <c r="O371" s="6">
        <f>+Rendiciones[[#This Row],[Monto Neto ]]+Rendiciones[[#This Row],[Monto Exento ]]+Rendiciones[[#This Row],[Iva]]</f>
        <v>26460</v>
      </c>
      <c r="Q371" s="138"/>
      <c r="R371" s="20"/>
      <c r="S371" s="20">
        <f>Rendiciones[[#This Row],[Total ]]-Rendiciones[[#This Row],[Monto ]]</f>
        <v>26460</v>
      </c>
      <c r="U371" s="72"/>
    </row>
    <row r="372" spans="2:21" x14ac:dyDescent="0.3">
      <c r="B372" s="12" t="s">
        <v>519</v>
      </c>
      <c r="C372" s="12">
        <v>12</v>
      </c>
      <c r="D372" s="138">
        <v>46190</v>
      </c>
      <c r="E372" s="12" t="s">
        <v>561</v>
      </c>
      <c r="F372" s="11" t="str">
        <f>IF(Rendiciones[[#This Row],[Fecha ]]&lt;&gt;"",TEXT(Rendiciones[[#This Row],[Fecha ]],"MMMM"),"")</f>
        <v>junio</v>
      </c>
      <c r="G372" s="11" t="s">
        <v>428</v>
      </c>
      <c r="H372" s="12" t="s">
        <v>6</v>
      </c>
      <c r="I372" s="12" t="s">
        <v>429</v>
      </c>
      <c r="L372" s="20"/>
      <c r="M372" s="20">
        <f>6000+4790+2990</f>
        <v>13780</v>
      </c>
      <c r="N372" s="20">
        <f>Rendiciones[[#This Row],[Monto Neto ]]*19%</f>
        <v>0</v>
      </c>
      <c r="O372" s="6">
        <f>+Rendiciones[[#This Row],[Monto Neto ]]+Rendiciones[[#This Row],[Monto Exento ]]+Rendiciones[[#This Row],[Iva]]</f>
        <v>13780</v>
      </c>
      <c r="Q372" s="138"/>
      <c r="R372" s="20"/>
      <c r="S372" s="20">
        <f>Rendiciones[[#This Row],[Total ]]-Rendiciones[[#This Row],[Monto ]]</f>
        <v>13780</v>
      </c>
      <c r="U372" s="72"/>
    </row>
    <row r="373" spans="2:21" x14ac:dyDescent="0.3">
      <c r="B373" s="12" t="s">
        <v>519</v>
      </c>
      <c r="C373" s="12">
        <v>12</v>
      </c>
      <c r="D373" s="138">
        <v>46190</v>
      </c>
      <c r="E373" s="12" t="s">
        <v>561</v>
      </c>
      <c r="F373" s="11" t="str">
        <f>IF(Rendiciones[[#This Row],[Fecha ]]&lt;&gt;"",TEXT(Rendiciones[[#This Row],[Fecha ]],"MMMM"),"")</f>
        <v>junio</v>
      </c>
      <c r="G373" s="11" t="s">
        <v>428</v>
      </c>
      <c r="H373" s="12" t="s">
        <v>6</v>
      </c>
      <c r="I373" s="12" t="s">
        <v>60</v>
      </c>
      <c r="L373" s="20"/>
      <c r="M373" s="20">
        <v>37100</v>
      </c>
      <c r="N373" s="20">
        <f>Rendiciones[[#This Row],[Monto Neto ]]*19%</f>
        <v>0</v>
      </c>
      <c r="O373" s="6">
        <f>+Rendiciones[[#This Row],[Monto Neto ]]+Rendiciones[[#This Row],[Monto Exento ]]+Rendiciones[[#This Row],[Iva]]</f>
        <v>37100</v>
      </c>
      <c r="P373" t="s">
        <v>477</v>
      </c>
      <c r="Q373" s="138">
        <v>46191</v>
      </c>
      <c r="R373" s="20">
        <v>558052</v>
      </c>
      <c r="S373" s="20">
        <f>Rendiciones[[#This Row],[Total ]]-Rendiciones[[#This Row],[Monto ]]</f>
        <v>-520952</v>
      </c>
      <c r="U373" s="72"/>
    </row>
    <row r="374" spans="2:21" x14ac:dyDescent="0.3">
      <c r="B374" s="12" t="s">
        <v>519</v>
      </c>
      <c r="D374" s="138">
        <v>46191</v>
      </c>
      <c r="F374" s="11" t="str">
        <f>IF(Rendiciones[[#This Row],[Fecha ]]&lt;&gt;"",TEXT(Rendiciones[[#This Row],[Fecha ]],"MMMM"),"")</f>
        <v>junio</v>
      </c>
      <c r="G374" s="11"/>
      <c r="L374" s="20"/>
      <c r="M374" s="20"/>
      <c r="N374" s="20">
        <f>Rendiciones[[#This Row],[Monto Neto ]]*19%</f>
        <v>0</v>
      </c>
      <c r="O374" s="6">
        <f>+Rendiciones[[#This Row],[Monto Neto ]]+Rendiciones[[#This Row],[Monto Exento ]]+Rendiciones[[#This Row],[Iva]]</f>
        <v>0</v>
      </c>
      <c r="P374" t="s">
        <v>477</v>
      </c>
      <c r="Q374" s="138">
        <v>46191</v>
      </c>
      <c r="R374" s="20">
        <v>926000</v>
      </c>
      <c r="S374" s="20">
        <f>Rendiciones[[#This Row],[Total ]]-Rendiciones[[#This Row],[Monto ]]</f>
        <v>-926000</v>
      </c>
      <c r="U374" s="72"/>
    </row>
    <row r="375" spans="2:21" x14ac:dyDescent="0.3">
      <c r="B375" s="12" t="s">
        <v>519</v>
      </c>
      <c r="C375" s="12">
        <v>13</v>
      </c>
      <c r="D375" s="138">
        <v>46203</v>
      </c>
      <c r="E375" s="12" t="s">
        <v>565</v>
      </c>
      <c r="F375" s="11" t="str">
        <f>IF(Rendiciones[[#This Row],[Fecha ]]&lt;&gt;"",TEXT(Rendiciones[[#This Row],[Fecha ]],"MMMM"),"")</f>
        <v>junio</v>
      </c>
      <c r="G375" s="11" t="s">
        <v>428</v>
      </c>
      <c r="H375" s="12" t="s">
        <v>6</v>
      </c>
      <c r="I375" s="12" t="s">
        <v>429</v>
      </c>
      <c r="K375" s="1" t="s">
        <v>81</v>
      </c>
      <c r="L375" s="20">
        <v>57689</v>
      </c>
      <c r="M375" s="20"/>
      <c r="N375" s="20">
        <f>Rendiciones[[#This Row],[Monto Neto ]]*19%</f>
        <v>10960.91</v>
      </c>
      <c r="O375" s="6">
        <f>+Rendiciones[[#This Row],[Monto Neto ]]+Rendiciones[[#This Row],[Monto Exento ]]+Rendiciones[[#This Row],[Iva]]</f>
        <v>68649.91</v>
      </c>
      <c r="Q375" s="138"/>
      <c r="R375" s="20"/>
      <c r="S375" s="20">
        <f>Rendiciones[[#This Row],[Total ]]-Rendiciones[[#This Row],[Monto ]]</f>
        <v>68649.91</v>
      </c>
      <c r="U375" s="72"/>
    </row>
    <row r="376" spans="2:21" x14ac:dyDescent="0.3">
      <c r="B376" s="12" t="s">
        <v>519</v>
      </c>
      <c r="C376" s="12">
        <v>13</v>
      </c>
      <c r="D376" s="138">
        <v>46203</v>
      </c>
      <c r="E376" s="12" t="s">
        <v>565</v>
      </c>
      <c r="F376" s="11" t="str">
        <f>IF(Rendiciones[[#This Row],[Fecha ]]&lt;&gt;"",TEXT(Rendiciones[[#This Row],[Fecha ]],"MMMM"),"")</f>
        <v>junio</v>
      </c>
      <c r="G376" s="11" t="s">
        <v>428</v>
      </c>
      <c r="H376" s="12" t="s">
        <v>6</v>
      </c>
      <c r="I376" s="12" t="s">
        <v>28</v>
      </c>
      <c r="K376" s="1" t="s">
        <v>81</v>
      </c>
      <c r="L376" s="20">
        <v>30162</v>
      </c>
      <c r="M376" s="20">
        <v>14107</v>
      </c>
      <c r="N376" s="20">
        <f>Rendiciones[[#This Row],[Monto Neto ]]*19%</f>
        <v>5730.78</v>
      </c>
      <c r="O376" s="6">
        <f>+Rendiciones[[#This Row],[Monto Neto ]]+Rendiciones[[#This Row],[Monto Exento ]]+Rendiciones[[#This Row],[Iva]]</f>
        <v>49999.78</v>
      </c>
      <c r="Q376" s="138"/>
      <c r="R376" s="20"/>
      <c r="S376" s="20">
        <f>Rendiciones[[#This Row],[Total ]]-Rendiciones[[#This Row],[Monto ]]</f>
        <v>49999.78</v>
      </c>
      <c r="U376" s="72"/>
    </row>
    <row r="377" spans="2:21" x14ac:dyDescent="0.3">
      <c r="B377" s="12" t="s">
        <v>519</v>
      </c>
      <c r="C377" s="12">
        <v>13</v>
      </c>
      <c r="D377" s="138">
        <v>46203</v>
      </c>
      <c r="E377" s="12" t="s">
        <v>565</v>
      </c>
      <c r="F377" s="11" t="str">
        <f>IF(Rendiciones[[#This Row],[Fecha ]]&lt;&gt;"",TEXT(Rendiciones[[#This Row],[Fecha ]],"MMMM"),"")</f>
        <v>junio</v>
      </c>
      <c r="G377" s="11" t="s">
        <v>428</v>
      </c>
      <c r="H377" s="12" t="s">
        <v>6</v>
      </c>
      <c r="I377" s="12" t="s">
        <v>60</v>
      </c>
      <c r="K377" s="1" t="s">
        <v>81</v>
      </c>
      <c r="L377" s="20"/>
      <c r="M377" s="20">
        <v>163463</v>
      </c>
      <c r="N377" s="20">
        <f>Rendiciones[[#This Row],[Monto Neto ]]*19%</f>
        <v>0</v>
      </c>
      <c r="O377" s="6">
        <f>+Rendiciones[[#This Row],[Monto Neto ]]+Rendiciones[[#This Row],[Monto Exento ]]+Rendiciones[[#This Row],[Iva]]</f>
        <v>163463</v>
      </c>
      <c r="Q377" s="138"/>
      <c r="R377" s="20"/>
      <c r="S377" s="20">
        <f>Rendiciones[[#This Row],[Total ]]-Rendiciones[[#This Row],[Monto ]]</f>
        <v>163463</v>
      </c>
      <c r="U377" s="72"/>
    </row>
    <row r="378" spans="2:21" x14ac:dyDescent="0.3">
      <c r="B378" s="12" t="s">
        <v>519</v>
      </c>
      <c r="C378" s="12">
        <v>13</v>
      </c>
      <c r="D378" s="138">
        <v>46203</v>
      </c>
      <c r="E378" s="12" t="s">
        <v>565</v>
      </c>
      <c r="F378" s="11" t="str">
        <f>IF(Rendiciones[[#This Row],[Fecha ]]&lt;&gt;"",TEXT(Rendiciones[[#This Row],[Fecha ]],"MMMM"),"")</f>
        <v>junio</v>
      </c>
      <c r="G378" s="11" t="s">
        <v>428</v>
      </c>
      <c r="H378" s="12" t="s">
        <v>6</v>
      </c>
      <c r="I378" s="12" t="s">
        <v>60</v>
      </c>
      <c r="K378" s="1" t="s">
        <v>81</v>
      </c>
      <c r="L378" s="20"/>
      <c r="M378" s="20">
        <v>167484</v>
      </c>
      <c r="N378" s="20">
        <f>Rendiciones[[#This Row],[Monto Neto ]]*19%</f>
        <v>0</v>
      </c>
      <c r="O378" s="6">
        <f>+Rendiciones[[#This Row],[Monto Neto ]]+Rendiciones[[#This Row],[Monto Exento ]]+Rendiciones[[#This Row],[Iva]]</f>
        <v>167484</v>
      </c>
      <c r="Q378" s="138"/>
      <c r="R378" s="20"/>
      <c r="S378" s="20">
        <f>Rendiciones[[#This Row],[Total ]]-Rendiciones[[#This Row],[Monto ]]</f>
        <v>167484</v>
      </c>
      <c r="U378" s="72"/>
    </row>
    <row r="379" spans="2:21" x14ac:dyDescent="0.3">
      <c r="B379" s="12" t="s">
        <v>519</v>
      </c>
      <c r="C379" s="12">
        <v>13</v>
      </c>
      <c r="D379" s="138">
        <v>46203</v>
      </c>
      <c r="E379" s="12" t="s">
        <v>565</v>
      </c>
      <c r="F379" s="11" t="str">
        <f>IF(Rendiciones[[#This Row],[Fecha ]]&lt;&gt;"",TEXT(Rendiciones[[#This Row],[Fecha ]],"MMMM"),"")</f>
        <v>junio</v>
      </c>
      <c r="G379" s="11" t="s">
        <v>428</v>
      </c>
      <c r="H379" s="12" t="s">
        <v>10</v>
      </c>
      <c r="I379" s="12" t="s">
        <v>37</v>
      </c>
      <c r="K379" s="1" t="s">
        <v>81</v>
      </c>
      <c r="L379" s="20">
        <v>25917</v>
      </c>
      <c r="M379" s="20"/>
      <c r="N379" s="20">
        <f>Rendiciones[[#This Row],[Monto Neto ]]*19%</f>
        <v>4924.2300000000005</v>
      </c>
      <c r="O379" s="6">
        <f>+Rendiciones[[#This Row],[Monto Neto ]]+Rendiciones[[#This Row],[Monto Exento ]]+Rendiciones[[#This Row],[Iva]]</f>
        <v>30841.23</v>
      </c>
      <c r="Q379" s="138"/>
      <c r="R379" s="20"/>
      <c r="S379" s="20">
        <f>Rendiciones[[#This Row],[Total ]]-Rendiciones[[#This Row],[Monto ]]</f>
        <v>30841.23</v>
      </c>
      <c r="U379" s="72"/>
    </row>
    <row r="380" spans="2:21" x14ac:dyDescent="0.3">
      <c r="B380" s="12" t="s">
        <v>519</v>
      </c>
      <c r="C380" s="12">
        <v>13</v>
      </c>
      <c r="D380" s="138">
        <v>46204</v>
      </c>
      <c r="E380" s="12" t="s">
        <v>565</v>
      </c>
      <c r="F380" s="11" t="str">
        <f>IF(Rendiciones[[#This Row],[Fecha ]]&lt;&gt;"",TEXT(Rendiciones[[#This Row],[Fecha ]],"MMMM"),"")</f>
        <v>julio</v>
      </c>
      <c r="G380" s="11" t="s">
        <v>428</v>
      </c>
      <c r="H380" s="12" t="s">
        <v>6</v>
      </c>
      <c r="I380" s="12" t="s">
        <v>28</v>
      </c>
      <c r="K380" s="1" t="s">
        <v>81</v>
      </c>
      <c r="L380" s="20">
        <v>22666</v>
      </c>
      <c r="M380" s="20">
        <v>13027</v>
      </c>
      <c r="N380" s="20">
        <f>Rendiciones[[#This Row],[Monto Neto ]]*19%</f>
        <v>4306.54</v>
      </c>
      <c r="O380" s="6">
        <f>+Rendiciones[[#This Row],[Monto Neto ]]+Rendiciones[[#This Row],[Monto Exento ]]+Rendiciones[[#This Row],[Iva]]</f>
        <v>39999.54</v>
      </c>
      <c r="Q380" s="138"/>
      <c r="R380" s="20"/>
      <c r="S380" s="20">
        <f>Rendiciones[[#This Row],[Total ]]-Rendiciones[[#This Row],[Monto ]]</f>
        <v>39999.54</v>
      </c>
      <c r="U380" s="72"/>
    </row>
    <row r="381" spans="2:21" x14ac:dyDescent="0.3">
      <c r="B381" s="12" t="s">
        <v>519</v>
      </c>
      <c r="C381" s="12">
        <v>13</v>
      </c>
      <c r="D381" s="138">
        <v>46203</v>
      </c>
      <c r="E381" s="12" t="s">
        <v>565</v>
      </c>
      <c r="F381" s="11" t="str">
        <f>IF(Rendiciones[[#This Row],[Fecha ]]&lt;&gt;"",TEXT(Rendiciones[[#This Row],[Fecha ]],"MMMM"),"")</f>
        <v>junio</v>
      </c>
      <c r="G381" s="11" t="s">
        <v>428</v>
      </c>
      <c r="H381" s="12" t="s">
        <v>6</v>
      </c>
      <c r="I381" s="12" t="s">
        <v>39</v>
      </c>
      <c r="L381" s="20"/>
      <c r="M381" s="20">
        <f>2380+6900+3050+2100+3520+5200</f>
        <v>23150</v>
      </c>
      <c r="N381" s="20">
        <f>Rendiciones[[#This Row],[Monto Neto ]]*19%</f>
        <v>0</v>
      </c>
      <c r="O381" s="6">
        <f>+Rendiciones[[#This Row],[Monto Neto ]]+Rendiciones[[#This Row],[Monto Exento ]]+Rendiciones[[#This Row],[Iva]]</f>
        <v>23150</v>
      </c>
      <c r="Q381" s="138"/>
      <c r="R381" s="20"/>
      <c r="S381" s="20">
        <f>Rendiciones[[#This Row],[Total ]]-Rendiciones[[#This Row],[Monto ]]</f>
        <v>23150</v>
      </c>
      <c r="U381" s="72"/>
    </row>
    <row r="382" spans="2:21" x14ac:dyDescent="0.3">
      <c r="B382" s="12" t="s">
        <v>519</v>
      </c>
      <c r="C382" s="12">
        <v>13</v>
      </c>
      <c r="D382" s="138">
        <v>46203</v>
      </c>
      <c r="E382" s="12" t="s">
        <v>565</v>
      </c>
      <c r="F382" s="11" t="str">
        <f>IF(Rendiciones[[#This Row],[Fecha ]]&lt;&gt;"",TEXT(Rendiciones[[#This Row],[Fecha ]],"MMMM"),"")</f>
        <v>junio</v>
      </c>
      <c r="G382" s="11" t="s">
        <v>428</v>
      </c>
      <c r="H382" s="12" t="s">
        <v>6</v>
      </c>
      <c r="I382" s="12" t="s">
        <v>429</v>
      </c>
      <c r="L382" s="20"/>
      <c r="M382" s="20">
        <f>56705+3500+22554+20870+4480+8470+3800+13200+19690</f>
        <v>153269</v>
      </c>
      <c r="N382" s="20">
        <f>Rendiciones[[#This Row],[Monto Neto ]]*19%</f>
        <v>0</v>
      </c>
      <c r="O382" s="6">
        <f>+Rendiciones[[#This Row],[Monto Neto ]]+Rendiciones[[#This Row],[Monto Exento ]]+Rendiciones[[#This Row],[Iva]]</f>
        <v>153269</v>
      </c>
      <c r="Q382" s="138"/>
      <c r="R382" s="20"/>
      <c r="S382" s="20">
        <f>Rendiciones[[#This Row],[Total ]]-Rendiciones[[#This Row],[Monto ]]</f>
        <v>153269</v>
      </c>
      <c r="U382" s="72"/>
    </row>
    <row r="383" spans="2:21" x14ac:dyDescent="0.3">
      <c r="B383" s="12" t="s">
        <v>519</v>
      </c>
      <c r="C383" s="12">
        <v>13</v>
      </c>
      <c r="D383" s="138">
        <v>46203</v>
      </c>
      <c r="E383" s="12" t="s">
        <v>565</v>
      </c>
      <c r="F383" s="11" t="str">
        <f>IF(Rendiciones[[#This Row],[Fecha ]]&lt;&gt;"",TEXT(Rendiciones[[#This Row],[Fecha ]],"MMMM"),"")</f>
        <v>junio</v>
      </c>
      <c r="G383" s="11" t="s">
        <v>428</v>
      </c>
      <c r="H383" s="12" t="s">
        <v>6</v>
      </c>
      <c r="I383" s="12" t="s">
        <v>40</v>
      </c>
      <c r="L383" s="20"/>
      <c r="M383" s="20">
        <f>117200+112053</f>
        <v>229253</v>
      </c>
      <c r="N383" s="20">
        <f>Rendiciones[[#This Row],[Monto Neto ]]*19%</f>
        <v>0</v>
      </c>
      <c r="O383" s="6">
        <f>+Rendiciones[[#This Row],[Monto Neto ]]+Rendiciones[[#This Row],[Monto Exento ]]+Rendiciones[[#This Row],[Iva]]</f>
        <v>229253</v>
      </c>
      <c r="Q383" s="138"/>
      <c r="R383" s="20"/>
      <c r="S383" s="20">
        <f>Rendiciones[[#This Row],[Total ]]-Rendiciones[[#This Row],[Monto ]]</f>
        <v>229253</v>
      </c>
      <c r="U383" s="72"/>
    </row>
    <row r="384" spans="2:21" x14ac:dyDescent="0.3">
      <c r="B384" s="12" t="s">
        <v>519</v>
      </c>
      <c r="C384" s="12">
        <v>13</v>
      </c>
      <c r="D384" s="138">
        <v>46203</v>
      </c>
      <c r="E384" s="12" t="s">
        <v>565</v>
      </c>
      <c r="F384" s="11" t="str">
        <f>IF(Rendiciones[[#This Row],[Fecha ]]&lt;&gt;"",TEXT(Rendiciones[[#This Row],[Fecha ]],"MMMM"),"")</f>
        <v>junio</v>
      </c>
      <c r="G384" s="11" t="s">
        <v>428</v>
      </c>
      <c r="H384" s="12" t="s">
        <v>6</v>
      </c>
      <c r="I384" s="12" t="s">
        <v>31</v>
      </c>
      <c r="L384" s="20"/>
      <c r="M384" s="20">
        <v>10500</v>
      </c>
      <c r="N384" s="20">
        <f>Rendiciones[[#This Row],[Monto Neto ]]*19%</f>
        <v>0</v>
      </c>
      <c r="O384" s="6">
        <f>+Rendiciones[[#This Row],[Monto Neto ]]+Rendiciones[[#This Row],[Monto Exento ]]+Rendiciones[[#This Row],[Iva]]</f>
        <v>10500</v>
      </c>
      <c r="Q384" s="138"/>
      <c r="R384" s="20"/>
      <c r="S384" s="20">
        <f>Rendiciones[[#This Row],[Total ]]-Rendiciones[[#This Row],[Monto ]]</f>
        <v>10500</v>
      </c>
      <c r="U384" s="72"/>
    </row>
    <row r="385" spans="2:21" x14ac:dyDescent="0.3">
      <c r="B385" s="12" t="s">
        <v>566</v>
      </c>
      <c r="C385" s="12">
        <v>1</v>
      </c>
      <c r="D385" s="138">
        <v>46192</v>
      </c>
      <c r="E385" s="12" t="s">
        <v>561</v>
      </c>
      <c r="F385" s="11" t="str">
        <f>IF(Rendiciones[[#This Row],[Fecha ]]&lt;&gt;"",TEXT(Rendiciones[[#This Row],[Fecha ]],"MMMM"),"")</f>
        <v>junio</v>
      </c>
      <c r="G385" s="11" t="s">
        <v>428</v>
      </c>
      <c r="H385" s="12" t="s">
        <v>6</v>
      </c>
      <c r="I385" s="12" t="s">
        <v>31</v>
      </c>
      <c r="L385" s="20"/>
      <c r="M385" s="20">
        <f>3595+2716+4495</f>
        <v>10806</v>
      </c>
      <c r="N385" s="20">
        <f>Rendiciones[[#This Row],[Monto Neto ]]*19%</f>
        <v>0</v>
      </c>
      <c r="O385" s="6">
        <f>+Rendiciones[[#This Row],[Monto Neto ]]+Rendiciones[[#This Row],[Monto Exento ]]+Rendiciones[[#This Row],[Iva]]</f>
        <v>10806</v>
      </c>
      <c r="Q385" s="138"/>
      <c r="R385" s="20"/>
      <c r="S385" s="20">
        <f>Rendiciones[[#This Row],[Total ]]-Rendiciones[[#This Row],[Monto ]]</f>
        <v>10806</v>
      </c>
      <c r="U385" s="72"/>
    </row>
    <row r="386" spans="2:21" x14ac:dyDescent="0.3">
      <c r="B386" s="12" t="s">
        <v>566</v>
      </c>
      <c r="C386" s="12">
        <v>2</v>
      </c>
      <c r="D386" s="138">
        <v>46198</v>
      </c>
      <c r="E386" s="12" t="s">
        <v>567</v>
      </c>
      <c r="F386" s="11" t="str">
        <f>IF(Rendiciones[[#This Row],[Fecha ]]&lt;&gt;"",TEXT(Rendiciones[[#This Row],[Fecha ]],"MMMM"),"")</f>
        <v>junio</v>
      </c>
      <c r="G386" s="11" t="s">
        <v>428</v>
      </c>
      <c r="H386" s="12" t="s">
        <v>6</v>
      </c>
      <c r="I386" s="12" t="s">
        <v>28</v>
      </c>
      <c r="L386" s="20"/>
      <c r="M386" s="20">
        <v>40000</v>
      </c>
      <c r="N386" s="20">
        <f>Rendiciones[[#This Row],[Monto Neto ]]*19%</f>
        <v>0</v>
      </c>
      <c r="O386" s="6">
        <f>+Rendiciones[[#This Row],[Monto Neto ]]+Rendiciones[[#This Row],[Monto Exento ]]+Rendiciones[[#This Row],[Iva]]</f>
        <v>40000</v>
      </c>
      <c r="Q386" s="138"/>
      <c r="R386" s="20"/>
      <c r="S386" s="20">
        <f>Rendiciones[[#This Row],[Total ]]-Rendiciones[[#This Row],[Monto ]]</f>
        <v>40000</v>
      </c>
      <c r="U386" s="72"/>
    </row>
    <row r="387" spans="2:21" ht="14.5" customHeight="1" x14ac:dyDescent="0.3">
      <c r="B387" s="12" t="s">
        <v>566</v>
      </c>
      <c r="C387" s="12">
        <v>2</v>
      </c>
      <c r="D387" s="138">
        <v>46198</v>
      </c>
      <c r="E387" s="12" t="s">
        <v>567</v>
      </c>
      <c r="F387" s="11" t="str">
        <f>IF(Rendiciones[[#This Row],[Fecha ]]&lt;&gt;"",TEXT(Rendiciones[[#This Row],[Fecha ]],"MMMM"),"")</f>
        <v>junio</v>
      </c>
      <c r="G387" s="11" t="s">
        <v>428</v>
      </c>
      <c r="H387" s="12" t="s">
        <v>6</v>
      </c>
      <c r="I387" s="12" t="s">
        <v>60</v>
      </c>
      <c r="L387" s="20"/>
      <c r="M387" s="20">
        <v>4500</v>
      </c>
      <c r="N387" s="20">
        <f>Rendiciones[[#This Row],[Monto Neto ]]*19%</f>
        <v>0</v>
      </c>
      <c r="O387" s="6">
        <f>+Rendiciones[[#This Row],[Monto Neto ]]+Rendiciones[[#This Row],[Monto Exento ]]+Rendiciones[[#This Row],[Iva]]</f>
        <v>4500</v>
      </c>
      <c r="Q387" s="138"/>
      <c r="R387" s="20"/>
      <c r="S387" s="20">
        <f>Rendiciones[[#This Row],[Total ]]-Rendiciones[[#This Row],[Monto ]]</f>
        <v>4500</v>
      </c>
      <c r="U387" s="72"/>
    </row>
    <row r="388" spans="2:21" ht="14.5" customHeight="1" x14ac:dyDescent="0.3">
      <c r="B388" s="12" t="s">
        <v>566</v>
      </c>
      <c r="C388" s="12">
        <v>3</v>
      </c>
      <c r="D388" s="138">
        <v>46203</v>
      </c>
      <c r="E388" s="12" t="s">
        <v>565</v>
      </c>
      <c r="F388" s="11" t="str">
        <f>IF(Rendiciones[[#This Row],[Fecha ]]&lt;&gt;"",TEXT(Rendiciones[[#This Row],[Fecha ]],"MMMM"),"")</f>
        <v>junio</v>
      </c>
      <c r="G388" s="11" t="s">
        <v>428</v>
      </c>
      <c r="H388" s="12" t="s">
        <v>6</v>
      </c>
      <c r="I388" s="12" t="s">
        <v>31</v>
      </c>
      <c r="L388" s="20"/>
      <c r="M388" s="20">
        <v>21626</v>
      </c>
      <c r="N388" s="20">
        <f>Rendiciones[[#This Row],[Monto Neto ]]*19%</f>
        <v>0</v>
      </c>
      <c r="O388" s="6">
        <f>+Rendiciones[[#This Row],[Monto Neto ]]+Rendiciones[[#This Row],[Monto Exento ]]+Rendiciones[[#This Row],[Iva]]</f>
        <v>21626</v>
      </c>
      <c r="Q388" s="138"/>
      <c r="R388" s="20"/>
      <c r="S388" s="20">
        <f>Rendiciones[[#This Row],[Total ]]-Rendiciones[[#This Row],[Monto ]]</f>
        <v>21626</v>
      </c>
      <c r="U388" s="72"/>
    </row>
    <row r="389" spans="2:21" ht="14.5" customHeight="1" x14ac:dyDescent="0.3">
      <c r="B389" s="12" t="s">
        <v>566</v>
      </c>
      <c r="C389" s="12">
        <v>3</v>
      </c>
      <c r="D389" s="138">
        <v>46203</v>
      </c>
      <c r="E389" s="12" t="s">
        <v>565</v>
      </c>
      <c r="F389" s="11" t="str">
        <f>IF(Rendiciones[[#This Row],[Fecha ]]&lt;&gt;"",TEXT(Rendiciones[[#This Row],[Fecha ]],"MMMM"),"")</f>
        <v>junio</v>
      </c>
      <c r="G389" s="11" t="s">
        <v>428</v>
      </c>
      <c r="H389" s="12" t="s">
        <v>6</v>
      </c>
      <c r="I389" s="12" t="s">
        <v>429</v>
      </c>
      <c r="L389" s="20"/>
      <c r="M389" s="20">
        <v>19100</v>
      </c>
      <c r="N389" s="20">
        <f>Rendiciones[[#This Row],[Monto Neto ]]*19%</f>
        <v>0</v>
      </c>
      <c r="O389" s="6">
        <f>+Rendiciones[[#This Row],[Monto Neto ]]+Rendiciones[[#This Row],[Monto Exento ]]+Rendiciones[[#This Row],[Iva]]</f>
        <v>19100</v>
      </c>
      <c r="Q389" s="138"/>
      <c r="R389" s="20"/>
      <c r="S389" s="20">
        <f>Rendiciones[[#This Row],[Total ]]-Rendiciones[[#This Row],[Monto ]]</f>
        <v>19100</v>
      </c>
      <c r="U389" s="72"/>
    </row>
    <row r="390" spans="2:21" x14ac:dyDescent="0.3">
      <c r="B390" s="12" t="s">
        <v>20</v>
      </c>
      <c r="C390" s="12">
        <v>14</v>
      </c>
      <c r="D390" s="138">
        <v>46195</v>
      </c>
      <c r="E390" s="12" t="s">
        <v>567</v>
      </c>
      <c r="F390" s="11" t="str">
        <f>IF(Rendiciones[[#This Row],[Fecha ]]&lt;&gt;"",TEXT(Rendiciones[[#This Row],[Fecha ]],"MMMM"),"")</f>
        <v>junio</v>
      </c>
      <c r="G390" s="11" t="s">
        <v>428</v>
      </c>
      <c r="H390" s="12" t="s">
        <v>6</v>
      </c>
      <c r="I390" s="12" t="s">
        <v>59</v>
      </c>
      <c r="L390" s="20"/>
      <c r="M390" s="20">
        <v>8271</v>
      </c>
      <c r="N390" s="20">
        <f>Rendiciones[[#This Row],[Monto Neto ]]*19%</f>
        <v>0</v>
      </c>
      <c r="O390" s="6">
        <f>+Rendiciones[[#This Row],[Monto Neto ]]+Rendiciones[[#This Row],[Monto Exento ]]+Rendiciones[[#This Row],[Iva]]</f>
        <v>8271</v>
      </c>
      <c r="Q390" s="138"/>
      <c r="R390" s="20"/>
      <c r="S390" s="20">
        <f>Rendiciones[[#This Row],[Total ]]-Rendiciones[[#This Row],[Monto ]]</f>
        <v>8271</v>
      </c>
      <c r="U390" s="72"/>
    </row>
    <row r="391" spans="2:21" x14ac:dyDescent="0.3">
      <c r="B391" s="12" t="s">
        <v>20</v>
      </c>
      <c r="C391" s="12">
        <v>15</v>
      </c>
      <c r="D391" s="138">
        <v>46197</v>
      </c>
      <c r="E391" s="12" t="s">
        <v>567</v>
      </c>
      <c r="F391" s="11" t="str">
        <f>IF(Rendiciones[[#This Row],[Fecha ]]&lt;&gt;"",TEXT(Rendiciones[[#This Row],[Fecha ]],"MMMM"),"")</f>
        <v>junio</v>
      </c>
      <c r="G391" s="11" t="s">
        <v>428</v>
      </c>
      <c r="H391" s="12" t="s">
        <v>9</v>
      </c>
      <c r="I391" s="12" t="s">
        <v>52</v>
      </c>
      <c r="K391" s="1" t="s">
        <v>512</v>
      </c>
      <c r="L391" s="20"/>
      <c r="M391" s="20">
        <v>4600</v>
      </c>
      <c r="N391" s="20">
        <f>Rendiciones[[#This Row],[Monto Neto ]]*19%</f>
        <v>0</v>
      </c>
      <c r="O391" s="6">
        <f>+Rendiciones[[#This Row],[Monto Neto ]]+Rendiciones[[#This Row],[Monto Exento ]]+Rendiciones[[#This Row],[Iva]]</f>
        <v>4600</v>
      </c>
      <c r="Q391" s="138"/>
      <c r="R391" s="20"/>
      <c r="S391" s="20">
        <f>Rendiciones[[#This Row],[Total ]]-Rendiciones[[#This Row],[Monto ]]</f>
        <v>4600</v>
      </c>
      <c r="U391" s="72"/>
    </row>
    <row r="392" spans="2:21" ht="14.5" customHeight="1" x14ac:dyDescent="0.3">
      <c r="B392" s="12" t="s">
        <v>20</v>
      </c>
      <c r="C392" s="12">
        <v>15</v>
      </c>
      <c r="D392" s="138">
        <v>46197</v>
      </c>
      <c r="E392" s="12" t="s">
        <v>567</v>
      </c>
      <c r="F392" s="11" t="str">
        <f>IF(Rendiciones[[#This Row],[Fecha ]]&lt;&gt;"",TEXT(Rendiciones[[#This Row],[Fecha ]],"MMMM"),"")</f>
        <v>junio</v>
      </c>
      <c r="G392" s="11" t="s">
        <v>428</v>
      </c>
      <c r="H392" s="12" t="s">
        <v>9</v>
      </c>
      <c r="I392" s="12" t="s">
        <v>52</v>
      </c>
      <c r="K392" s="1" t="s">
        <v>512</v>
      </c>
      <c r="L392" s="20"/>
      <c r="M392" s="20">
        <v>4600</v>
      </c>
      <c r="N392" s="20">
        <f>Rendiciones[[#This Row],[Monto Neto ]]*19%</f>
        <v>0</v>
      </c>
      <c r="O392" s="6">
        <f>+Rendiciones[[#This Row],[Monto Neto ]]+Rendiciones[[#This Row],[Monto Exento ]]+Rendiciones[[#This Row],[Iva]]</f>
        <v>4600</v>
      </c>
      <c r="Q392" s="138"/>
      <c r="R392" s="20"/>
      <c r="S392" s="20">
        <f>Rendiciones[[#This Row],[Total ]]-Rendiciones[[#This Row],[Monto ]]</f>
        <v>4600</v>
      </c>
      <c r="U392" s="72"/>
    </row>
    <row r="393" spans="2:21" ht="14.5" customHeight="1" x14ac:dyDescent="0.3">
      <c r="B393" s="12" t="s">
        <v>20</v>
      </c>
      <c r="C393" s="12">
        <v>16</v>
      </c>
      <c r="D393" s="138">
        <v>46197</v>
      </c>
      <c r="E393" s="12" t="s">
        <v>567</v>
      </c>
      <c r="F393" s="11" t="str">
        <f>IF(Rendiciones[[#This Row],[Fecha ]]&lt;&gt;"",TEXT(Rendiciones[[#This Row],[Fecha ]],"MMMM"),"")</f>
        <v>junio</v>
      </c>
      <c r="G393" s="11" t="s">
        <v>105</v>
      </c>
      <c r="H393" s="12" t="s">
        <v>9</v>
      </c>
      <c r="I393" s="12" t="s">
        <v>52</v>
      </c>
      <c r="L393" s="20"/>
      <c r="M393" s="20">
        <v>8000</v>
      </c>
      <c r="N393" s="20">
        <f>Rendiciones[[#This Row],[Monto Neto ]]*19%</f>
        <v>0</v>
      </c>
      <c r="O393" s="6">
        <f>+Rendiciones[[#This Row],[Monto Neto ]]+Rendiciones[[#This Row],[Monto Exento ]]+Rendiciones[[#This Row],[Iva]]</f>
        <v>8000</v>
      </c>
      <c r="Q393" s="138"/>
      <c r="R393" s="20"/>
      <c r="S393" s="20">
        <f>Rendiciones[[#This Row],[Total ]]-Rendiciones[[#This Row],[Monto ]]</f>
        <v>8000</v>
      </c>
      <c r="U393" s="72"/>
    </row>
    <row r="394" spans="2:21" ht="14.5" customHeight="1" x14ac:dyDescent="0.3">
      <c r="B394" s="12" t="s">
        <v>20</v>
      </c>
      <c r="C394" s="12">
        <v>17</v>
      </c>
      <c r="D394" s="138">
        <v>46197</v>
      </c>
      <c r="E394" s="12" t="s">
        <v>567</v>
      </c>
      <c r="F394" s="11" t="str">
        <f>IF(Rendiciones[[#This Row],[Fecha ]]&lt;&gt;"",TEXT(Rendiciones[[#This Row],[Fecha ]],"MMMM"),"")</f>
        <v>junio</v>
      </c>
      <c r="G394" s="11" t="s">
        <v>105</v>
      </c>
      <c r="H394" s="12" t="s">
        <v>9</v>
      </c>
      <c r="I394" s="12" t="s">
        <v>52</v>
      </c>
      <c r="L394" s="20"/>
      <c r="M394" s="20">
        <v>22400</v>
      </c>
      <c r="N394" s="20">
        <f>Rendiciones[[#This Row],[Monto Neto ]]*19%</f>
        <v>0</v>
      </c>
      <c r="O394" s="6">
        <f>+Rendiciones[[#This Row],[Monto Neto ]]+Rendiciones[[#This Row],[Monto Exento ]]+Rendiciones[[#This Row],[Iva]]</f>
        <v>22400</v>
      </c>
      <c r="P394" t="s">
        <v>477</v>
      </c>
      <c r="Q394" s="138">
        <v>46203</v>
      </c>
      <c r="R394" s="20">
        <v>47871</v>
      </c>
      <c r="S394" s="20">
        <f>Rendiciones[[#This Row],[Total ]]-Rendiciones[[#This Row],[Monto ]]</f>
        <v>-25471</v>
      </c>
      <c r="U394" s="72"/>
    </row>
    <row r="395" spans="2:21" x14ac:dyDescent="0.3">
      <c r="B395" s="12" t="s">
        <v>435</v>
      </c>
      <c r="C395" s="12">
        <v>10</v>
      </c>
      <c r="D395" s="138">
        <v>46198</v>
      </c>
      <c r="E395" s="12" t="s">
        <v>567</v>
      </c>
      <c r="F395" s="11" t="str">
        <f>IF(Rendiciones[[#This Row],[Fecha ]]&lt;&gt;"",TEXT(Rendiciones[[#This Row],[Fecha ]],"MMMM"),"")</f>
        <v>junio</v>
      </c>
      <c r="G395" s="11" t="s">
        <v>428</v>
      </c>
      <c r="H395" s="12" t="s">
        <v>5</v>
      </c>
      <c r="I395" s="12" t="s">
        <v>52</v>
      </c>
      <c r="L395" s="20"/>
      <c r="M395" s="20">
        <v>25075</v>
      </c>
      <c r="N395" s="20">
        <f>Rendiciones[[#This Row],[Monto Neto ]]*19%</f>
        <v>0</v>
      </c>
      <c r="O395" s="6">
        <f>+Rendiciones[[#This Row],[Monto Neto ]]+Rendiciones[[#This Row],[Monto Exento ]]+Rendiciones[[#This Row],[Iva]]</f>
        <v>25075</v>
      </c>
      <c r="Q395" s="138"/>
      <c r="R395" s="20">
        <v>25075</v>
      </c>
      <c r="S395" s="20">
        <f>Rendiciones[[#This Row],[Total ]]-Rendiciones[[#This Row],[Monto ]]</f>
        <v>0</v>
      </c>
      <c r="U395" s="72"/>
    </row>
    <row r="396" spans="2:21" x14ac:dyDescent="0.3">
      <c r="B396" s="12" t="s">
        <v>435</v>
      </c>
      <c r="D396" s="138">
        <v>46204</v>
      </c>
      <c r="F396" s="11" t="str">
        <f>IF(Rendiciones[[#This Row],[Fecha ]]&lt;&gt;"",TEXT(Rendiciones[[#This Row],[Fecha ]],"MMMM"),"")</f>
        <v>julio</v>
      </c>
      <c r="G396" s="11"/>
      <c r="L396" s="20"/>
      <c r="M396" s="20"/>
      <c r="N396" s="20">
        <f>Rendiciones[[#This Row],[Monto Neto ]]*19%</f>
        <v>0</v>
      </c>
      <c r="O396" s="6">
        <f>+Rendiciones[[#This Row],[Monto Neto ]]+Rendiciones[[#This Row],[Monto Exento ]]+Rendiciones[[#This Row],[Iva]]</f>
        <v>0</v>
      </c>
      <c r="P396" t="s">
        <v>89</v>
      </c>
      <c r="Q396" s="138">
        <v>46204</v>
      </c>
      <c r="R396" s="20">
        <v>70000</v>
      </c>
      <c r="S396" s="20">
        <f>Rendiciones[[#This Row],[Total ]]-Rendiciones[[#This Row],[Monto ]]</f>
        <v>-70000</v>
      </c>
      <c r="U396" s="72"/>
    </row>
    <row r="397" spans="2:21" x14ac:dyDescent="0.3">
      <c r="B397" s="12" t="s">
        <v>435</v>
      </c>
      <c r="C397" s="12">
        <v>11</v>
      </c>
      <c r="D397" s="138">
        <v>46204</v>
      </c>
      <c r="E397" s="12" t="s">
        <v>565</v>
      </c>
      <c r="F397" s="11" t="str">
        <f>IF(Rendiciones[[#This Row],[Fecha ]]&lt;&gt;"",TEXT(Rendiciones[[#This Row],[Fecha ]],"MMMM"),"")</f>
        <v>julio</v>
      </c>
      <c r="G397" s="11" t="s">
        <v>428</v>
      </c>
      <c r="H397" s="12" t="s">
        <v>6</v>
      </c>
      <c r="I397" s="12" t="s">
        <v>28</v>
      </c>
      <c r="K397" s="1" t="s">
        <v>81</v>
      </c>
      <c r="L397" s="20">
        <v>45606</v>
      </c>
      <c r="M397" s="20">
        <f>5129+5458+300</f>
        <v>10887</v>
      </c>
      <c r="N397" s="20">
        <f>Rendiciones[[#This Row],[Monto Neto ]]*19%</f>
        <v>8665.14</v>
      </c>
      <c r="O397" s="6">
        <f>+Rendiciones[[#This Row],[Monto Neto ]]+Rendiciones[[#This Row],[Monto Exento ]]+Rendiciones[[#This Row],[Iva]]</f>
        <v>65158.14</v>
      </c>
      <c r="Q397" s="138"/>
      <c r="R397" s="20"/>
      <c r="S397" s="20">
        <f>Rendiciones[[#This Row],[Total ]]-Rendiciones[[#This Row],[Monto ]]</f>
        <v>65158.14</v>
      </c>
      <c r="U397" s="72"/>
    </row>
    <row r="398" spans="2:21" x14ac:dyDescent="0.3">
      <c r="B398" s="12" t="s">
        <v>435</v>
      </c>
      <c r="C398" s="12">
        <v>11</v>
      </c>
      <c r="D398" s="138">
        <v>46204</v>
      </c>
      <c r="E398" s="12" t="s">
        <v>565</v>
      </c>
      <c r="F398" s="11" t="str">
        <f>IF(Rendiciones[[#This Row],[Fecha ]]&lt;&gt;"",TEXT(Rendiciones[[#This Row],[Fecha ]],"MMMM"),"")</f>
        <v>julio</v>
      </c>
      <c r="G398" s="11" t="s">
        <v>428</v>
      </c>
      <c r="H398" s="12" t="s">
        <v>6</v>
      </c>
      <c r="I398" s="12" t="s">
        <v>59</v>
      </c>
      <c r="L398" s="20"/>
      <c r="M398" s="20">
        <v>12406</v>
      </c>
      <c r="N398" s="20">
        <f>Rendiciones[[#This Row],[Monto Neto ]]*19%</f>
        <v>0</v>
      </c>
      <c r="O398" s="6">
        <f>+Rendiciones[[#This Row],[Monto Neto ]]+Rendiciones[[#This Row],[Monto Exento ]]+Rendiciones[[#This Row],[Iva]]</f>
        <v>12406</v>
      </c>
      <c r="P398" t="s">
        <v>89</v>
      </c>
      <c r="Q398" s="138">
        <v>46206</v>
      </c>
      <c r="R398" s="20">
        <v>7564.14</v>
      </c>
      <c r="S398" s="20">
        <f>Rendiciones[[#This Row],[Total ]]-Rendiciones[[#This Row],[Monto ]]</f>
        <v>4841.8599999999997</v>
      </c>
      <c r="U398" s="72"/>
    </row>
    <row r="399" spans="2:21" x14ac:dyDescent="0.3">
      <c r="B399" s="12" t="s">
        <v>17</v>
      </c>
      <c r="C399" s="12">
        <v>22</v>
      </c>
      <c r="D399" s="138">
        <v>46184</v>
      </c>
      <c r="E399" s="12" t="s">
        <v>562</v>
      </c>
      <c r="F399" s="11" t="str">
        <f>IF(Rendiciones[[#This Row],[Fecha ]]&lt;&gt;"",TEXT(Rendiciones[[#This Row],[Fecha ]],"MMMM"),"")</f>
        <v>junio</v>
      </c>
      <c r="G399" s="11" t="s">
        <v>428</v>
      </c>
      <c r="H399" s="12" t="s">
        <v>6</v>
      </c>
      <c r="I399" s="12" t="s">
        <v>28</v>
      </c>
      <c r="K399" s="1" t="s">
        <v>81</v>
      </c>
      <c r="L399" s="20">
        <v>21726</v>
      </c>
      <c r="M399" s="20">
        <f>2201+1945</f>
        <v>4146</v>
      </c>
      <c r="N399" s="20">
        <f>Rendiciones[[#This Row],[Monto Neto ]]*19%</f>
        <v>4127.9399999999996</v>
      </c>
      <c r="O399" s="6">
        <f>+Rendiciones[[#This Row],[Monto Neto ]]+Rendiciones[[#This Row],[Monto Exento ]]+Rendiciones[[#This Row],[Iva]]</f>
        <v>29999.94</v>
      </c>
      <c r="Q399" s="138"/>
      <c r="R399" s="20"/>
      <c r="S399" s="20">
        <f>Rendiciones[[#This Row],[Total ]]-Rendiciones[[#This Row],[Monto ]]</f>
        <v>29999.94</v>
      </c>
      <c r="U399" s="72"/>
    </row>
    <row r="400" spans="2:21" ht="14.5" customHeight="1" x14ac:dyDescent="0.3">
      <c r="B400" s="12" t="s">
        <v>17</v>
      </c>
      <c r="C400" s="12">
        <v>22</v>
      </c>
      <c r="D400" s="138">
        <v>46184</v>
      </c>
      <c r="E400" s="12" t="s">
        <v>562</v>
      </c>
      <c r="F400" s="11" t="str">
        <f>IF(Rendiciones[[#This Row],[Fecha ]]&lt;&gt;"",TEXT(Rendiciones[[#This Row],[Fecha ]],"MMMM"),"")</f>
        <v>junio</v>
      </c>
      <c r="G400" s="11" t="s">
        <v>428</v>
      </c>
      <c r="H400" s="12" t="s">
        <v>6</v>
      </c>
      <c r="I400" s="12" t="s">
        <v>57</v>
      </c>
      <c r="K400" s="1" t="s">
        <v>81</v>
      </c>
      <c r="L400" s="20">
        <v>109076</v>
      </c>
      <c r="M400" s="20"/>
      <c r="N400" s="20">
        <f>Rendiciones[[#This Row],[Monto Neto ]]*19%</f>
        <v>20724.439999999999</v>
      </c>
      <c r="O400" s="6">
        <f>+Rendiciones[[#This Row],[Monto Neto ]]+Rendiciones[[#This Row],[Monto Exento ]]+Rendiciones[[#This Row],[Iva]]</f>
        <v>129800.44</v>
      </c>
      <c r="Q400" s="138"/>
      <c r="R400" s="20"/>
      <c r="S400" s="20">
        <f>Rendiciones[[#This Row],[Total ]]-Rendiciones[[#This Row],[Monto ]]</f>
        <v>129800.44</v>
      </c>
      <c r="U400" s="72"/>
    </row>
    <row r="401" spans="2:21" x14ac:dyDescent="0.3">
      <c r="B401" s="12" t="s">
        <v>17</v>
      </c>
      <c r="C401" s="12">
        <v>22</v>
      </c>
      <c r="D401" s="138">
        <v>46184</v>
      </c>
      <c r="E401" s="12" t="s">
        <v>562</v>
      </c>
      <c r="F401" s="11" t="str">
        <f>IF(Rendiciones[[#This Row],[Fecha ]]&lt;&gt;"",TEXT(Rendiciones[[#This Row],[Fecha ]],"MMMM"),"")</f>
        <v>junio</v>
      </c>
      <c r="G401" s="11" t="s">
        <v>428</v>
      </c>
      <c r="H401" s="12" t="s">
        <v>9</v>
      </c>
      <c r="I401" s="12" t="s">
        <v>52</v>
      </c>
      <c r="J401" s="1" t="s">
        <v>568</v>
      </c>
      <c r="L401" s="20"/>
      <c r="M401" s="20">
        <v>123690</v>
      </c>
      <c r="N401" s="20">
        <f>Rendiciones[[#This Row],[Monto Neto ]]*19%</f>
        <v>0</v>
      </c>
      <c r="O401" s="6">
        <f>+Rendiciones[[#This Row],[Monto Neto ]]+Rendiciones[[#This Row],[Monto Exento ]]+Rendiciones[[#This Row],[Iva]]</f>
        <v>123690</v>
      </c>
      <c r="Q401" s="138"/>
      <c r="R401" s="20"/>
      <c r="S401" s="20">
        <f>Rendiciones[[#This Row],[Total ]]-Rendiciones[[#This Row],[Monto ]]</f>
        <v>123690</v>
      </c>
      <c r="U401" s="72"/>
    </row>
    <row r="402" spans="2:21" x14ac:dyDescent="0.3">
      <c r="B402" s="12" t="s">
        <v>17</v>
      </c>
      <c r="C402" s="12">
        <v>22</v>
      </c>
      <c r="D402" s="138">
        <v>46184</v>
      </c>
      <c r="E402" s="12" t="s">
        <v>562</v>
      </c>
      <c r="F402" s="11" t="str">
        <f>IF(Rendiciones[[#This Row],[Fecha ]]&lt;&gt;"",TEXT(Rendiciones[[#This Row],[Fecha ]],"MMMM"),"")</f>
        <v>junio</v>
      </c>
      <c r="G402" s="11" t="s">
        <v>428</v>
      </c>
      <c r="H402" s="12" t="s">
        <v>6</v>
      </c>
      <c r="I402" s="12" t="s">
        <v>39</v>
      </c>
      <c r="L402" s="20"/>
      <c r="M402" s="20">
        <v>650</v>
      </c>
      <c r="N402" s="20">
        <f>Rendiciones[[#This Row],[Monto Neto ]]*19%</f>
        <v>0</v>
      </c>
      <c r="O402" s="6">
        <f>+Rendiciones[[#This Row],[Monto Neto ]]+Rendiciones[[#This Row],[Monto Exento ]]+Rendiciones[[#This Row],[Iva]]</f>
        <v>650</v>
      </c>
      <c r="P402" t="s">
        <v>89</v>
      </c>
      <c r="Q402" s="138">
        <v>46185</v>
      </c>
      <c r="R402" s="20">
        <v>284140</v>
      </c>
      <c r="S402" s="20">
        <f>Rendiciones[[#This Row],[Total ]]-Rendiciones[[#This Row],[Monto ]]</f>
        <v>-283490</v>
      </c>
      <c r="U402" s="72"/>
    </row>
    <row r="403" spans="2:21" x14ac:dyDescent="0.3">
      <c r="B403" s="12" t="s">
        <v>17</v>
      </c>
      <c r="C403" s="12">
        <v>23</v>
      </c>
      <c r="D403" s="138">
        <v>46185</v>
      </c>
      <c r="E403" s="12" t="s">
        <v>562</v>
      </c>
      <c r="F403" s="11" t="str">
        <f>IF(Rendiciones[[#This Row],[Fecha ]]&lt;&gt;"",TEXT(Rendiciones[[#This Row],[Fecha ]],"MMMM"),"")</f>
        <v>junio</v>
      </c>
      <c r="G403" s="11" t="s">
        <v>428</v>
      </c>
      <c r="H403" s="12" t="s">
        <v>102</v>
      </c>
      <c r="I403" s="12" t="s">
        <v>98</v>
      </c>
      <c r="L403" s="20"/>
      <c r="M403" s="20">
        <v>70389</v>
      </c>
      <c r="N403" s="20">
        <f>Rendiciones[[#This Row],[Monto Neto ]]*19%</f>
        <v>0</v>
      </c>
      <c r="O403" s="6">
        <f>+Rendiciones[[#This Row],[Monto Neto ]]+Rendiciones[[#This Row],[Monto Exento ]]+Rendiciones[[#This Row],[Iva]]</f>
        <v>70389</v>
      </c>
      <c r="P403" t="s">
        <v>477</v>
      </c>
      <c r="Q403" s="138">
        <v>46192</v>
      </c>
      <c r="R403" s="20">
        <v>70389.38</v>
      </c>
      <c r="S403" s="20">
        <f>Rendiciones[[#This Row],[Total ]]-Rendiciones[[#This Row],[Monto ]]</f>
        <v>-0.38000000000465661</v>
      </c>
      <c r="U403" s="72"/>
    </row>
    <row r="404" spans="2:21" x14ac:dyDescent="0.3">
      <c r="B404" s="12" t="s">
        <v>17</v>
      </c>
      <c r="C404" s="12">
        <v>24</v>
      </c>
      <c r="D404" s="138">
        <v>46190</v>
      </c>
      <c r="E404" s="12" t="s">
        <v>561</v>
      </c>
      <c r="F404" s="11" t="str">
        <f>IF(Rendiciones[[#This Row],[Fecha ]]&lt;&gt;"",TEXT(Rendiciones[[#This Row],[Fecha ]],"MMMM"),"")</f>
        <v>junio</v>
      </c>
      <c r="G404" s="11" t="s">
        <v>428</v>
      </c>
      <c r="H404" s="12" t="s">
        <v>102</v>
      </c>
      <c r="I404" s="12" t="s">
        <v>98</v>
      </c>
      <c r="L404" s="20"/>
      <c r="M404" s="20">
        <v>70389</v>
      </c>
      <c r="N404" s="20">
        <f>Rendiciones[[#This Row],[Monto Neto ]]*19%</f>
        <v>0</v>
      </c>
      <c r="O404" s="6">
        <f>+Rendiciones[[#This Row],[Monto Neto ]]+Rendiciones[[#This Row],[Monto Exento ]]+Rendiciones[[#This Row],[Iva]]</f>
        <v>70389</v>
      </c>
      <c r="P404" t="s">
        <v>89</v>
      </c>
      <c r="Q404" s="138">
        <v>46185</v>
      </c>
      <c r="R404" s="20">
        <v>70389</v>
      </c>
      <c r="S404" s="20">
        <f>Rendiciones[[#This Row],[Total ]]-Rendiciones[[#This Row],[Monto ]]</f>
        <v>0</v>
      </c>
      <c r="U404" s="72"/>
    </row>
    <row r="405" spans="2:21" x14ac:dyDescent="0.3">
      <c r="B405" s="12" t="s">
        <v>17</v>
      </c>
      <c r="C405" s="12">
        <v>25</v>
      </c>
      <c r="D405" s="138">
        <v>46192</v>
      </c>
      <c r="E405" s="12" t="s">
        <v>561</v>
      </c>
      <c r="F405" s="11" t="str">
        <f>IF(Rendiciones[[#This Row],[Fecha ]]&lt;&gt;"",TEXT(Rendiciones[[#This Row],[Fecha ]],"MMMM"),"")</f>
        <v>junio</v>
      </c>
      <c r="G405" s="11" t="s">
        <v>428</v>
      </c>
      <c r="H405" s="12" t="s">
        <v>6</v>
      </c>
      <c r="I405" s="12" t="s">
        <v>52</v>
      </c>
      <c r="L405" s="20"/>
      <c r="M405" s="20">
        <v>8000</v>
      </c>
      <c r="N405" s="20">
        <f>Rendiciones[[#This Row],[Monto Neto ]]*19%</f>
        <v>0</v>
      </c>
      <c r="O405" s="6">
        <f>+Rendiciones[[#This Row],[Monto Neto ]]+Rendiciones[[#This Row],[Monto Exento ]]+Rendiciones[[#This Row],[Iva]]</f>
        <v>8000</v>
      </c>
      <c r="Q405" s="138"/>
      <c r="R405" s="20"/>
      <c r="S405" s="20">
        <f>Rendiciones[[#This Row],[Total ]]-Rendiciones[[#This Row],[Monto ]]</f>
        <v>8000</v>
      </c>
      <c r="U405" s="72"/>
    </row>
    <row r="406" spans="2:21" x14ac:dyDescent="0.3">
      <c r="B406" s="12" t="s">
        <v>17</v>
      </c>
      <c r="C406" s="12">
        <v>26</v>
      </c>
      <c r="D406" s="138">
        <v>46198</v>
      </c>
      <c r="E406" s="12" t="s">
        <v>567</v>
      </c>
      <c r="F406" s="11" t="str">
        <f>IF(Rendiciones[[#This Row],[Fecha ]]&lt;&gt;"",TEXT(Rendiciones[[#This Row],[Fecha ]],"MMMM"),"")</f>
        <v>junio</v>
      </c>
      <c r="G406" s="11" t="s">
        <v>428</v>
      </c>
      <c r="H406" s="12" t="s">
        <v>102</v>
      </c>
      <c r="I406" s="12" t="s">
        <v>98</v>
      </c>
      <c r="L406" s="20"/>
      <c r="M406" s="20">
        <v>70389</v>
      </c>
      <c r="N406" s="20">
        <f>Rendiciones[[#This Row],[Monto Neto ]]*19%</f>
        <v>0</v>
      </c>
      <c r="O406" s="6">
        <f>+Rendiciones[[#This Row],[Monto Neto ]]+Rendiciones[[#This Row],[Monto Exento ]]+Rendiciones[[#This Row],[Iva]]</f>
        <v>70389</v>
      </c>
      <c r="P406" t="s">
        <v>477</v>
      </c>
      <c r="Q406" s="138">
        <v>46203</v>
      </c>
      <c r="R406" s="20">
        <v>78389</v>
      </c>
      <c r="S406" s="20">
        <f>Rendiciones[[#This Row],[Total ]]-Rendiciones[[#This Row],[Monto ]]</f>
        <v>-8000</v>
      </c>
      <c r="U406" s="72"/>
    </row>
    <row r="407" spans="2:21" x14ac:dyDescent="0.3">
      <c r="B407" s="12" t="s">
        <v>100</v>
      </c>
      <c r="C407" s="12">
        <v>10</v>
      </c>
      <c r="D407" s="138">
        <v>46195</v>
      </c>
      <c r="E407" s="12" t="s">
        <v>549</v>
      </c>
      <c r="F407" s="11" t="str">
        <f>IF(Rendiciones[[#This Row],[Fecha ]]&lt;&gt;"",TEXT(Rendiciones[[#This Row],[Fecha ]],"MMMM"),"")</f>
        <v>junio</v>
      </c>
      <c r="G407" s="11" t="s">
        <v>428</v>
      </c>
      <c r="H407" s="12" t="s">
        <v>6</v>
      </c>
      <c r="I407" s="12" t="s">
        <v>31</v>
      </c>
      <c r="L407" s="20"/>
      <c r="M407" s="20">
        <f>2596+5699+4898+2089+1567+21684</f>
        <v>38533</v>
      </c>
      <c r="N407" s="20">
        <f>Rendiciones[[#This Row],[Monto Neto ]]*19%</f>
        <v>0</v>
      </c>
      <c r="O407" s="6">
        <f>+Rendiciones[[#This Row],[Monto Neto ]]+Rendiciones[[#This Row],[Monto Exento ]]+Rendiciones[[#This Row],[Iva]]</f>
        <v>38533</v>
      </c>
      <c r="Q407" s="138"/>
      <c r="R407" s="20"/>
      <c r="S407" s="20">
        <f>Rendiciones[[#This Row],[Total ]]-Rendiciones[[#This Row],[Monto ]]</f>
        <v>38533</v>
      </c>
      <c r="U407" s="72"/>
    </row>
    <row r="408" spans="2:21" x14ac:dyDescent="0.3">
      <c r="B408" s="12" t="s">
        <v>100</v>
      </c>
      <c r="C408" s="12">
        <v>10</v>
      </c>
      <c r="D408" s="138">
        <v>46195</v>
      </c>
      <c r="E408" s="12" t="s">
        <v>549</v>
      </c>
      <c r="F408" s="11" t="str">
        <f>IF(Rendiciones[[#This Row],[Fecha ]]&lt;&gt;"",TEXT(Rendiciones[[#This Row],[Fecha ]],"MMMM"),"")</f>
        <v>junio</v>
      </c>
      <c r="G408" s="11" t="s">
        <v>428</v>
      </c>
      <c r="H408" s="12" t="s">
        <v>6</v>
      </c>
      <c r="I408" s="12" t="s">
        <v>429</v>
      </c>
      <c r="L408" s="20"/>
      <c r="M408" s="20">
        <v>20900</v>
      </c>
      <c r="N408" s="20">
        <f>Rendiciones[[#This Row],[Monto Neto ]]*19%</f>
        <v>0</v>
      </c>
      <c r="O408" s="6">
        <f>+Rendiciones[[#This Row],[Monto Neto ]]+Rendiciones[[#This Row],[Monto Exento ]]+Rendiciones[[#This Row],[Iva]]</f>
        <v>20900</v>
      </c>
      <c r="Q408" s="138"/>
      <c r="R408" s="20"/>
      <c r="S408" s="20">
        <f>Rendiciones[[#This Row],[Total ]]-Rendiciones[[#This Row],[Monto ]]</f>
        <v>20900</v>
      </c>
      <c r="U408" s="72"/>
    </row>
    <row r="409" spans="2:21" x14ac:dyDescent="0.3">
      <c r="B409" s="12" t="s">
        <v>100</v>
      </c>
      <c r="C409" s="12">
        <v>10</v>
      </c>
      <c r="D409" s="138">
        <v>46195</v>
      </c>
      <c r="E409" s="12" t="s">
        <v>549</v>
      </c>
      <c r="F409" s="11" t="str">
        <f>IF(Rendiciones[[#This Row],[Fecha ]]&lt;&gt;"",TEXT(Rendiciones[[#This Row],[Fecha ]],"MMMM"),"")</f>
        <v>junio</v>
      </c>
      <c r="G409" s="11" t="s">
        <v>428</v>
      </c>
      <c r="H409" s="12" t="s">
        <v>8</v>
      </c>
      <c r="I409" s="12" t="s">
        <v>60</v>
      </c>
      <c r="L409" s="20"/>
      <c r="M409" s="20">
        <f>8000+88029+37100</f>
        <v>133129</v>
      </c>
      <c r="N409" s="20">
        <f>Rendiciones[[#This Row],[Monto Neto ]]*19%</f>
        <v>0</v>
      </c>
      <c r="O409" s="6">
        <f>+Rendiciones[[#This Row],[Monto Neto ]]+Rendiciones[[#This Row],[Monto Exento ]]+Rendiciones[[#This Row],[Iva]]</f>
        <v>133129</v>
      </c>
      <c r="Q409" s="138"/>
      <c r="R409" s="20"/>
      <c r="S409" s="20">
        <f>Rendiciones[[#This Row],[Total ]]-Rendiciones[[#This Row],[Monto ]]</f>
        <v>133129</v>
      </c>
      <c r="U409" s="72"/>
    </row>
    <row r="410" spans="2:21" x14ac:dyDescent="0.3">
      <c r="B410" s="12" t="s">
        <v>100</v>
      </c>
      <c r="C410" s="12">
        <v>10</v>
      </c>
      <c r="D410" s="138">
        <v>46195</v>
      </c>
      <c r="E410" s="12" t="s">
        <v>549</v>
      </c>
      <c r="F410" s="11" t="str">
        <f>IF(Rendiciones[[#This Row],[Fecha ]]&lt;&gt;"",TEXT(Rendiciones[[#This Row],[Fecha ]],"MMMM"),"")</f>
        <v>junio</v>
      </c>
      <c r="G410" s="11" t="s">
        <v>428</v>
      </c>
      <c r="H410" s="12" t="s">
        <v>8</v>
      </c>
      <c r="I410" s="12" t="s">
        <v>52</v>
      </c>
      <c r="L410" s="20"/>
      <c r="M410" s="20">
        <v>32593</v>
      </c>
      <c r="N410" s="20">
        <f>Rendiciones[[#This Row],[Monto Neto ]]*19%</f>
        <v>0</v>
      </c>
      <c r="O410" s="6">
        <f>+Rendiciones[[#This Row],[Monto Neto ]]+Rendiciones[[#This Row],[Monto Exento ]]+Rendiciones[[#This Row],[Iva]]</f>
        <v>32593</v>
      </c>
      <c r="P410" t="s">
        <v>477</v>
      </c>
      <c r="Q410" s="138">
        <v>46203</v>
      </c>
      <c r="R410" s="20">
        <v>222315</v>
      </c>
      <c r="S410" s="20">
        <f>Rendiciones[[#This Row],[Total ]]-Rendiciones[[#This Row],[Monto ]]</f>
        <v>-189722</v>
      </c>
      <c r="U410" s="72"/>
    </row>
    <row r="411" spans="2:21" x14ac:dyDescent="0.3">
      <c r="B411" s="12" t="s">
        <v>445</v>
      </c>
      <c r="C411" s="12">
        <v>20</v>
      </c>
      <c r="D411" s="138">
        <v>46198</v>
      </c>
      <c r="E411" s="12" t="s">
        <v>567</v>
      </c>
      <c r="F411" s="11" t="str">
        <f>IF(Rendiciones[[#This Row],[Fecha ]]&lt;&gt;"",TEXT(Rendiciones[[#This Row],[Fecha ]],"MMMM"),"")</f>
        <v>junio</v>
      </c>
      <c r="G411" s="11" t="s">
        <v>428</v>
      </c>
      <c r="H411" s="12" t="s">
        <v>6</v>
      </c>
      <c r="I411" s="12" t="s">
        <v>28</v>
      </c>
      <c r="K411" s="1" t="s">
        <v>81</v>
      </c>
      <c r="L411" s="20">
        <v>21026</v>
      </c>
      <c r="M411" s="20">
        <f>2412+2567</f>
        <v>4979</v>
      </c>
      <c r="N411" s="20">
        <f>Rendiciones[[#This Row],[Monto Neto ]]*19%</f>
        <v>3994.94</v>
      </c>
      <c r="O411" s="6">
        <f>+Rendiciones[[#This Row],[Monto Neto ]]+Rendiciones[[#This Row],[Monto Exento ]]+Rendiciones[[#This Row],[Iva]]</f>
        <v>29999.94</v>
      </c>
      <c r="Q411" s="138"/>
      <c r="R411" s="20"/>
      <c r="S411" s="20">
        <f>Rendiciones[[#This Row],[Total ]]-Rendiciones[[#This Row],[Monto ]]</f>
        <v>29999.94</v>
      </c>
      <c r="U411" s="72"/>
    </row>
    <row r="412" spans="2:21" x14ac:dyDescent="0.3">
      <c r="B412" s="12" t="s">
        <v>445</v>
      </c>
      <c r="C412" s="12">
        <v>20</v>
      </c>
      <c r="D412" s="138">
        <v>46198</v>
      </c>
      <c r="E412" s="12" t="s">
        <v>567</v>
      </c>
      <c r="F412" s="11" t="str">
        <f>IF(Rendiciones[[#This Row],[Fecha ]]&lt;&gt;"",TEXT(Rendiciones[[#This Row],[Fecha ]],"MMMM"),"")</f>
        <v>junio</v>
      </c>
      <c r="G412" s="11" t="s">
        <v>428</v>
      </c>
      <c r="H412" s="12" t="s">
        <v>6</v>
      </c>
      <c r="I412" s="12" t="s">
        <v>39</v>
      </c>
      <c r="L412" s="20"/>
      <c r="M412" s="20">
        <f>1340+500+1600</f>
        <v>3440</v>
      </c>
      <c r="N412" s="20">
        <f>Rendiciones[[#This Row],[Monto Neto ]]*19%</f>
        <v>0</v>
      </c>
      <c r="O412" s="6">
        <f>+Rendiciones[[#This Row],[Monto Neto ]]+Rendiciones[[#This Row],[Monto Exento ]]+Rendiciones[[#This Row],[Iva]]</f>
        <v>3440</v>
      </c>
      <c r="Q412" s="138"/>
      <c r="R412" s="20"/>
      <c r="S412" s="20">
        <f>Rendiciones[[#This Row],[Total ]]-Rendiciones[[#This Row],[Monto ]]</f>
        <v>3440</v>
      </c>
      <c r="U412" s="72"/>
    </row>
    <row r="413" spans="2:21" x14ac:dyDescent="0.3">
      <c r="B413" s="12" t="s">
        <v>445</v>
      </c>
      <c r="C413" s="12">
        <v>20</v>
      </c>
      <c r="D413" s="138">
        <v>46198</v>
      </c>
      <c r="E413" s="12" t="s">
        <v>567</v>
      </c>
      <c r="F413" s="11" t="str">
        <f>IF(Rendiciones[[#This Row],[Fecha ]]&lt;&gt;"",TEXT(Rendiciones[[#This Row],[Fecha ]],"MMMM"),"")</f>
        <v>junio</v>
      </c>
      <c r="G413" s="11" t="s">
        <v>428</v>
      </c>
      <c r="H413" s="12" t="s">
        <v>5</v>
      </c>
      <c r="I413" s="12" t="s">
        <v>52</v>
      </c>
      <c r="L413" s="20"/>
      <c r="M413" s="20">
        <f>20592+5550</f>
        <v>26142</v>
      </c>
      <c r="N413" s="20">
        <f>Rendiciones[[#This Row],[Monto Neto ]]*19%</f>
        <v>0</v>
      </c>
      <c r="O413" s="6">
        <f>+Rendiciones[[#This Row],[Monto Neto ]]+Rendiciones[[#This Row],[Monto Exento ]]+Rendiciones[[#This Row],[Iva]]</f>
        <v>26142</v>
      </c>
      <c r="Q413" s="138"/>
      <c r="R413" s="20"/>
      <c r="S413" s="20">
        <f>Rendiciones[[#This Row],[Total ]]-Rendiciones[[#This Row],[Monto ]]</f>
        <v>26142</v>
      </c>
      <c r="U413" s="72"/>
    </row>
    <row r="414" spans="2:21" x14ac:dyDescent="0.3">
      <c r="B414" s="12" t="s">
        <v>445</v>
      </c>
      <c r="C414" s="12">
        <v>20</v>
      </c>
      <c r="D414" s="138">
        <v>46198</v>
      </c>
      <c r="E414" s="12" t="s">
        <v>567</v>
      </c>
      <c r="F414" s="11" t="str">
        <f>IF(Rendiciones[[#This Row],[Fecha ]]&lt;&gt;"",TEXT(Rendiciones[[#This Row],[Fecha ]],"MMMM"),"")</f>
        <v>junio</v>
      </c>
      <c r="G414" s="11" t="s">
        <v>428</v>
      </c>
      <c r="H414" s="12" t="s">
        <v>6</v>
      </c>
      <c r="I414" s="12" t="s">
        <v>429</v>
      </c>
      <c r="L414" s="20"/>
      <c r="M414" s="20">
        <v>7200</v>
      </c>
      <c r="N414" s="20">
        <f>Rendiciones[[#This Row],[Monto Neto ]]*19%</f>
        <v>0</v>
      </c>
      <c r="O414" s="6">
        <f>+Rendiciones[[#This Row],[Monto Neto ]]+Rendiciones[[#This Row],[Monto Exento ]]+Rendiciones[[#This Row],[Iva]]</f>
        <v>7200</v>
      </c>
      <c r="Q414" s="138"/>
      <c r="R414" s="20"/>
      <c r="S414" s="20">
        <f>Rendiciones[[#This Row],[Total ]]-Rendiciones[[#This Row],[Monto ]]</f>
        <v>7200</v>
      </c>
      <c r="U414" s="72"/>
    </row>
    <row r="415" spans="2:21" x14ac:dyDescent="0.3">
      <c r="B415" s="12" t="s">
        <v>445</v>
      </c>
      <c r="C415" s="12">
        <v>20</v>
      </c>
      <c r="D415" s="138">
        <v>46211</v>
      </c>
      <c r="E415" s="12" t="s">
        <v>528</v>
      </c>
      <c r="F415" s="11" t="str">
        <f>IF(Rendiciones[[#This Row],[Fecha ]]&lt;&gt;"",TEXT(Rendiciones[[#This Row],[Fecha ]],"MMMM"),"")</f>
        <v>julio</v>
      </c>
      <c r="G415" s="11" t="s">
        <v>428</v>
      </c>
      <c r="H415" s="12" t="s">
        <v>6</v>
      </c>
      <c r="I415" s="12" t="s">
        <v>28</v>
      </c>
      <c r="K415" s="1" t="s">
        <v>81</v>
      </c>
      <c r="L415" s="20">
        <v>19866</v>
      </c>
      <c r="M415" s="20">
        <f>2403+3957</f>
        <v>6360</v>
      </c>
      <c r="N415" s="20">
        <f>Rendiciones[[#This Row],[Monto Neto ]]*19%</f>
        <v>3774.54</v>
      </c>
      <c r="O415" s="6">
        <f>+Rendiciones[[#This Row],[Monto Neto ]]+Rendiciones[[#This Row],[Monto Exento ]]+Rendiciones[[#This Row],[Iva]]</f>
        <v>30000.54</v>
      </c>
      <c r="Q415" s="138"/>
      <c r="R415" s="20"/>
      <c r="S415" s="20">
        <f>Rendiciones[[#This Row],[Total ]]-Rendiciones[[#This Row],[Monto ]]</f>
        <v>30000.54</v>
      </c>
      <c r="U415" s="72"/>
    </row>
    <row r="416" spans="2:21" x14ac:dyDescent="0.3">
      <c r="B416" s="12" t="s">
        <v>445</v>
      </c>
      <c r="C416" s="12">
        <v>20</v>
      </c>
      <c r="D416" s="138">
        <v>46211</v>
      </c>
      <c r="E416" s="12" t="s">
        <v>528</v>
      </c>
      <c r="F416" s="11" t="str">
        <f>IF(Rendiciones[[#This Row],[Fecha ]]&lt;&gt;"",TEXT(Rendiciones[[#This Row],[Fecha ]],"MMMM"),"")</f>
        <v>julio</v>
      </c>
      <c r="G416" s="11" t="s">
        <v>428</v>
      </c>
      <c r="H416" s="12" t="s">
        <v>6</v>
      </c>
      <c r="I416" s="12" t="s">
        <v>39</v>
      </c>
      <c r="L416" s="20"/>
      <c r="M416" s="20">
        <v>2560</v>
      </c>
      <c r="N416" s="20">
        <f>Rendiciones[[#This Row],[Monto Neto ]]*19%</f>
        <v>0</v>
      </c>
      <c r="O416" s="6">
        <f>+Rendiciones[[#This Row],[Monto Neto ]]+Rendiciones[[#This Row],[Monto Exento ]]+Rendiciones[[#This Row],[Iva]]</f>
        <v>2560</v>
      </c>
      <c r="Q416" s="138"/>
      <c r="R416" s="20"/>
      <c r="S416" s="20">
        <f>Rendiciones[[#This Row],[Total ]]-Rendiciones[[#This Row],[Monto ]]</f>
        <v>2560</v>
      </c>
      <c r="U416" s="72"/>
    </row>
    <row r="417" spans="2:21" x14ac:dyDescent="0.3">
      <c r="B417" s="12" t="s">
        <v>445</v>
      </c>
      <c r="C417" s="12">
        <v>20</v>
      </c>
      <c r="D417" s="138">
        <v>46211</v>
      </c>
      <c r="E417" s="12" t="s">
        <v>528</v>
      </c>
      <c r="F417" s="11" t="str">
        <f>IF(Rendiciones[[#This Row],[Fecha ]]&lt;&gt;"",TEXT(Rendiciones[[#This Row],[Fecha ]],"MMMM"),"")</f>
        <v>julio</v>
      </c>
      <c r="G417" s="11" t="s">
        <v>428</v>
      </c>
      <c r="H417" s="12" t="s">
        <v>6</v>
      </c>
      <c r="I417" s="12" t="s">
        <v>429</v>
      </c>
      <c r="L417" s="20"/>
      <c r="M417" s="20">
        <v>6500</v>
      </c>
      <c r="N417" s="20">
        <f>Rendiciones[[#This Row],[Monto Neto ]]*19%</f>
        <v>0</v>
      </c>
      <c r="O417" s="6">
        <f>+Rendiciones[[#This Row],[Monto Neto ]]+Rendiciones[[#This Row],[Monto Exento ]]+Rendiciones[[#This Row],[Iva]]</f>
        <v>6500</v>
      </c>
      <c r="Q417" s="138"/>
      <c r="R417" s="20"/>
      <c r="S417" s="20">
        <f>Rendiciones[[#This Row],[Total ]]-Rendiciones[[#This Row],[Monto ]]</f>
        <v>6500</v>
      </c>
      <c r="U417" s="72"/>
    </row>
    <row r="418" spans="2:21" x14ac:dyDescent="0.3">
      <c r="B418" s="12" t="s">
        <v>445</v>
      </c>
      <c r="C418" s="12">
        <v>20</v>
      </c>
      <c r="D418" s="138">
        <v>46211</v>
      </c>
      <c r="E418" s="12" t="s">
        <v>528</v>
      </c>
      <c r="F418" s="11" t="str">
        <f>IF(Rendiciones[[#This Row],[Fecha ]]&lt;&gt;"",TEXT(Rendiciones[[#This Row],[Fecha ]],"MMMM"),"")</f>
        <v>julio</v>
      </c>
      <c r="G418" s="11" t="s">
        <v>428</v>
      </c>
      <c r="H418" s="12" t="s">
        <v>5</v>
      </c>
      <c r="I418" s="12" t="s">
        <v>52</v>
      </c>
      <c r="L418" s="20"/>
      <c r="M418" s="20">
        <v>52217</v>
      </c>
      <c r="N418" s="20">
        <f>Rendiciones[[#This Row],[Monto Neto ]]*19%</f>
        <v>0</v>
      </c>
      <c r="O418" s="6">
        <f>+Rendiciones[[#This Row],[Monto Neto ]]+Rendiciones[[#This Row],[Monto Exento ]]+Rendiciones[[#This Row],[Iva]]</f>
        <v>52217</v>
      </c>
      <c r="P418" t="s">
        <v>477</v>
      </c>
      <c r="Q418" s="138">
        <v>46211</v>
      </c>
      <c r="R418" s="20">
        <v>158059</v>
      </c>
      <c r="S418" s="20">
        <f>Rendiciones[[#This Row],[Total ]]-Rendiciones[[#This Row],[Monto ]]</f>
        <v>-105842</v>
      </c>
      <c r="U418" s="72"/>
    </row>
    <row r="419" spans="2:21" x14ac:dyDescent="0.3">
      <c r="B419" s="12" t="s">
        <v>499</v>
      </c>
      <c r="C419" s="12">
        <v>2</v>
      </c>
      <c r="D419" s="138">
        <v>46212</v>
      </c>
      <c r="E419" s="12" t="s">
        <v>528</v>
      </c>
      <c r="F419" s="11" t="str">
        <f>IF(Rendiciones[[#This Row],[Fecha ]]&lt;&gt;"",TEXT(Rendiciones[[#This Row],[Fecha ]],"MMMM"),"")</f>
        <v>julio</v>
      </c>
      <c r="G419" s="11" t="s">
        <v>428</v>
      </c>
      <c r="H419" s="12" t="s">
        <v>5</v>
      </c>
      <c r="I419" s="12" t="s">
        <v>26</v>
      </c>
      <c r="J419" s="1" t="s">
        <v>534</v>
      </c>
      <c r="K419" s="1" t="s">
        <v>81</v>
      </c>
      <c r="L419" s="20">
        <v>88568</v>
      </c>
      <c r="M419" s="20"/>
      <c r="N419" s="20">
        <f>Rendiciones[[#This Row],[Monto Neto ]]*19%</f>
        <v>16827.920000000002</v>
      </c>
      <c r="O419" s="6">
        <f>+Rendiciones[[#This Row],[Monto Neto ]]+Rendiciones[[#This Row],[Monto Exento ]]+Rendiciones[[#This Row],[Iva]]</f>
        <v>105395.92</v>
      </c>
      <c r="P419" t="s">
        <v>89</v>
      </c>
      <c r="Q419" s="138">
        <v>46216</v>
      </c>
      <c r="R419" s="20">
        <v>105395.92</v>
      </c>
      <c r="S419" s="20">
        <f>Rendiciones[[#This Row],[Total ]]-Rendiciones[[#This Row],[Monto ]]</f>
        <v>0</v>
      </c>
      <c r="U419" s="72"/>
    </row>
    <row r="420" spans="2:21" x14ac:dyDescent="0.3">
      <c r="B420" s="12" t="s">
        <v>445</v>
      </c>
      <c r="C420" s="12">
        <v>21</v>
      </c>
      <c r="D420" s="138">
        <v>46216</v>
      </c>
      <c r="E420" s="12" t="s">
        <v>532</v>
      </c>
      <c r="F420" s="11" t="str">
        <f>IF(Rendiciones[[#This Row],[Fecha ]]&lt;&gt;"",TEXT(Rendiciones[[#This Row],[Fecha ]],"MMMM"),"")</f>
        <v>julio</v>
      </c>
      <c r="G420" s="11" t="s">
        <v>428</v>
      </c>
      <c r="H420" s="12" t="s">
        <v>6</v>
      </c>
      <c r="I420" s="12" t="s">
        <v>28</v>
      </c>
      <c r="K420" s="1" t="s">
        <v>81</v>
      </c>
      <c r="L420" s="20">
        <v>33130</v>
      </c>
      <c r="M420" s="20">
        <f>6580+3995</f>
        <v>10575</v>
      </c>
      <c r="N420" s="20">
        <f>Rendiciones[[#This Row],[Monto Neto ]]*19%</f>
        <v>6294.7</v>
      </c>
      <c r="O420" s="6">
        <f>+Rendiciones[[#This Row],[Monto Neto ]]+Rendiciones[[#This Row],[Monto Exento ]]+Rendiciones[[#This Row],[Iva]]</f>
        <v>49999.7</v>
      </c>
      <c r="Q420" s="138"/>
      <c r="R420" s="20"/>
      <c r="S420" s="20">
        <f>Rendiciones[[#This Row],[Total ]]-Rendiciones[[#This Row],[Monto ]]</f>
        <v>49999.7</v>
      </c>
      <c r="U420" s="72"/>
    </row>
    <row r="421" spans="2:21" x14ac:dyDescent="0.3">
      <c r="B421" s="12" t="s">
        <v>445</v>
      </c>
      <c r="C421" s="12">
        <v>21</v>
      </c>
      <c r="D421" s="138">
        <v>46216</v>
      </c>
      <c r="E421" s="12" t="s">
        <v>532</v>
      </c>
      <c r="F421" s="11" t="str">
        <f>IF(Rendiciones[[#This Row],[Fecha ]]&lt;&gt;"",TEXT(Rendiciones[[#This Row],[Fecha ]],"MMMM"),"")</f>
        <v>julio</v>
      </c>
      <c r="G421" s="11" t="s">
        <v>428</v>
      </c>
      <c r="H421" s="12" t="s">
        <v>6</v>
      </c>
      <c r="I421" s="12" t="s">
        <v>28</v>
      </c>
      <c r="K421" s="1" t="s">
        <v>81</v>
      </c>
      <c r="L421" s="20">
        <v>26572</v>
      </c>
      <c r="M421" s="20">
        <f>3086+293</f>
        <v>3379</v>
      </c>
      <c r="N421" s="20">
        <f>Rendiciones[[#This Row],[Monto Neto ]]*19%</f>
        <v>5048.68</v>
      </c>
      <c r="O421" s="6">
        <f>+Rendiciones[[#This Row],[Monto Neto ]]+Rendiciones[[#This Row],[Monto Exento ]]+Rendiciones[[#This Row],[Iva]]</f>
        <v>34999.68</v>
      </c>
      <c r="Q421" s="138"/>
      <c r="R421" s="20"/>
      <c r="S421" s="20">
        <f>Rendiciones[[#This Row],[Total ]]-Rendiciones[[#This Row],[Monto ]]</f>
        <v>34999.68</v>
      </c>
      <c r="U421" s="72"/>
    </row>
    <row r="422" spans="2:21" x14ac:dyDescent="0.3">
      <c r="B422" s="12" t="s">
        <v>445</v>
      </c>
      <c r="C422" s="12">
        <v>21</v>
      </c>
      <c r="D422" s="138">
        <v>46216</v>
      </c>
      <c r="E422" s="12" t="s">
        <v>532</v>
      </c>
      <c r="F422" s="11" t="str">
        <f>IF(Rendiciones[[#This Row],[Fecha ]]&lt;&gt;"",TEXT(Rendiciones[[#This Row],[Fecha ]],"MMMM"),"")</f>
        <v>julio</v>
      </c>
      <c r="G422" s="11" t="s">
        <v>428</v>
      </c>
      <c r="H422" s="12" t="s">
        <v>6</v>
      </c>
      <c r="I422" s="12" t="s">
        <v>429</v>
      </c>
      <c r="L422" s="20"/>
      <c r="M422" s="20">
        <f>7400+7400</f>
        <v>14800</v>
      </c>
      <c r="N422" s="20">
        <f>Rendiciones[[#This Row],[Monto Neto ]]*19%</f>
        <v>0</v>
      </c>
      <c r="O422" s="6">
        <f>+Rendiciones[[#This Row],[Monto Neto ]]+Rendiciones[[#This Row],[Monto Exento ]]+Rendiciones[[#This Row],[Iva]]</f>
        <v>14800</v>
      </c>
      <c r="Q422" s="138"/>
      <c r="R422" s="20"/>
      <c r="S422" s="20">
        <f>Rendiciones[[#This Row],[Total ]]-Rendiciones[[#This Row],[Monto ]]</f>
        <v>14800</v>
      </c>
      <c r="U422" s="72"/>
    </row>
    <row r="423" spans="2:21" x14ac:dyDescent="0.3">
      <c r="B423" s="12" t="s">
        <v>445</v>
      </c>
      <c r="C423" s="12">
        <v>21</v>
      </c>
      <c r="D423" s="138">
        <v>46216</v>
      </c>
      <c r="E423" s="12" t="s">
        <v>532</v>
      </c>
      <c r="F423" s="11" t="str">
        <f>IF(Rendiciones[[#This Row],[Fecha ]]&lt;&gt;"",TEXT(Rendiciones[[#This Row],[Fecha ]],"MMMM"),"")</f>
        <v>julio</v>
      </c>
      <c r="G423" s="11" t="s">
        <v>428</v>
      </c>
      <c r="H423" s="12" t="s">
        <v>6</v>
      </c>
      <c r="I423" s="12" t="s">
        <v>39</v>
      </c>
      <c r="L423" s="20"/>
      <c r="M423" s="20">
        <f>2300+5350</f>
        <v>7650</v>
      </c>
      <c r="N423" s="20">
        <f>Rendiciones[[#This Row],[Monto Neto ]]*19%</f>
        <v>0</v>
      </c>
      <c r="O423" s="6">
        <f>+Rendiciones[[#This Row],[Monto Neto ]]+Rendiciones[[#This Row],[Monto Exento ]]+Rendiciones[[#This Row],[Iva]]</f>
        <v>7650</v>
      </c>
      <c r="P423" t="s">
        <v>89</v>
      </c>
      <c r="Q423" s="138">
        <v>46216</v>
      </c>
      <c r="R423" s="20">
        <v>107450</v>
      </c>
      <c r="S423" s="20">
        <f>Rendiciones[[#This Row],[Total ]]-Rendiciones[[#This Row],[Monto ]]</f>
        <v>-99800</v>
      </c>
      <c r="U423" s="72"/>
    </row>
    <row r="424" spans="2:21" x14ac:dyDescent="0.3">
      <c r="B424" s="12" t="s">
        <v>445</v>
      </c>
      <c r="C424" s="12">
        <v>22</v>
      </c>
      <c r="D424" s="138">
        <v>46223</v>
      </c>
      <c r="E424" s="12" t="s">
        <v>545</v>
      </c>
      <c r="F424" s="11" t="str">
        <f>IF(Rendiciones[[#This Row],[Fecha ]]&lt;&gt;"",TEXT(Rendiciones[[#This Row],[Fecha ]],"MMMM"),"")</f>
        <v>julio</v>
      </c>
      <c r="G424" s="11" t="s">
        <v>428</v>
      </c>
      <c r="H424" s="12" t="s">
        <v>6</v>
      </c>
      <c r="I424" s="12" t="s">
        <v>28</v>
      </c>
      <c r="L424" s="20">
        <v>37862</v>
      </c>
      <c r="M424" s="20">
        <f>4516+428</f>
        <v>4944</v>
      </c>
      <c r="N424" s="20">
        <f>Rendiciones[[#This Row],[Monto Neto ]]*19%</f>
        <v>7193.78</v>
      </c>
      <c r="O424" s="6">
        <f>+Rendiciones[[#This Row],[Monto Neto ]]+Rendiciones[[#This Row],[Monto Exento ]]+Rendiciones[[#This Row],[Iva]]</f>
        <v>49999.78</v>
      </c>
      <c r="Q424" s="138"/>
      <c r="R424" s="20"/>
      <c r="S424" s="20">
        <f>Rendiciones[[#This Row],[Total ]]-Rendiciones[[#This Row],[Monto ]]</f>
        <v>49999.78</v>
      </c>
      <c r="U424" s="72"/>
    </row>
    <row r="425" spans="2:21" x14ac:dyDescent="0.3">
      <c r="B425" s="12" t="s">
        <v>445</v>
      </c>
      <c r="C425" s="12">
        <v>22</v>
      </c>
      <c r="D425" s="138">
        <v>46223</v>
      </c>
      <c r="E425" s="12" t="s">
        <v>545</v>
      </c>
      <c r="F425" s="11" t="str">
        <f>IF(Rendiciones[[#This Row],[Fecha ]]&lt;&gt;"",TEXT(Rendiciones[[#This Row],[Fecha ]],"MMMM"),"")</f>
        <v>julio</v>
      </c>
      <c r="G425" s="11" t="s">
        <v>428</v>
      </c>
      <c r="H425" s="12" t="s">
        <v>6</v>
      </c>
      <c r="I425" s="12" t="s">
        <v>429</v>
      </c>
      <c r="L425" s="20"/>
      <c r="M425" s="20">
        <f>7200+7400+7000+7200</f>
        <v>28800</v>
      </c>
      <c r="N425" s="20">
        <f>Rendiciones[[#This Row],[Monto Neto ]]*19%</f>
        <v>0</v>
      </c>
      <c r="O425" s="6">
        <f>+Rendiciones[[#This Row],[Monto Neto ]]+Rendiciones[[#This Row],[Monto Exento ]]+Rendiciones[[#This Row],[Iva]]</f>
        <v>28800</v>
      </c>
      <c r="Q425" s="138"/>
      <c r="R425" s="20"/>
      <c r="S425" s="20">
        <f>Rendiciones[[#This Row],[Total ]]-Rendiciones[[#This Row],[Monto ]]</f>
        <v>28800</v>
      </c>
      <c r="U425" s="72"/>
    </row>
    <row r="426" spans="2:21" x14ac:dyDescent="0.3">
      <c r="B426" s="12" t="s">
        <v>445</v>
      </c>
      <c r="C426" s="12">
        <v>22</v>
      </c>
      <c r="D426" s="138">
        <v>46223</v>
      </c>
      <c r="E426" s="12" t="s">
        <v>545</v>
      </c>
      <c r="F426" s="11" t="str">
        <f>IF(Rendiciones[[#This Row],[Fecha ]]&lt;&gt;"",TEXT(Rendiciones[[#This Row],[Fecha ]],"MMMM"),"")</f>
        <v>julio</v>
      </c>
      <c r="G426" s="11" t="s">
        <v>428</v>
      </c>
      <c r="H426" s="12" t="s">
        <v>6</v>
      </c>
      <c r="I426" s="12" t="s">
        <v>39</v>
      </c>
      <c r="L426" s="20"/>
      <c r="M426" s="20">
        <f>800+1100+1600</f>
        <v>3500</v>
      </c>
      <c r="N426" s="20">
        <f>Rendiciones[[#This Row],[Monto Neto ]]*19%</f>
        <v>0</v>
      </c>
      <c r="O426" s="6">
        <f>+Rendiciones[[#This Row],[Monto Neto ]]+Rendiciones[[#This Row],[Monto Exento ]]+Rendiciones[[#This Row],[Iva]]</f>
        <v>3500</v>
      </c>
      <c r="Q426" s="138"/>
      <c r="R426" s="20"/>
      <c r="S426" s="20">
        <f>Rendiciones[[#This Row],[Total ]]-Rendiciones[[#This Row],[Monto ]]</f>
        <v>3500</v>
      </c>
      <c r="U426" s="72"/>
    </row>
    <row r="427" spans="2:21" x14ac:dyDescent="0.3">
      <c r="B427" s="12" t="s">
        <v>445</v>
      </c>
      <c r="C427" s="12">
        <v>22</v>
      </c>
      <c r="D427" s="138">
        <v>46223</v>
      </c>
      <c r="E427" s="12" t="s">
        <v>545</v>
      </c>
      <c r="F427" s="11" t="str">
        <f>IF(Rendiciones[[#This Row],[Fecha ]]&lt;&gt;"",TEXT(Rendiciones[[#This Row],[Fecha ]],"MMMM"),"")</f>
        <v>julio</v>
      </c>
      <c r="G427" s="11" t="s">
        <v>428</v>
      </c>
      <c r="H427" s="12" t="s">
        <v>5</v>
      </c>
      <c r="I427" s="12" t="s">
        <v>52</v>
      </c>
      <c r="L427" s="20"/>
      <c r="M427" s="20">
        <v>19309</v>
      </c>
      <c r="N427" s="20">
        <f>Rendiciones[[#This Row],[Monto Neto ]]*19%</f>
        <v>0</v>
      </c>
      <c r="O427" s="6">
        <f>+Rendiciones[[#This Row],[Monto Neto ]]+Rendiciones[[#This Row],[Monto Exento ]]+Rendiciones[[#This Row],[Iva]]</f>
        <v>19309</v>
      </c>
      <c r="P427" t="s">
        <v>89</v>
      </c>
      <c r="Q427" s="138">
        <v>46223</v>
      </c>
      <c r="R427" s="20">
        <v>101608.64</v>
      </c>
      <c r="S427" s="20">
        <f>Rendiciones[[#This Row],[Total ]]-Rendiciones[[#This Row],[Monto ]]</f>
        <v>-82299.64</v>
      </c>
      <c r="U427" s="72"/>
    </row>
    <row r="428" spans="2:21" x14ac:dyDescent="0.3">
      <c r="B428" s="12" t="s">
        <v>100</v>
      </c>
      <c r="C428" s="12">
        <v>11</v>
      </c>
      <c r="D428" s="138">
        <v>46216</v>
      </c>
      <c r="E428" s="12" t="s">
        <v>528</v>
      </c>
      <c r="F428" s="11" t="str">
        <f>IF(Rendiciones[[#This Row],[Fecha ]]&lt;&gt;"",TEXT(Rendiciones[[#This Row],[Fecha ]],"MMMM"),"")</f>
        <v>julio</v>
      </c>
      <c r="G428" s="11" t="s">
        <v>428</v>
      </c>
      <c r="H428" s="12" t="s">
        <v>8</v>
      </c>
      <c r="I428" s="12" t="s">
        <v>40</v>
      </c>
      <c r="K428" s="1" t="s">
        <v>81</v>
      </c>
      <c r="L428" s="20">
        <v>100883</v>
      </c>
      <c r="M428" s="20">
        <v>950</v>
      </c>
      <c r="N428" s="20">
        <f>Rendiciones[[#This Row],[Monto Neto ]]*19%</f>
        <v>19167.77</v>
      </c>
      <c r="O428" s="6">
        <f>+Rendiciones[[#This Row],[Monto Neto ]]+Rendiciones[[#This Row],[Monto Exento ]]+Rendiciones[[#This Row],[Iva]]</f>
        <v>121000.77</v>
      </c>
      <c r="Q428" s="138"/>
      <c r="R428" s="20"/>
      <c r="S428" s="20">
        <f>Rendiciones[[#This Row],[Total ]]-Rendiciones[[#This Row],[Monto ]]</f>
        <v>121000.77</v>
      </c>
      <c r="U428" s="72"/>
    </row>
    <row r="429" spans="2:21" x14ac:dyDescent="0.3">
      <c r="B429" s="12" t="s">
        <v>519</v>
      </c>
      <c r="C429" s="12">
        <v>14</v>
      </c>
      <c r="D429" s="138">
        <v>46220</v>
      </c>
      <c r="E429" s="12" t="s">
        <v>532</v>
      </c>
      <c r="F429" s="11" t="str">
        <f>IF(Rendiciones[[#This Row],[Fecha ]]&lt;&gt;"",TEXT(Rendiciones[[#This Row],[Fecha ]],"MMMM"),"")</f>
        <v>julio</v>
      </c>
      <c r="G429" s="11" t="s">
        <v>428</v>
      </c>
      <c r="H429" s="12" t="s">
        <v>6</v>
      </c>
      <c r="I429" s="12" t="s">
        <v>28</v>
      </c>
      <c r="K429" s="1" t="s">
        <v>81</v>
      </c>
      <c r="L429" s="20">
        <v>40873</v>
      </c>
      <c r="M429" s="20">
        <v>25820</v>
      </c>
      <c r="N429" s="20">
        <f>Rendiciones[[#This Row],[Monto Neto ]]*19%</f>
        <v>7765.87</v>
      </c>
      <c r="O429" s="6">
        <f>+Rendiciones[[#This Row],[Monto Neto ]]+Rendiciones[[#This Row],[Monto Exento ]]+Rendiciones[[#This Row],[Iva]]</f>
        <v>74458.87</v>
      </c>
      <c r="Q429" s="138"/>
      <c r="R429" s="20"/>
      <c r="S429" s="20">
        <f>Rendiciones[[#This Row],[Total ]]-Rendiciones[[#This Row],[Monto ]]</f>
        <v>74458.87</v>
      </c>
      <c r="U429" s="72"/>
    </row>
    <row r="430" spans="2:21" x14ac:dyDescent="0.3">
      <c r="B430" s="12" t="s">
        <v>519</v>
      </c>
      <c r="C430" s="12">
        <v>14</v>
      </c>
      <c r="D430" s="138">
        <v>46220</v>
      </c>
      <c r="E430" s="12" t="s">
        <v>532</v>
      </c>
      <c r="F430" s="11" t="str">
        <f>IF(Rendiciones[[#This Row],[Fecha ]]&lt;&gt;"",TEXT(Rendiciones[[#This Row],[Fecha ]],"MMMM"),"")</f>
        <v>julio</v>
      </c>
      <c r="G430" s="11" t="s">
        <v>428</v>
      </c>
      <c r="H430" s="12" t="s">
        <v>6</v>
      </c>
      <c r="I430" s="12" t="s">
        <v>28</v>
      </c>
      <c r="K430" s="1" t="s">
        <v>81</v>
      </c>
      <c r="L430" s="20">
        <v>16531</v>
      </c>
      <c r="M430" s="20">
        <v>10328</v>
      </c>
      <c r="N430" s="20">
        <f>Rendiciones[[#This Row],[Monto Neto ]]*19%</f>
        <v>3140.89</v>
      </c>
      <c r="O430" s="6">
        <f>+Rendiciones[[#This Row],[Monto Neto ]]+Rendiciones[[#This Row],[Monto Exento ]]+Rendiciones[[#This Row],[Iva]]</f>
        <v>29999.89</v>
      </c>
      <c r="Q430" s="138"/>
      <c r="R430" s="20"/>
      <c r="S430" s="20">
        <f>Rendiciones[[#This Row],[Total ]]-Rendiciones[[#This Row],[Monto ]]</f>
        <v>29999.89</v>
      </c>
      <c r="U430" s="72"/>
    </row>
    <row r="431" spans="2:21" x14ac:dyDescent="0.3">
      <c r="B431" s="12" t="s">
        <v>519</v>
      </c>
      <c r="C431" s="12">
        <v>14</v>
      </c>
      <c r="D431" s="138">
        <v>46220</v>
      </c>
      <c r="E431" s="12" t="s">
        <v>532</v>
      </c>
      <c r="F431" s="11" t="str">
        <f>IF(Rendiciones[[#This Row],[Fecha ]]&lt;&gt;"",TEXT(Rendiciones[[#This Row],[Fecha ]],"MMMM"),"")</f>
        <v>julio</v>
      </c>
      <c r="G431" s="11" t="s">
        <v>428</v>
      </c>
      <c r="H431" s="12" t="s">
        <v>6</v>
      </c>
      <c r="I431" s="12" t="s">
        <v>28</v>
      </c>
      <c r="K431" s="1" t="s">
        <v>81</v>
      </c>
      <c r="L431" s="20">
        <v>41118</v>
      </c>
      <c r="M431" s="20">
        <v>19927</v>
      </c>
      <c r="N431" s="20">
        <f>Rendiciones[[#This Row],[Monto Neto ]]*19%</f>
        <v>7812.42</v>
      </c>
      <c r="O431" s="6">
        <f>+Rendiciones[[#This Row],[Monto Neto ]]+Rendiciones[[#This Row],[Monto Exento ]]+Rendiciones[[#This Row],[Iva]]</f>
        <v>68857.42</v>
      </c>
      <c r="Q431" s="138"/>
      <c r="R431" s="20"/>
      <c r="S431" s="20">
        <f>Rendiciones[[#This Row],[Total ]]-Rendiciones[[#This Row],[Monto ]]</f>
        <v>68857.42</v>
      </c>
      <c r="U431" s="72"/>
    </row>
    <row r="432" spans="2:21" x14ac:dyDescent="0.3">
      <c r="B432" s="12" t="s">
        <v>519</v>
      </c>
      <c r="C432" s="12">
        <v>14</v>
      </c>
      <c r="D432" s="138">
        <v>46220</v>
      </c>
      <c r="E432" s="12" t="s">
        <v>532</v>
      </c>
      <c r="F432" s="11" t="str">
        <f>IF(Rendiciones[[#This Row],[Fecha ]]&lt;&gt;"",TEXT(Rendiciones[[#This Row],[Fecha ]],"MMMM"),"")</f>
        <v>julio</v>
      </c>
      <c r="G432" s="11" t="s">
        <v>428</v>
      </c>
      <c r="H432" s="12" t="s">
        <v>6</v>
      </c>
      <c r="I432" s="12" t="s">
        <v>28</v>
      </c>
      <c r="K432" s="1" t="s">
        <v>81</v>
      </c>
      <c r="L432" s="20">
        <v>29857</v>
      </c>
      <c r="M432" s="20">
        <v>14470</v>
      </c>
      <c r="N432" s="20">
        <f>Rendiciones[[#This Row],[Monto Neto ]]*19%</f>
        <v>5672.83</v>
      </c>
      <c r="O432" s="6">
        <f>+Rendiciones[[#This Row],[Monto Neto ]]+Rendiciones[[#This Row],[Monto Exento ]]+Rendiciones[[#This Row],[Iva]]</f>
        <v>49999.83</v>
      </c>
      <c r="Q432" s="138"/>
      <c r="R432" s="20"/>
      <c r="S432" s="20">
        <f>Rendiciones[[#This Row],[Total ]]-Rendiciones[[#This Row],[Monto ]]</f>
        <v>49999.83</v>
      </c>
      <c r="U432" s="72"/>
    </row>
    <row r="433" spans="2:21" x14ac:dyDescent="0.3">
      <c r="B433" s="12" t="s">
        <v>519</v>
      </c>
      <c r="C433" s="12">
        <v>14</v>
      </c>
      <c r="D433" s="138">
        <v>46220</v>
      </c>
      <c r="E433" s="12" t="s">
        <v>532</v>
      </c>
      <c r="F433" s="11" t="str">
        <f>IF(Rendiciones[[#This Row],[Fecha ]]&lt;&gt;"",TEXT(Rendiciones[[#This Row],[Fecha ]],"MMMM"),"")</f>
        <v>julio</v>
      </c>
      <c r="G433" s="11" t="s">
        <v>428</v>
      </c>
      <c r="H433" s="12" t="s">
        <v>6</v>
      </c>
      <c r="I433" s="12" t="s">
        <v>429</v>
      </c>
      <c r="L433" s="20"/>
      <c r="M433" s="20">
        <f>13728+10700+18678</f>
        <v>43106</v>
      </c>
      <c r="N433" s="20">
        <f>Rendiciones[[#This Row],[Monto Neto ]]*19%</f>
        <v>0</v>
      </c>
      <c r="O433" s="6">
        <f>+Rendiciones[[#This Row],[Monto Neto ]]+Rendiciones[[#This Row],[Monto Exento ]]+Rendiciones[[#This Row],[Iva]]</f>
        <v>43106</v>
      </c>
      <c r="Q433" s="138"/>
      <c r="R433" s="20"/>
      <c r="S433" s="20">
        <f>Rendiciones[[#This Row],[Total ]]-Rendiciones[[#This Row],[Monto ]]</f>
        <v>43106</v>
      </c>
      <c r="U433" s="72"/>
    </row>
    <row r="434" spans="2:21" x14ac:dyDescent="0.3">
      <c r="B434" s="12" t="s">
        <v>519</v>
      </c>
      <c r="C434" s="12">
        <v>14</v>
      </c>
      <c r="D434" s="138">
        <v>46220</v>
      </c>
      <c r="E434" s="12" t="s">
        <v>532</v>
      </c>
      <c r="F434" s="11" t="str">
        <f>IF(Rendiciones[[#This Row],[Fecha ]]&lt;&gt;"",TEXT(Rendiciones[[#This Row],[Fecha ]],"MMMM"),"")</f>
        <v>julio</v>
      </c>
      <c r="G434" s="11" t="s">
        <v>428</v>
      </c>
      <c r="H434" s="12" t="s">
        <v>6</v>
      </c>
      <c r="I434" s="12" t="s">
        <v>39</v>
      </c>
      <c r="L434" s="20"/>
      <c r="M434" s="20">
        <f>2200+3100+1400+4400+3050+7650+2000+5500+1160+3800+1000+920+5950+7660+4600+3800</f>
        <v>58190</v>
      </c>
      <c r="N434" s="20">
        <f>Rendiciones[[#This Row],[Monto Neto ]]*19%</f>
        <v>0</v>
      </c>
      <c r="O434" s="6">
        <f>+Rendiciones[[#This Row],[Monto Neto ]]+Rendiciones[[#This Row],[Monto Exento ]]+Rendiciones[[#This Row],[Iva]]</f>
        <v>58190</v>
      </c>
      <c r="Q434" s="138"/>
      <c r="R434" s="20"/>
      <c r="S434" s="20">
        <f>Rendiciones[[#This Row],[Total ]]-Rendiciones[[#This Row],[Monto ]]</f>
        <v>58190</v>
      </c>
      <c r="U434" s="72"/>
    </row>
    <row r="435" spans="2:21" x14ac:dyDescent="0.3">
      <c r="B435" s="12" t="s">
        <v>519</v>
      </c>
      <c r="C435" s="12">
        <v>14</v>
      </c>
      <c r="D435" s="138">
        <v>46220</v>
      </c>
      <c r="E435" s="12" t="s">
        <v>532</v>
      </c>
      <c r="F435" s="11" t="str">
        <f>IF(Rendiciones[[#This Row],[Fecha ]]&lt;&gt;"",TEXT(Rendiciones[[#This Row],[Fecha ]],"MMMM"),"")</f>
        <v>julio</v>
      </c>
      <c r="G435" s="11" t="s">
        <v>428</v>
      </c>
      <c r="H435" s="12" t="s">
        <v>6</v>
      </c>
      <c r="I435" s="12" t="s">
        <v>52</v>
      </c>
      <c r="L435" s="20"/>
      <c r="M435" s="20">
        <v>6280</v>
      </c>
      <c r="N435" s="20">
        <f>Rendiciones[[#This Row],[Monto Neto ]]*19%</f>
        <v>0</v>
      </c>
      <c r="O435" s="6">
        <f>+Rendiciones[[#This Row],[Monto Neto ]]+Rendiciones[[#This Row],[Monto Exento ]]+Rendiciones[[#This Row],[Iva]]</f>
        <v>6280</v>
      </c>
      <c r="P435" t="s">
        <v>89</v>
      </c>
      <c r="Q435" s="138">
        <v>46226</v>
      </c>
      <c r="R435" s="20">
        <v>195921</v>
      </c>
      <c r="S435" s="20">
        <f>Rendiciones[[#This Row],[Total ]]-Rendiciones[[#This Row],[Monto ]]</f>
        <v>-189641</v>
      </c>
      <c r="U435" s="72"/>
    </row>
    <row r="436" spans="2:21" x14ac:dyDescent="0.3">
      <c r="B436" s="12" t="s">
        <v>435</v>
      </c>
      <c r="C436" s="12">
        <v>12</v>
      </c>
      <c r="D436" s="138">
        <v>46217</v>
      </c>
      <c r="E436" s="12" t="s">
        <v>532</v>
      </c>
      <c r="F436" s="11" t="str">
        <f>IF(Rendiciones[[#This Row],[Fecha ]]&lt;&gt;"",TEXT(Rendiciones[[#This Row],[Fecha ]],"MMMM"),"")</f>
        <v>julio</v>
      </c>
      <c r="G436" s="11" t="s">
        <v>428</v>
      </c>
      <c r="H436" s="12" t="s">
        <v>6</v>
      </c>
      <c r="I436" s="12" t="s">
        <v>40</v>
      </c>
      <c r="L436" s="20"/>
      <c r="M436" s="20">
        <v>23361</v>
      </c>
      <c r="N436" s="20">
        <f>Rendiciones[[#This Row],[Monto Neto ]]*19%</f>
        <v>0</v>
      </c>
      <c r="O436" s="6">
        <f>+Rendiciones[[#This Row],[Monto Neto ]]+Rendiciones[[#This Row],[Monto Exento ]]+Rendiciones[[#This Row],[Iva]]</f>
        <v>23361</v>
      </c>
      <c r="Q436" s="138"/>
      <c r="R436" s="20"/>
      <c r="S436" s="20">
        <f>Rendiciones[[#This Row],[Total ]]-Rendiciones[[#This Row],[Monto ]]</f>
        <v>23361</v>
      </c>
      <c r="U436" s="72"/>
    </row>
    <row r="437" spans="2:21" x14ac:dyDescent="0.3">
      <c r="B437" s="12" t="s">
        <v>435</v>
      </c>
      <c r="C437" s="12">
        <v>12</v>
      </c>
      <c r="D437" s="138">
        <v>46217</v>
      </c>
      <c r="E437" s="12" t="s">
        <v>532</v>
      </c>
      <c r="F437" s="11" t="str">
        <f>IF(Rendiciones[[#This Row],[Fecha ]]&lt;&gt;"",TEXT(Rendiciones[[#This Row],[Fecha ]],"MMMM"),"")</f>
        <v>julio</v>
      </c>
      <c r="G437" s="11" t="s">
        <v>428</v>
      </c>
      <c r="H437" s="12" t="s">
        <v>9</v>
      </c>
      <c r="I437" s="12" t="s">
        <v>66</v>
      </c>
      <c r="K437" s="1" t="s">
        <v>81</v>
      </c>
      <c r="L437" s="20"/>
      <c r="M437" s="20">
        <v>42755</v>
      </c>
      <c r="N437" s="20">
        <f>Rendiciones[[#This Row],[Monto Neto ]]*19%</f>
        <v>0</v>
      </c>
      <c r="O437" s="6">
        <f>+Rendiciones[[#This Row],[Monto Neto ]]+Rendiciones[[#This Row],[Monto Exento ]]+Rendiciones[[#This Row],[Iva]]</f>
        <v>42755</v>
      </c>
      <c r="P437" t="s">
        <v>89</v>
      </c>
      <c r="Q437" s="138">
        <v>46226</v>
      </c>
      <c r="R437" s="20">
        <v>66116</v>
      </c>
      <c r="S437" s="20">
        <f>Rendiciones[[#This Row],[Total ]]-Rendiciones[[#This Row],[Monto ]]</f>
        <v>-23361</v>
      </c>
      <c r="U437" s="72"/>
    </row>
    <row r="438" spans="2:21" x14ac:dyDescent="0.3">
      <c r="B438" s="12" t="s">
        <v>499</v>
      </c>
      <c r="C438" s="12">
        <v>3</v>
      </c>
      <c r="D438" s="138">
        <v>46225</v>
      </c>
      <c r="E438" s="12" t="s">
        <v>545</v>
      </c>
      <c r="F438" s="11" t="str">
        <f>IF(Rendiciones[[#This Row],[Fecha ]]&lt;&gt;"",TEXT(Rendiciones[[#This Row],[Fecha ]],"MMMM"),"")</f>
        <v>julio</v>
      </c>
      <c r="G438" s="11" t="s">
        <v>428</v>
      </c>
      <c r="H438" s="12" t="s">
        <v>5</v>
      </c>
      <c r="I438" s="12" t="s">
        <v>26</v>
      </c>
      <c r="J438" s="1" t="s">
        <v>534</v>
      </c>
      <c r="K438" s="1" t="s">
        <v>81</v>
      </c>
      <c r="L438" s="20">
        <v>88994</v>
      </c>
      <c r="M438" s="20"/>
      <c r="N438" s="20">
        <f>Rendiciones[[#This Row],[Monto Neto ]]*19%</f>
        <v>16908.86</v>
      </c>
      <c r="O438" s="6">
        <f>+Rendiciones[[#This Row],[Monto Neto ]]+Rendiciones[[#This Row],[Monto Exento ]]+Rendiciones[[#This Row],[Iva]]</f>
        <v>105902.86</v>
      </c>
      <c r="P438" t="s">
        <v>89</v>
      </c>
      <c r="Q438" s="138">
        <v>46226</v>
      </c>
      <c r="R438" s="20">
        <v>105902.86</v>
      </c>
      <c r="S438" s="20">
        <f>Rendiciones[[#This Row],[Total ]]-Rendiciones[[#This Row],[Monto ]]</f>
        <v>0</v>
      </c>
      <c r="U438" s="72"/>
    </row>
    <row r="439" spans="2:21" x14ac:dyDescent="0.3">
      <c r="B439" s="12" t="s">
        <v>467</v>
      </c>
      <c r="C439" s="12">
        <v>6</v>
      </c>
      <c r="D439" s="138">
        <v>46174</v>
      </c>
      <c r="E439" s="12" t="s">
        <v>553</v>
      </c>
      <c r="F439" s="11" t="str">
        <f>IF(Rendiciones[[#This Row],[Fecha ]]&lt;&gt;"",TEXT(Rendiciones[[#This Row],[Fecha ]],"MMMM"),"")</f>
        <v>junio</v>
      </c>
      <c r="G439" s="11" t="s">
        <v>428</v>
      </c>
      <c r="H439" s="12" t="s">
        <v>6</v>
      </c>
      <c r="I439" s="12" t="s">
        <v>28</v>
      </c>
      <c r="K439" s="1" t="s">
        <v>81</v>
      </c>
      <c r="L439" s="20">
        <v>33324</v>
      </c>
      <c r="M439" s="20">
        <v>21532</v>
      </c>
      <c r="N439" s="20">
        <f>Rendiciones[[#This Row],[Monto Neto ]]*19%</f>
        <v>6331.56</v>
      </c>
      <c r="O439" s="6">
        <f>+Rendiciones[[#This Row],[Monto Neto ]]+Rendiciones[[#This Row],[Monto Exento ]]+Rendiciones[[#This Row],[Iva]]</f>
        <v>61187.56</v>
      </c>
      <c r="Q439" s="138"/>
      <c r="R439" s="20"/>
      <c r="S439" s="20"/>
      <c r="U439" s="72"/>
    </row>
    <row r="440" spans="2:21" x14ac:dyDescent="0.3">
      <c r="B440" s="12" t="s">
        <v>519</v>
      </c>
      <c r="C440" s="12">
        <v>15</v>
      </c>
      <c r="D440" s="138">
        <v>46225</v>
      </c>
      <c r="E440" s="12" t="s">
        <v>545</v>
      </c>
      <c r="F440" s="11" t="str">
        <f>IF(Rendiciones[[#This Row],[Fecha ]]&lt;&gt;"",TEXT(Rendiciones[[#This Row],[Fecha ]],"MMMM"),"")</f>
        <v>julio</v>
      </c>
      <c r="G440" s="11" t="s">
        <v>428</v>
      </c>
      <c r="H440" s="12" t="s">
        <v>6</v>
      </c>
      <c r="I440" s="12" t="s">
        <v>429</v>
      </c>
      <c r="K440" s="1" t="s">
        <v>81</v>
      </c>
      <c r="L440" s="20">
        <v>35605</v>
      </c>
      <c r="M440" s="20"/>
      <c r="N440" s="20">
        <f>Rendiciones[[#This Row],[Monto Neto ]]*19%</f>
        <v>6764.95</v>
      </c>
      <c r="O440" s="6">
        <f>+Rendiciones[[#This Row],[Monto Neto ]]+Rendiciones[[#This Row],[Monto Exento ]]+Rendiciones[[#This Row],[Iva]]</f>
        <v>42369.95</v>
      </c>
      <c r="Q440" s="138"/>
      <c r="R440" s="20"/>
      <c r="S440" s="20">
        <f>Rendiciones[[#This Row],[Total ]]-Rendiciones[[#This Row],[Monto ]]</f>
        <v>42369.95</v>
      </c>
      <c r="U440" s="72"/>
    </row>
    <row r="441" spans="2:21" x14ac:dyDescent="0.3">
      <c r="B441" s="12" t="s">
        <v>519</v>
      </c>
      <c r="C441" s="12">
        <v>15</v>
      </c>
      <c r="D441" s="138">
        <v>46225</v>
      </c>
      <c r="E441" s="12" t="s">
        <v>545</v>
      </c>
      <c r="F441" s="11" t="str">
        <f>IF(Rendiciones[[#This Row],[Fecha ]]&lt;&gt;"",TEXT(Rendiciones[[#This Row],[Fecha ]],"MMMM"),"")</f>
        <v>julio</v>
      </c>
      <c r="G441" s="11" t="s">
        <v>428</v>
      </c>
      <c r="H441" s="12" t="s">
        <v>6</v>
      </c>
      <c r="I441" s="12" t="s">
        <v>28</v>
      </c>
      <c r="K441" s="1" t="s">
        <v>81</v>
      </c>
      <c r="L441" s="20">
        <v>31356</v>
      </c>
      <c r="M441" s="20">
        <v>12686</v>
      </c>
      <c r="N441" s="20">
        <f>Rendiciones[[#This Row],[Monto Neto ]]*19%</f>
        <v>5957.64</v>
      </c>
      <c r="O441" s="6">
        <f>+Rendiciones[[#This Row],[Monto Neto ]]+Rendiciones[[#This Row],[Monto Exento ]]+Rendiciones[[#This Row],[Iva]]</f>
        <v>49999.64</v>
      </c>
      <c r="Q441" s="138"/>
      <c r="R441" s="20"/>
      <c r="S441" s="20">
        <f>Rendiciones[[#This Row],[Total ]]-Rendiciones[[#This Row],[Monto ]]</f>
        <v>49999.64</v>
      </c>
      <c r="U441" s="72"/>
    </row>
    <row r="442" spans="2:21" x14ac:dyDescent="0.3">
      <c r="B442" s="12" t="s">
        <v>519</v>
      </c>
      <c r="C442" s="12">
        <v>15</v>
      </c>
      <c r="D442" s="138">
        <v>46225</v>
      </c>
      <c r="E442" s="12" t="s">
        <v>545</v>
      </c>
      <c r="F442" s="11" t="str">
        <f>IF(Rendiciones[[#This Row],[Fecha ]]&lt;&gt;"",TEXT(Rendiciones[[#This Row],[Fecha ]],"MMMM"),"")</f>
        <v>julio</v>
      </c>
      <c r="G442" s="11" t="s">
        <v>428</v>
      </c>
      <c r="H442" s="12" t="s">
        <v>6</v>
      </c>
      <c r="I442" s="12" t="s">
        <v>429</v>
      </c>
      <c r="L442" s="20"/>
      <c r="M442" s="20">
        <v>7150</v>
      </c>
      <c r="N442" s="20">
        <f>Rendiciones[[#This Row],[Monto Neto ]]*19%</f>
        <v>0</v>
      </c>
      <c r="O442" s="6">
        <f>+Rendiciones[[#This Row],[Monto Neto ]]+Rendiciones[[#This Row],[Monto Exento ]]+Rendiciones[[#This Row],[Iva]]</f>
        <v>7150</v>
      </c>
      <c r="Q442" s="138"/>
      <c r="R442" s="20"/>
      <c r="S442" s="20">
        <f>Rendiciones[[#This Row],[Total ]]-Rendiciones[[#This Row],[Monto ]]</f>
        <v>7150</v>
      </c>
      <c r="U442" s="72"/>
    </row>
    <row r="443" spans="2:21" x14ac:dyDescent="0.3">
      <c r="B443" s="12" t="s">
        <v>519</v>
      </c>
      <c r="C443" s="12">
        <v>15</v>
      </c>
      <c r="D443" s="138">
        <v>46225</v>
      </c>
      <c r="E443" s="12" t="s">
        <v>545</v>
      </c>
      <c r="F443" s="11" t="str">
        <f>IF(Rendiciones[[#This Row],[Fecha ]]&lt;&gt;"",TEXT(Rendiciones[[#This Row],[Fecha ]],"MMMM"),"")</f>
        <v>julio</v>
      </c>
      <c r="G443" s="11" t="s">
        <v>428</v>
      </c>
      <c r="H443" s="12" t="s">
        <v>6</v>
      </c>
      <c r="I443" s="12" t="s">
        <v>39</v>
      </c>
      <c r="L443" s="20"/>
      <c r="M443" s="20">
        <f>1800+1600+450+950+2822</f>
        <v>7622</v>
      </c>
      <c r="N443" s="20">
        <f>Rendiciones[[#This Row],[Monto Neto ]]*19%</f>
        <v>0</v>
      </c>
      <c r="O443" s="6">
        <f>+Rendiciones[[#This Row],[Monto Neto ]]+Rendiciones[[#This Row],[Monto Exento ]]+Rendiciones[[#This Row],[Iva]]</f>
        <v>7622</v>
      </c>
      <c r="P443" t="s">
        <v>89</v>
      </c>
      <c r="Q443" s="138">
        <v>46226</v>
      </c>
      <c r="R443" s="20">
        <v>107141.65</v>
      </c>
      <c r="S443" s="20">
        <f>Rendiciones[[#This Row],[Total ]]-Rendiciones[[#This Row],[Monto ]]</f>
        <v>-99519.65</v>
      </c>
      <c r="U443" s="72"/>
    </row>
    <row r="444" spans="2:21" x14ac:dyDescent="0.3">
      <c r="B444" s="12" t="s">
        <v>566</v>
      </c>
      <c r="C444" s="12">
        <v>4</v>
      </c>
      <c r="D444" s="138">
        <v>46216</v>
      </c>
      <c r="E444" s="12" t="s">
        <v>532</v>
      </c>
      <c r="F444" s="11" t="str">
        <f>IF(Rendiciones[[#This Row],[Fecha ]]&lt;&gt;"",TEXT(Rendiciones[[#This Row],[Fecha ]],"MMMM"),"")</f>
        <v>julio</v>
      </c>
      <c r="G444" s="11" t="s">
        <v>428</v>
      </c>
      <c r="H444" s="12" t="s">
        <v>6</v>
      </c>
      <c r="I444" s="12" t="s">
        <v>60</v>
      </c>
      <c r="L444" s="20"/>
      <c r="M444" s="20">
        <f>4000+4100+5000+5000+5000</f>
        <v>23100</v>
      </c>
      <c r="N444" s="20">
        <f>Rendiciones[[#This Row],[Monto Neto ]]*19%</f>
        <v>0</v>
      </c>
      <c r="O444" s="6">
        <f>+Rendiciones[[#This Row],[Monto Neto ]]+Rendiciones[[#This Row],[Monto Exento ]]+Rendiciones[[#This Row],[Iva]]</f>
        <v>23100</v>
      </c>
      <c r="Q444" s="138"/>
      <c r="R444" s="20"/>
      <c r="S444" s="20">
        <f>Rendiciones[[#This Row],[Total ]]-Rendiciones[[#This Row],[Monto ]]</f>
        <v>23100</v>
      </c>
      <c r="U444" s="72"/>
    </row>
    <row r="445" spans="2:21" x14ac:dyDescent="0.3">
      <c r="B445" s="12" t="s">
        <v>566</v>
      </c>
      <c r="C445" s="12">
        <v>4</v>
      </c>
      <c r="D445" s="138">
        <v>46216</v>
      </c>
      <c r="E445" s="12" t="s">
        <v>532</v>
      </c>
      <c r="F445" s="11" t="str">
        <f>IF(Rendiciones[[#This Row],[Fecha ]]&lt;&gt;"",TEXT(Rendiciones[[#This Row],[Fecha ]],"MMMM"),"")</f>
        <v>julio</v>
      </c>
      <c r="G445" s="11" t="s">
        <v>428</v>
      </c>
      <c r="H445" s="12" t="s">
        <v>6</v>
      </c>
      <c r="I445" s="12" t="s">
        <v>429</v>
      </c>
      <c r="L445" s="20"/>
      <c r="M445" s="20">
        <f>5990+4950</f>
        <v>10940</v>
      </c>
      <c r="N445" s="20">
        <f>Rendiciones[[#This Row],[Monto Neto ]]*19%</f>
        <v>0</v>
      </c>
      <c r="O445" s="6">
        <f>+Rendiciones[[#This Row],[Monto Neto ]]+Rendiciones[[#This Row],[Monto Exento ]]+Rendiciones[[#This Row],[Iva]]</f>
        <v>10940</v>
      </c>
      <c r="Q445" s="138"/>
      <c r="R445" s="20"/>
      <c r="S445" s="20">
        <f>Rendiciones[[#This Row],[Total ]]-Rendiciones[[#This Row],[Monto ]]</f>
        <v>10940</v>
      </c>
      <c r="U445" s="72"/>
    </row>
    <row r="446" spans="2:21" x14ac:dyDescent="0.3">
      <c r="B446" s="12" t="s">
        <v>566</v>
      </c>
      <c r="D446" s="138">
        <v>46223</v>
      </c>
      <c r="F446" s="11" t="str">
        <f>IF(Rendiciones[[#This Row],[Fecha ]]&lt;&gt;"",TEXT(Rendiciones[[#This Row],[Fecha ]],"MMMM"),"")</f>
        <v>julio</v>
      </c>
      <c r="G446" s="11"/>
      <c r="L446" s="20"/>
      <c r="M446" s="20"/>
      <c r="N446" s="20">
        <f>Rendiciones[[#This Row],[Monto Neto ]]*19%</f>
        <v>0</v>
      </c>
      <c r="O446" s="6">
        <f>+Rendiciones[[#This Row],[Monto Neto ]]+Rendiciones[[#This Row],[Monto Exento ]]+Rendiciones[[#This Row],[Iva]]</f>
        <v>0</v>
      </c>
      <c r="P446" t="s">
        <v>89</v>
      </c>
      <c r="Q446" s="138">
        <v>46223</v>
      </c>
      <c r="R446" s="20">
        <v>125000</v>
      </c>
      <c r="S446" s="20">
        <f>Rendiciones[[#This Row],[Total ]]-Rendiciones[[#This Row],[Monto ]]</f>
        <v>-125000</v>
      </c>
      <c r="U446" s="72"/>
    </row>
    <row r="447" spans="2:21" x14ac:dyDescent="0.3">
      <c r="B447" s="12" t="s">
        <v>20</v>
      </c>
      <c r="C447" s="12">
        <v>18</v>
      </c>
      <c r="D447" s="138">
        <v>46225</v>
      </c>
      <c r="E447" s="12" t="s">
        <v>545</v>
      </c>
      <c r="F447" s="11" t="str">
        <f>IF(Rendiciones[[#This Row],[Fecha ]]&lt;&gt;"",TEXT(Rendiciones[[#This Row],[Fecha ]],"MMMM"),"")</f>
        <v>julio</v>
      </c>
      <c r="G447" s="11" t="s">
        <v>428</v>
      </c>
      <c r="H447" s="12" t="s">
        <v>6</v>
      </c>
      <c r="I447" s="12" t="s">
        <v>59</v>
      </c>
      <c r="L447" s="20"/>
      <c r="M447" s="20">
        <f>4600+5992+6300+8081</f>
        <v>24973</v>
      </c>
      <c r="N447" s="20">
        <f>Rendiciones[[#This Row],[Monto Neto ]]*19%</f>
        <v>0</v>
      </c>
      <c r="O447" s="6">
        <f>+Rendiciones[[#This Row],[Monto Neto ]]+Rendiciones[[#This Row],[Monto Exento ]]+Rendiciones[[#This Row],[Iva]]</f>
        <v>24973</v>
      </c>
      <c r="Q447" s="138"/>
      <c r="R447" s="20"/>
      <c r="S447" s="20">
        <f>Rendiciones[[#This Row],[Total ]]-Rendiciones[[#This Row],[Monto ]]</f>
        <v>24973</v>
      </c>
      <c r="U447" s="72"/>
    </row>
    <row r="448" spans="2:21" x14ac:dyDescent="0.3">
      <c r="B448" s="12" t="s">
        <v>20</v>
      </c>
      <c r="C448" s="12">
        <v>18</v>
      </c>
      <c r="D448" s="138">
        <v>46225</v>
      </c>
      <c r="E448" s="12" t="s">
        <v>545</v>
      </c>
      <c r="F448" s="11" t="str">
        <f>IF(Rendiciones[[#This Row],[Fecha ]]&lt;&gt;"",TEXT(Rendiciones[[#This Row],[Fecha ]],"MMMM"),"")</f>
        <v>julio</v>
      </c>
      <c r="G448" s="11" t="s">
        <v>428</v>
      </c>
      <c r="H448" s="12" t="s">
        <v>6</v>
      </c>
      <c r="I448" s="12" t="s">
        <v>47</v>
      </c>
      <c r="L448" s="20"/>
      <c r="M448" s="20">
        <v>1000</v>
      </c>
      <c r="N448" s="20">
        <f>Rendiciones[[#This Row],[Monto Neto ]]*19%</f>
        <v>0</v>
      </c>
      <c r="O448" s="6">
        <f>+Rendiciones[[#This Row],[Monto Neto ]]+Rendiciones[[#This Row],[Monto Exento ]]+Rendiciones[[#This Row],[Iva]]</f>
        <v>1000</v>
      </c>
      <c r="P448" t="s">
        <v>89</v>
      </c>
      <c r="Q448" s="138">
        <v>46227</v>
      </c>
      <c r="R448" s="20">
        <v>25973</v>
      </c>
      <c r="S448" s="20">
        <f>Rendiciones[[#This Row],[Total ]]-Rendiciones[[#This Row],[Monto ]]</f>
        <v>-24973</v>
      </c>
      <c r="U448" s="72"/>
    </row>
    <row r="449" spans="2:21" x14ac:dyDescent="0.3">
      <c r="B449" s="12" t="s">
        <v>445</v>
      </c>
      <c r="C449" s="12">
        <v>23</v>
      </c>
      <c r="D449" s="138">
        <v>46226</v>
      </c>
      <c r="E449" s="12" t="s">
        <v>567</v>
      </c>
      <c r="F449" s="11" t="str">
        <f>IF(Rendiciones[[#This Row],[Fecha ]]&lt;&gt;"",TEXT(Rendiciones[[#This Row],[Fecha ]],"MMMM"),"")</f>
        <v>julio</v>
      </c>
      <c r="G449" s="11" t="s">
        <v>428</v>
      </c>
      <c r="H449" s="12" t="s">
        <v>6</v>
      </c>
      <c r="I449" s="12" t="s">
        <v>429</v>
      </c>
      <c r="L449" s="20"/>
      <c r="M449" s="20">
        <f>7200+4050+6200</f>
        <v>17450</v>
      </c>
      <c r="N449" s="20">
        <f>Rendiciones[[#This Row],[Monto Neto ]]*19%</f>
        <v>0</v>
      </c>
      <c r="O449" s="6">
        <f>+Rendiciones[[#This Row],[Monto Neto ]]+Rendiciones[[#This Row],[Monto Exento ]]+Rendiciones[[#This Row],[Iva]]</f>
        <v>17450</v>
      </c>
      <c r="Q449" s="138"/>
      <c r="R449" s="20"/>
      <c r="S449" s="20">
        <f>Rendiciones[[#This Row],[Total ]]-Rendiciones[[#This Row],[Monto ]]</f>
        <v>17450</v>
      </c>
      <c r="U449" s="72"/>
    </row>
    <row r="450" spans="2:21" x14ac:dyDescent="0.3">
      <c r="B450" s="12" t="s">
        <v>445</v>
      </c>
      <c r="C450" s="12">
        <v>23</v>
      </c>
      <c r="D450" s="138">
        <v>46226</v>
      </c>
      <c r="E450" s="12" t="s">
        <v>567</v>
      </c>
      <c r="F450" s="11" t="str">
        <f>IF(Rendiciones[[#This Row],[Fecha ]]&lt;&gt;"",TEXT(Rendiciones[[#This Row],[Fecha ]],"MMMM"),"")</f>
        <v>julio</v>
      </c>
      <c r="G450" s="11" t="s">
        <v>428</v>
      </c>
      <c r="H450" s="12" t="s">
        <v>5</v>
      </c>
      <c r="I450" s="12" t="s">
        <v>52</v>
      </c>
      <c r="L450" s="20"/>
      <c r="M450" s="20">
        <v>14303</v>
      </c>
      <c r="N450" s="20">
        <f>Rendiciones[[#This Row],[Monto Neto ]]*19%</f>
        <v>0</v>
      </c>
      <c r="O450" s="6">
        <f>+Rendiciones[[#This Row],[Monto Neto ]]+Rendiciones[[#This Row],[Monto Exento ]]+Rendiciones[[#This Row],[Iva]]</f>
        <v>14303</v>
      </c>
      <c r="Q450" s="138"/>
      <c r="R450" s="20"/>
      <c r="S450" s="20">
        <f>Rendiciones[[#This Row],[Total ]]-Rendiciones[[#This Row],[Monto ]]</f>
        <v>14303</v>
      </c>
      <c r="U450" s="72"/>
    </row>
    <row r="451" spans="2:21" x14ac:dyDescent="0.3">
      <c r="B451" s="12" t="s">
        <v>445</v>
      </c>
      <c r="C451" s="12">
        <v>23</v>
      </c>
      <c r="D451" s="138">
        <v>46226</v>
      </c>
      <c r="E451" s="12" t="s">
        <v>567</v>
      </c>
      <c r="F451" s="11" t="str">
        <f>IF(Rendiciones[[#This Row],[Fecha ]]&lt;&gt;"",TEXT(Rendiciones[[#This Row],[Fecha ]],"MMMM"),"")</f>
        <v>julio</v>
      </c>
      <c r="G451" s="11" t="s">
        <v>428</v>
      </c>
      <c r="H451" s="12" t="s">
        <v>5</v>
      </c>
      <c r="I451" s="12" t="s">
        <v>39</v>
      </c>
      <c r="L451" s="20"/>
      <c r="M451" s="20">
        <v>1500</v>
      </c>
      <c r="N451" s="20">
        <f>Rendiciones[[#This Row],[Monto Neto ]]*19%</f>
        <v>0</v>
      </c>
      <c r="O451" s="6">
        <f>+Rendiciones[[#This Row],[Monto Neto ]]+Rendiciones[[#This Row],[Monto Exento ]]+Rendiciones[[#This Row],[Iva]]</f>
        <v>1500</v>
      </c>
      <c r="Q451" s="138"/>
      <c r="R451" s="20"/>
      <c r="S451" s="20">
        <f>Rendiciones[[#This Row],[Total ]]-Rendiciones[[#This Row],[Monto ]]</f>
        <v>1500</v>
      </c>
      <c r="U451" s="72"/>
    </row>
    <row r="452" spans="2:21" x14ac:dyDescent="0.3">
      <c r="B452" s="12" t="s">
        <v>445</v>
      </c>
      <c r="C452" s="12">
        <v>23</v>
      </c>
      <c r="D452" s="138">
        <v>46226</v>
      </c>
      <c r="E452" s="12" t="s">
        <v>567</v>
      </c>
      <c r="F452" s="11" t="str">
        <f>IF(Rendiciones[[#This Row],[Fecha ]]&lt;&gt;"",TEXT(Rendiciones[[#This Row],[Fecha ]],"MMMM"),"")</f>
        <v>julio</v>
      </c>
      <c r="G452" s="11" t="s">
        <v>428</v>
      </c>
      <c r="H452" s="12" t="s">
        <v>6</v>
      </c>
      <c r="I452" s="12" t="s">
        <v>28</v>
      </c>
      <c r="L452" s="20">
        <v>40529</v>
      </c>
      <c r="M452" s="20">
        <f>4516-2746</f>
        <v>1770</v>
      </c>
      <c r="N452" s="20">
        <f>Rendiciones[[#This Row],[Monto Neto ]]*19%</f>
        <v>7700.51</v>
      </c>
      <c r="O452" s="6">
        <f>+Rendiciones[[#This Row],[Monto Neto ]]+Rendiciones[[#This Row],[Monto Exento ]]+Rendiciones[[#This Row],[Iva]]</f>
        <v>49999.51</v>
      </c>
      <c r="P452" t="s">
        <v>477</v>
      </c>
      <c r="Q452" s="138">
        <v>46227</v>
      </c>
      <c r="R452" s="20">
        <v>83253</v>
      </c>
      <c r="S452" s="20">
        <f>Rendiciones[[#This Row],[Total ]]-Rendiciones[[#This Row],[Monto ]]</f>
        <v>-33253.49</v>
      </c>
      <c r="U452" s="72"/>
    </row>
    <row r="453" spans="2:21" x14ac:dyDescent="0.3">
      <c r="B453" s="12" t="s">
        <v>557</v>
      </c>
      <c r="C453" s="12">
        <v>2</v>
      </c>
      <c r="D453" s="138">
        <v>46216</v>
      </c>
      <c r="E453" s="12" t="s">
        <v>572</v>
      </c>
      <c r="F453" s="11" t="str">
        <f>IF(Rendiciones[[#This Row],[Fecha ]]&lt;&gt;"",TEXT(Rendiciones[[#This Row],[Fecha ]],"MMMM"),"")</f>
        <v>julio</v>
      </c>
      <c r="G453" s="11" t="s">
        <v>559</v>
      </c>
      <c r="H453" s="12" t="s">
        <v>6</v>
      </c>
      <c r="I453" s="12" t="s">
        <v>429</v>
      </c>
      <c r="L453" s="20"/>
      <c r="M453" s="20">
        <f>74277+32664</f>
        <v>106941</v>
      </c>
      <c r="N453" s="20">
        <f>Rendiciones[[#This Row],[Monto Neto ]]*19%</f>
        <v>0</v>
      </c>
      <c r="O453" s="6">
        <f>+Rendiciones[[#This Row],[Monto Neto ]]+Rendiciones[[#This Row],[Monto Exento ]]+Rendiciones[[#This Row],[Iva]]</f>
        <v>106941</v>
      </c>
      <c r="Q453" s="138"/>
      <c r="R453" s="20"/>
      <c r="S453" s="20">
        <f>Rendiciones[[#This Row],[Total ]]-Rendiciones[[#This Row],[Monto ]]</f>
        <v>106941</v>
      </c>
      <c r="U453" s="72"/>
    </row>
    <row r="454" spans="2:21" x14ac:dyDescent="0.3">
      <c r="B454" s="12" t="s">
        <v>557</v>
      </c>
      <c r="C454" s="12">
        <v>2</v>
      </c>
      <c r="D454" s="138">
        <v>46216</v>
      </c>
      <c r="E454" s="12" t="s">
        <v>572</v>
      </c>
      <c r="F454" s="11" t="str">
        <f>IF(Rendiciones[[#This Row],[Fecha ]]&lt;&gt;"",TEXT(Rendiciones[[#This Row],[Fecha ]],"MMMM"),"")</f>
        <v>julio</v>
      </c>
      <c r="G454" s="11" t="s">
        <v>559</v>
      </c>
      <c r="H454" s="12" t="s">
        <v>6</v>
      </c>
      <c r="I454" s="12" t="s">
        <v>44</v>
      </c>
      <c r="J454" s="1" t="s">
        <v>573</v>
      </c>
      <c r="K454" s="1" t="s">
        <v>81</v>
      </c>
      <c r="L454" s="20"/>
      <c r="M454" s="20">
        <v>240000</v>
      </c>
      <c r="N454" s="20">
        <f>Rendiciones[[#This Row],[Monto Neto ]]*19%</f>
        <v>0</v>
      </c>
      <c r="O454" s="6">
        <f>+Rendiciones[[#This Row],[Monto Neto ]]+Rendiciones[[#This Row],[Monto Exento ]]+Rendiciones[[#This Row],[Iva]]</f>
        <v>240000</v>
      </c>
      <c r="Q454" s="138"/>
      <c r="R454" s="20"/>
      <c r="S454" s="20">
        <f>Rendiciones[[#This Row],[Total ]]-Rendiciones[[#This Row],[Monto ]]</f>
        <v>240000</v>
      </c>
      <c r="U454" s="72"/>
    </row>
    <row r="455" spans="2:21" x14ac:dyDescent="0.3">
      <c r="B455" s="12" t="s">
        <v>557</v>
      </c>
      <c r="C455" s="12">
        <v>2</v>
      </c>
      <c r="D455" s="138">
        <v>46216</v>
      </c>
      <c r="E455" s="12" t="s">
        <v>572</v>
      </c>
      <c r="F455" s="11" t="str">
        <f>IF(Rendiciones[[#This Row],[Fecha ]]&lt;&gt;"",TEXT(Rendiciones[[#This Row],[Fecha ]],"MMMM"),"")</f>
        <v>julio</v>
      </c>
      <c r="G455" s="11" t="s">
        <v>559</v>
      </c>
      <c r="H455" s="12" t="s">
        <v>6</v>
      </c>
      <c r="I455" s="12" t="s">
        <v>429</v>
      </c>
      <c r="K455" s="1" t="s">
        <v>81</v>
      </c>
      <c r="L455" s="20">
        <v>41262</v>
      </c>
      <c r="M455" s="20">
        <v>4908</v>
      </c>
      <c r="N455" s="20">
        <f>Rendiciones[[#This Row],[Monto Neto ]]*19%</f>
        <v>7839.78</v>
      </c>
      <c r="O455" s="6">
        <f>+Rendiciones[[#This Row],[Monto Neto ]]+Rendiciones[[#This Row],[Monto Exento ]]+Rendiciones[[#This Row],[Iva]]</f>
        <v>54009.78</v>
      </c>
      <c r="Q455" s="138"/>
      <c r="R455" s="20"/>
      <c r="S455" s="20">
        <f>Rendiciones[[#This Row],[Total ]]-Rendiciones[[#This Row],[Monto ]]</f>
        <v>54009.78</v>
      </c>
      <c r="U455" s="72"/>
    </row>
    <row r="456" spans="2:21" x14ac:dyDescent="0.3">
      <c r="B456" s="12" t="s">
        <v>557</v>
      </c>
      <c r="C456" s="12">
        <v>2</v>
      </c>
      <c r="D456" s="138">
        <v>46216</v>
      </c>
      <c r="E456" s="12" t="s">
        <v>572</v>
      </c>
      <c r="F456" s="11" t="str">
        <f>IF(Rendiciones[[#This Row],[Fecha ]]&lt;&gt;"",TEXT(Rendiciones[[#This Row],[Fecha ]],"MMMM"),"")</f>
        <v>julio</v>
      </c>
      <c r="G456" s="11" t="s">
        <v>559</v>
      </c>
      <c r="H456" s="12" t="s">
        <v>6</v>
      </c>
      <c r="I456" s="12" t="s">
        <v>60</v>
      </c>
      <c r="K456" s="1" t="s">
        <v>81</v>
      </c>
      <c r="L456" s="20"/>
      <c r="M456" s="20">
        <v>143726</v>
      </c>
      <c r="N456" s="20">
        <f>Rendiciones[[#This Row],[Monto Neto ]]*19%</f>
        <v>0</v>
      </c>
      <c r="O456" s="6">
        <f>+Rendiciones[[#This Row],[Monto Neto ]]+Rendiciones[[#This Row],[Monto Exento ]]+Rendiciones[[#This Row],[Iva]]</f>
        <v>143726</v>
      </c>
      <c r="Q456" s="138"/>
      <c r="R456" s="20"/>
      <c r="S456" s="20">
        <f>Rendiciones[[#This Row],[Total ]]-Rendiciones[[#This Row],[Monto ]]</f>
        <v>143726</v>
      </c>
      <c r="U456" s="72"/>
    </row>
    <row r="457" spans="2:21" x14ac:dyDescent="0.3">
      <c r="B457" s="12" t="s">
        <v>557</v>
      </c>
      <c r="C457" s="12">
        <v>2</v>
      </c>
      <c r="D457" s="138">
        <v>46216</v>
      </c>
      <c r="E457" s="12" t="s">
        <v>572</v>
      </c>
      <c r="F457" s="11" t="str">
        <f>IF(Rendiciones[[#This Row],[Fecha ]]&lt;&gt;"",TEXT(Rendiciones[[#This Row],[Fecha ]],"MMMM"),"")</f>
        <v>julio</v>
      </c>
      <c r="G457" s="11" t="s">
        <v>559</v>
      </c>
      <c r="H457" s="12" t="s">
        <v>6</v>
      </c>
      <c r="I457" s="12" t="s">
        <v>60</v>
      </c>
      <c r="K457" s="1" t="s">
        <v>81</v>
      </c>
      <c r="L457" s="20">
        <v>16000</v>
      </c>
      <c r="M457" s="20"/>
      <c r="N457" s="20">
        <f>Rendiciones[[#This Row],[Monto Neto ]]*19%</f>
        <v>3040</v>
      </c>
      <c r="O457" s="6">
        <f>+Rendiciones[[#This Row],[Monto Neto ]]+Rendiciones[[#This Row],[Monto Exento ]]+Rendiciones[[#This Row],[Iva]]</f>
        <v>19040</v>
      </c>
      <c r="Q457" s="138"/>
      <c r="R457" s="20"/>
      <c r="S457" s="20">
        <f>Rendiciones[[#This Row],[Total ]]-Rendiciones[[#This Row],[Monto ]]</f>
        <v>19040</v>
      </c>
      <c r="U457" s="72"/>
    </row>
    <row r="458" spans="2:21" x14ac:dyDescent="0.3">
      <c r="B458" s="12" t="s">
        <v>557</v>
      </c>
      <c r="C458" s="12">
        <v>2</v>
      </c>
      <c r="D458" s="138">
        <v>46216</v>
      </c>
      <c r="E458" s="12" t="s">
        <v>572</v>
      </c>
      <c r="F458" s="11" t="str">
        <f>IF(Rendiciones[[#This Row],[Fecha ]]&lt;&gt;"",TEXT(Rendiciones[[#This Row],[Fecha ]],"MMMM"),"")</f>
        <v>julio</v>
      </c>
      <c r="G458" s="11" t="s">
        <v>559</v>
      </c>
      <c r="H458" s="12" t="s">
        <v>6</v>
      </c>
      <c r="I458" s="12" t="s">
        <v>60</v>
      </c>
      <c r="K458" s="1" t="s">
        <v>81</v>
      </c>
      <c r="L458" s="20"/>
      <c r="M458" s="20">
        <v>98913</v>
      </c>
      <c r="N458" s="20">
        <f>Rendiciones[[#This Row],[Monto Neto ]]*19%</f>
        <v>0</v>
      </c>
      <c r="O458" s="6">
        <f>+Rendiciones[[#This Row],[Monto Neto ]]+Rendiciones[[#This Row],[Monto Exento ]]+Rendiciones[[#This Row],[Iva]]</f>
        <v>98913</v>
      </c>
      <c r="Q458" s="138"/>
      <c r="R458" s="20"/>
      <c r="S458" s="20">
        <f>Rendiciones[[#This Row],[Total ]]-Rendiciones[[#This Row],[Monto ]]</f>
        <v>98913</v>
      </c>
      <c r="U458" s="72"/>
    </row>
    <row r="459" spans="2:21" x14ac:dyDescent="0.3">
      <c r="B459" s="12" t="s">
        <v>557</v>
      </c>
      <c r="C459" s="12">
        <v>2</v>
      </c>
      <c r="D459" s="138">
        <v>46216</v>
      </c>
      <c r="E459" s="12" t="s">
        <v>572</v>
      </c>
      <c r="F459" s="11" t="str">
        <f>IF(Rendiciones[[#This Row],[Fecha ]]&lt;&gt;"",TEXT(Rendiciones[[#This Row],[Fecha ]],"MMMM"),"")</f>
        <v>julio</v>
      </c>
      <c r="G459" s="11" t="s">
        <v>559</v>
      </c>
      <c r="H459" s="12" t="s">
        <v>6</v>
      </c>
      <c r="I459" s="12" t="s">
        <v>429</v>
      </c>
      <c r="K459" s="1" t="s">
        <v>81</v>
      </c>
      <c r="L459" s="20">
        <v>22800</v>
      </c>
      <c r="M459" s="20"/>
      <c r="N459" s="20">
        <f>Rendiciones[[#This Row],[Monto Neto ]]*19%</f>
        <v>4332</v>
      </c>
      <c r="O459" s="6">
        <f>+Rendiciones[[#This Row],[Monto Neto ]]+Rendiciones[[#This Row],[Monto Exento ]]+Rendiciones[[#This Row],[Iva]]</f>
        <v>27132</v>
      </c>
      <c r="Q459" s="138"/>
      <c r="R459" s="20"/>
      <c r="S459" s="20">
        <f>Rendiciones[[#This Row],[Total ]]-Rendiciones[[#This Row],[Monto ]]</f>
        <v>27132</v>
      </c>
      <c r="U459" s="72"/>
    </row>
    <row r="460" spans="2:21" x14ac:dyDescent="0.3">
      <c r="B460" s="12" t="s">
        <v>557</v>
      </c>
      <c r="C460" s="12">
        <v>2</v>
      </c>
      <c r="D460" s="138">
        <v>46216</v>
      </c>
      <c r="E460" s="12" t="s">
        <v>572</v>
      </c>
      <c r="F460" s="11" t="str">
        <f>IF(Rendiciones[[#This Row],[Fecha ]]&lt;&gt;"",TEXT(Rendiciones[[#This Row],[Fecha ]],"MMMM"),"")</f>
        <v>julio</v>
      </c>
      <c r="G460" s="11" t="s">
        <v>559</v>
      </c>
      <c r="H460" s="12" t="s">
        <v>6</v>
      </c>
      <c r="I460" s="12" t="s">
        <v>429</v>
      </c>
      <c r="K460" s="1" t="s">
        <v>81</v>
      </c>
      <c r="L460" s="20">
        <v>40336</v>
      </c>
      <c r="M460" s="20"/>
      <c r="N460" s="20">
        <f>Rendiciones[[#This Row],[Monto Neto ]]*19%</f>
        <v>7663.84</v>
      </c>
      <c r="O460" s="6">
        <f>+Rendiciones[[#This Row],[Monto Neto ]]+Rendiciones[[#This Row],[Monto Exento ]]+Rendiciones[[#This Row],[Iva]]</f>
        <v>47999.839999999997</v>
      </c>
      <c r="Q460" s="138"/>
      <c r="R460" s="20"/>
      <c r="S460" s="20">
        <f>Rendiciones[[#This Row],[Total ]]-Rendiciones[[#This Row],[Monto ]]</f>
        <v>47999.839999999997</v>
      </c>
      <c r="U460" s="72"/>
    </row>
    <row r="461" spans="2:21" x14ac:dyDescent="0.3">
      <c r="B461" s="12" t="s">
        <v>557</v>
      </c>
      <c r="C461" s="12">
        <v>2</v>
      </c>
      <c r="D461" s="138">
        <v>46216</v>
      </c>
      <c r="E461" s="12" t="s">
        <v>572</v>
      </c>
      <c r="F461" s="11" t="str">
        <f>IF(Rendiciones[[#This Row],[Fecha ]]&lt;&gt;"",TEXT(Rendiciones[[#This Row],[Fecha ]],"MMMM"),"")</f>
        <v>julio</v>
      </c>
      <c r="G461" s="11" t="s">
        <v>559</v>
      </c>
      <c r="H461" s="12" t="s">
        <v>6</v>
      </c>
      <c r="I461" s="12" t="s">
        <v>44</v>
      </c>
      <c r="L461" s="20"/>
      <c r="M461" s="20">
        <f>40630+1849</f>
        <v>42479</v>
      </c>
      <c r="N461" s="20">
        <f>Rendiciones[[#This Row],[Monto Neto ]]*19%</f>
        <v>0</v>
      </c>
      <c r="O461" s="6">
        <f>+Rendiciones[[#This Row],[Monto Neto ]]+Rendiciones[[#This Row],[Monto Exento ]]+Rendiciones[[#This Row],[Iva]]</f>
        <v>42479</v>
      </c>
      <c r="Q461" s="138"/>
      <c r="R461" s="20"/>
      <c r="S461" s="20">
        <f>Rendiciones[[#This Row],[Total ]]-Rendiciones[[#This Row],[Monto ]]</f>
        <v>42479</v>
      </c>
      <c r="U461" s="72"/>
    </row>
    <row r="462" spans="2:21" x14ac:dyDescent="0.3">
      <c r="B462" s="12" t="s">
        <v>557</v>
      </c>
      <c r="C462" s="12">
        <v>2</v>
      </c>
      <c r="D462" s="138">
        <v>46216</v>
      </c>
      <c r="E462" s="12" t="s">
        <v>572</v>
      </c>
      <c r="F462" s="11" t="str">
        <f>IF(Rendiciones[[#This Row],[Fecha ]]&lt;&gt;"",TEXT(Rendiciones[[#This Row],[Fecha ]],"MMMM"),"")</f>
        <v>julio</v>
      </c>
      <c r="G462" s="11" t="s">
        <v>559</v>
      </c>
      <c r="H462" s="12" t="s">
        <v>6</v>
      </c>
      <c r="I462" s="12" t="s">
        <v>60</v>
      </c>
      <c r="L462" s="20"/>
      <c r="M462" s="20">
        <f>7000+7000</f>
        <v>14000</v>
      </c>
      <c r="N462" s="20">
        <f>Rendiciones[[#This Row],[Monto Neto ]]*19%</f>
        <v>0</v>
      </c>
      <c r="O462" s="6">
        <f>+Rendiciones[[#This Row],[Monto Neto ]]+Rendiciones[[#This Row],[Monto Exento ]]+Rendiciones[[#This Row],[Iva]]</f>
        <v>14000</v>
      </c>
      <c r="Q462" s="138"/>
      <c r="R462" s="20"/>
      <c r="S462" s="20">
        <f>Rendiciones[[#This Row],[Total ]]-Rendiciones[[#This Row],[Monto ]]</f>
        <v>14000</v>
      </c>
      <c r="U462" s="72"/>
    </row>
    <row r="463" spans="2:21" x14ac:dyDescent="0.3">
      <c r="B463" s="12" t="s">
        <v>557</v>
      </c>
      <c r="C463" s="12">
        <v>2</v>
      </c>
      <c r="D463" s="138">
        <v>46216</v>
      </c>
      <c r="E463" s="12" t="s">
        <v>572</v>
      </c>
      <c r="F463" s="11" t="str">
        <f>IF(Rendiciones[[#This Row],[Fecha ]]&lt;&gt;"",TEXT(Rendiciones[[#This Row],[Fecha ]],"MMMM"),"")</f>
        <v>julio</v>
      </c>
      <c r="G463" s="11" t="s">
        <v>559</v>
      </c>
      <c r="H463" s="12" t="s">
        <v>6</v>
      </c>
      <c r="I463" s="12" t="s">
        <v>31</v>
      </c>
      <c r="L463" s="20"/>
      <c r="M463" s="20">
        <f>2432+5477</f>
        <v>7909</v>
      </c>
      <c r="N463" s="20">
        <f>Rendiciones[[#This Row],[Monto Neto ]]*19%</f>
        <v>0</v>
      </c>
      <c r="O463" s="6">
        <f>+Rendiciones[[#This Row],[Monto Neto ]]+Rendiciones[[#This Row],[Monto Exento ]]+Rendiciones[[#This Row],[Iva]]</f>
        <v>7909</v>
      </c>
      <c r="Q463" s="138"/>
      <c r="R463" s="20"/>
      <c r="S463" s="20">
        <f>Rendiciones[[#This Row],[Total ]]-Rendiciones[[#This Row],[Monto ]]</f>
        <v>7909</v>
      </c>
      <c r="U463" s="72"/>
    </row>
    <row r="464" spans="2:21" x14ac:dyDescent="0.3">
      <c r="B464" s="12" t="s">
        <v>557</v>
      </c>
      <c r="C464" s="12">
        <v>2</v>
      </c>
      <c r="D464" s="138">
        <v>46216</v>
      </c>
      <c r="E464" s="12" t="s">
        <v>572</v>
      </c>
      <c r="F464" s="11" t="str">
        <f>IF(Rendiciones[[#This Row],[Fecha ]]&lt;&gt;"",TEXT(Rendiciones[[#This Row],[Fecha ]],"MMMM"),"")</f>
        <v>julio</v>
      </c>
      <c r="G464" s="11" t="s">
        <v>559</v>
      </c>
      <c r="H464" s="12" t="s">
        <v>6</v>
      </c>
      <c r="I464" s="12" t="s">
        <v>40</v>
      </c>
      <c r="L464" s="20"/>
      <c r="M464" s="20">
        <v>1643164</v>
      </c>
      <c r="N464" s="20">
        <f>Rendiciones[[#This Row],[Monto Neto ]]*19%</f>
        <v>0</v>
      </c>
      <c r="O464" s="6">
        <f>+Rendiciones[[#This Row],[Monto Neto ]]+Rendiciones[[#This Row],[Monto Exento ]]+Rendiciones[[#This Row],[Iva]]</f>
        <v>1643164</v>
      </c>
      <c r="Q464" s="138"/>
      <c r="R464" s="20"/>
      <c r="S464" s="20">
        <f>Rendiciones[[#This Row],[Total ]]-Rendiciones[[#This Row],[Monto ]]</f>
        <v>1643164</v>
      </c>
      <c r="U464" s="72"/>
    </row>
    <row r="465" spans="2:21" x14ac:dyDescent="0.3">
      <c r="B465" s="12" t="s">
        <v>557</v>
      </c>
      <c r="C465" s="12">
        <v>2</v>
      </c>
      <c r="D465" s="138">
        <v>46216</v>
      </c>
      <c r="E465" s="12" t="s">
        <v>572</v>
      </c>
      <c r="F465" s="11" t="str">
        <f>IF(Rendiciones[[#This Row],[Fecha ]]&lt;&gt;"",TEXT(Rendiciones[[#This Row],[Fecha ]],"MMMM"),"")</f>
        <v>julio</v>
      </c>
      <c r="G465" s="11" t="s">
        <v>559</v>
      </c>
      <c r="H465" s="12" t="s">
        <v>6</v>
      </c>
      <c r="I465" s="12" t="s">
        <v>44</v>
      </c>
      <c r="L465" s="20"/>
      <c r="M465" s="20">
        <v>33825</v>
      </c>
      <c r="N465" s="20">
        <f>Rendiciones[[#This Row],[Monto Neto ]]*19%</f>
        <v>0</v>
      </c>
      <c r="O465" s="6">
        <f>+Rendiciones[[#This Row],[Monto Neto ]]+Rendiciones[[#This Row],[Monto Exento ]]+Rendiciones[[#This Row],[Iva]]</f>
        <v>33825</v>
      </c>
      <c r="P465" t="s">
        <v>477</v>
      </c>
      <c r="Q465" s="138">
        <v>46227</v>
      </c>
      <c r="R465" s="20">
        <v>2479139</v>
      </c>
      <c r="S465" s="20">
        <f>Rendiciones[[#This Row],[Total ]]-Rendiciones[[#This Row],[Monto ]]</f>
        <v>-2445314</v>
      </c>
      <c r="U465" s="72"/>
    </row>
    <row r="466" spans="2:21" x14ac:dyDescent="0.3">
      <c r="B466" s="12" t="s">
        <v>16</v>
      </c>
      <c r="C466" s="12">
        <v>11</v>
      </c>
      <c r="D466" s="138">
        <v>46226</v>
      </c>
      <c r="E466" s="12" t="s">
        <v>545</v>
      </c>
      <c r="F466" s="11" t="str">
        <f>IF(Rendiciones[[#This Row],[Fecha ]]&lt;&gt;"",TEXT(Rendiciones[[#This Row],[Fecha ]],"MMMM"),"")</f>
        <v>julio</v>
      </c>
      <c r="G466" s="11" t="s">
        <v>428</v>
      </c>
      <c r="H466" s="12" t="s">
        <v>5</v>
      </c>
      <c r="I466" s="12" t="s">
        <v>26</v>
      </c>
      <c r="K466" s="1" t="s">
        <v>81</v>
      </c>
      <c r="L466" s="20">
        <v>18445</v>
      </c>
      <c r="M466" s="20"/>
      <c r="N466" s="20">
        <f>Rendiciones[[#This Row],[Monto Neto ]]*19%</f>
        <v>3504.55</v>
      </c>
      <c r="O466" s="6">
        <f>+Rendiciones[[#This Row],[Monto Neto ]]+Rendiciones[[#This Row],[Monto Exento ]]+Rendiciones[[#This Row],[Iva]]</f>
        <v>21949.55</v>
      </c>
      <c r="P466" t="s">
        <v>110</v>
      </c>
      <c r="Q466" s="138"/>
      <c r="R466" s="20"/>
      <c r="S466" s="20">
        <f>Rendiciones[[#This Row],[Total ]]-Rendiciones[[#This Row],[Monto ]]</f>
        <v>21949.55</v>
      </c>
      <c r="U466" s="72"/>
    </row>
    <row r="467" spans="2:21" x14ac:dyDescent="0.3">
      <c r="B467" s="12" t="s">
        <v>17</v>
      </c>
      <c r="C467" s="12">
        <v>29</v>
      </c>
      <c r="D467" s="138">
        <v>46216</v>
      </c>
      <c r="E467" s="12" t="s">
        <v>532</v>
      </c>
      <c r="F467" s="11" t="str">
        <f>IF(Rendiciones[[#This Row],[Fecha ]]&lt;&gt;"",TEXT(Rendiciones[[#This Row],[Fecha ]],"MMMM"),"")</f>
        <v>julio</v>
      </c>
      <c r="G467" s="11" t="s">
        <v>428</v>
      </c>
      <c r="H467" s="12" t="s">
        <v>102</v>
      </c>
      <c r="I467" s="12" t="s">
        <v>98</v>
      </c>
      <c r="L467" s="20"/>
      <c r="M467" s="20">
        <v>70389</v>
      </c>
      <c r="N467" s="20">
        <f>Rendiciones[[#This Row],[Monto Neto ]]*19%</f>
        <v>0</v>
      </c>
      <c r="O467" s="6">
        <f>+Rendiciones[[#This Row],[Monto Neto ]]+Rendiciones[[#This Row],[Monto Exento ]]+Rendiciones[[#This Row],[Iva]]</f>
        <v>70389</v>
      </c>
      <c r="Q467" s="138"/>
      <c r="R467" s="20"/>
      <c r="S467" s="20">
        <f>Rendiciones[[#This Row],[Total ]]-Rendiciones[[#This Row],[Monto ]]</f>
        <v>70389</v>
      </c>
      <c r="U467" s="72"/>
    </row>
    <row r="468" spans="2:21" x14ac:dyDescent="0.3">
      <c r="B468" s="12" t="s">
        <v>17</v>
      </c>
      <c r="C468" s="12">
        <v>30</v>
      </c>
      <c r="D468" s="138">
        <v>46233</v>
      </c>
      <c r="E468" s="12" t="s">
        <v>545</v>
      </c>
      <c r="F468" s="11" t="str">
        <f>IF(Rendiciones[[#This Row],[Fecha ]]&lt;&gt;"",TEXT(Rendiciones[[#This Row],[Fecha ]],"MMMM"),"")</f>
        <v>julio</v>
      </c>
      <c r="G468" s="11" t="s">
        <v>428</v>
      </c>
      <c r="H468" s="12" t="s">
        <v>102</v>
      </c>
      <c r="I468" s="12" t="s">
        <v>98</v>
      </c>
      <c r="L468" s="20"/>
      <c r="M468" s="20">
        <v>70389</v>
      </c>
      <c r="N468" s="20">
        <f>Rendiciones[[#This Row],[Monto Neto ]]*19%</f>
        <v>0</v>
      </c>
      <c r="O468" s="6">
        <f>+Rendiciones[[#This Row],[Monto Neto ]]+Rendiciones[[#This Row],[Monto Exento ]]+Rendiciones[[#This Row],[Iva]]</f>
        <v>70389</v>
      </c>
      <c r="P468" t="s">
        <v>89</v>
      </c>
      <c r="Q468" s="138">
        <v>46227</v>
      </c>
      <c r="R468" s="20">
        <v>140778</v>
      </c>
      <c r="S468" s="20">
        <f>Rendiciones[[#This Row],[Total ]]-Rendiciones[[#This Row],[Monto ]]</f>
        <v>-70389</v>
      </c>
      <c r="U468" s="72"/>
    </row>
    <row r="469" spans="2:21" x14ac:dyDescent="0.3">
      <c r="B469" s="12" t="s">
        <v>557</v>
      </c>
      <c r="C469" s="12">
        <v>3</v>
      </c>
      <c r="D469" s="138">
        <v>46195</v>
      </c>
      <c r="E469" s="12" t="s">
        <v>567</v>
      </c>
      <c r="F469" s="11" t="str">
        <f>IF(Rendiciones[[#This Row],[Fecha ]]&lt;&gt;"",TEXT(Rendiciones[[#This Row],[Fecha ]],"MMMM"),"")</f>
        <v>junio</v>
      </c>
      <c r="G469" s="11" t="s">
        <v>559</v>
      </c>
      <c r="H469" s="12" t="s">
        <v>6</v>
      </c>
      <c r="I469" s="12" t="s">
        <v>59</v>
      </c>
      <c r="K469" s="1" t="s">
        <v>81</v>
      </c>
      <c r="L469" s="20"/>
      <c r="M469" s="20">
        <v>91666</v>
      </c>
      <c r="N469" s="20">
        <f>Rendiciones[[#This Row],[Monto Neto ]]*19%</f>
        <v>0</v>
      </c>
      <c r="O469" s="6">
        <f>+Rendiciones[[#This Row],[Monto Neto ]]+Rendiciones[[#This Row],[Monto Exento ]]+Rendiciones[[#This Row],[Iva]]</f>
        <v>91666</v>
      </c>
      <c r="Q469" s="138"/>
      <c r="R469" s="20"/>
      <c r="S469" s="20">
        <f>Rendiciones[[#This Row],[Total ]]-Rendiciones[[#This Row],[Monto ]]</f>
        <v>91666</v>
      </c>
      <c r="U469" s="72"/>
    </row>
    <row r="470" spans="2:21" x14ac:dyDescent="0.3">
      <c r="B470" s="12" t="s">
        <v>557</v>
      </c>
      <c r="C470" s="12">
        <v>3</v>
      </c>
      <c r="D470" s="138">
        <v>46224</v>
      </c>
      <c r="E470" s="12" t="s">
        <v>545</v>
      </c>
      <c r="F470" s="11" t="str">
        <f>IF(Rendiciones[[#This Row],[Fecha ]]&lt;&gt;"",TEXT(Rendiciones[[#This Row],[Fecha ]],"MMMM"),"")</f>
        <v>julio</v>
      </c>
      <c r="G470" s="11" t="s">
        <v>559</v>
      </c>
      <c r="H470" s="12" t="s">
        <v>6</v>
      </c>
      <c r="I470" s="12" t="s">
        <v>59</v>
      </c>
      <c r="K470" s="1" t="s">
        <v>81</v>
      </c>
      <c r="L470" s="20">
        <v>5703</v>
      </c>
      <c r="M470" s="20"/>
      <c r="N470" s="20">
        <f>Rendiciones[[#This Row],[Monto Neto ]]*19%</f>
        <v>1083.57</v>
      </c>
      <c r="O470" s="6">
        <f>+Rendiciones[[#This Row],[Monto Neto ]]+Rendiciones[[#This Row],[Monto Exento ]]+Rendiciones[[#This Row],[Iva]]</f>
        <v>6786.57</v>
      </c>
      <c r="Q470" s="138"/>
      <c r="R470" s="20"/>
      <c r="S470" s="20">
        <f>Rendiciones[[#This Row],[Total ]]-Rendiciones[[#This Row],[Monto ]]</f>
        <v>6786.57</v>
      </c>
      <c r="U470" s="72"/>
    </row>
    <row r="471" spans="2:21" x14ac:dyDescent="0.3">
      <c r="B471" s="12" t="s">
        <v>557</v>
      </c>
      <c r="C471" s="12">
        <v>3</v>
      </c>
      <c r="D471" s="138">
        <v>46225</v>
      </c>
      <c r="E471" s="12" t="s">
        <v>545</v>
      </c>
      <c r="F471" s="11" t="str">
        <f>IF(Rendiciones[[#This Row],[Fecha ]]&lt;&gt;"",TEXT(Rendiciones[[#This Row],[Fecha ]],"MMMM"),"")</f>
        <v>julio</v>
      </c>
      <c r="G471" s="11" t="s">
        <v>559</v>
      </c>
      <c r="H471" s="12" t="s">
        <v>6</v>
      </c>
      <c r="I471" s="12" t="s">
        <v>429</v>
      </c>
      <c r="K471" s="1" t="s">
        <v>81</v>
      </c>
      <c r="L471" s="20">
        <v>30840</v>
      </c>
      <c r="M471" s="20">
        <v>3670</v>
      </c>
      <c r="N471" s="20">
        <f>Rendiciones[[#This Row],[Monto Neto ]]*19%</f>
        <v>5859.6</v>
      </c>
      <c r="O471" s="6">
        <f>+Rendiciones[[#This Row],[Monto Neto ]]+Rendiciones[[#This Row],[Monto Exento ]]+Rendiciones[[#This Row],[Iva]]</f>
        <v>40369.599999999999</v>
      </c>
      <c r="Q471" s="138"/>
      <c r="R471" s="20"/>
      <c r="S471" s="20">
        <f>Rendiciones[[#This Row],[Total ]]-Rendiciones[[#This Row],[Monto ]]</f>
        <v>40369.599999999999</v>
      </c>
      <c r="U471" s="72"/>
    </row>
    <row r="472" spans="2:21" x14ac:dyDescent="0.3">
      <c r="B472" s="12" t="s">
        <v>557</v>
      </c>
      <c r="C472" s="12">
        <v>3</v>
      </c>
      <c r="D472" s="138">
        <v>46195</v>
      </c>
      <c r="E472" s="12" t="s">
        <v>567</v>
      </c>
      <c r="F472" s="11" t="str">
        <f>IF(Rendiciones[[#This Row],[Fecha ]]&lt;&gt;"",TEXT(Rendiciones[[#This Row],[Fecha ]],"MMMM"),"")</f>
        <v>junio</v>
      </c>
      <c r="G472" s="11" t="s">
        <v>559</v>
      </c>
      <c r="H472" s="12" t="s">
        <v>6</v>
      </c>
      <c r="I472" s="12" t="s">
        <v>429</v>
      </c>
      <c r="L472" s="20"/>
      <c r="M472" s="20">
        <f>896080+45540</f>
        <v>941620</v>
      </c>
      <c r="N472" s="20">
        <f>Rendiciones[[#This Row],[Monto Neto ]]*19%</f>
        <v>0</v>
      </c>
      <c r="O472" s="6">
        <f>+Rendiciones[[#This Row],[Monto Neto ]]+Rendiciones[[#This Row],[Monto Exento ]]+Rendiciones[[#This Row],[Iva]]</f>
        <v>941620</v>
      </c>
      <c r="Q472" s="138"/>
      <c r="R472" s="20"/>
      <c r="S472" s="20">
        <f>Rendiciones[[#This Row],[Total ]]-Rendiciones[[#This Row],[Monto ]]</f>
        <v>941620</v>
      </c>
      <c r="U472" s="72"/>
    </row>
    <row r="473" spans="2:21" x14ac:dyDescent="0.3">
      <c r="B473" s="12" t="s">
        <v>557</v>
      </c>
      <c r="C473" s="12">
        <v>3</v>
      </c>
      <c r="D473" s="138">
        <v>46195</v>
      </c>
      <c r="E473" s="12" t="s">
        <v>567</v>
      </c>
      <c r="F473" s="11" t="str">
        <f>IF(Rendiciones[[#This Row],[Fecha ]]&lt;&gt;"",TEXT(Rendiciones[[#This Row],[Fecha ]],"MMMM"),"")</f>
        <v>junio</v>
      </c>
      <c r="G473" s="11" t="s">
        <v>559</v>
      </c>
      <c r="H473" s="12" t="s">
        <v>6</v>
      </c>
      <c r="I473" s="12" t="s">
        <v>28</v>
      </c>
      <c r="L473" s="20"/>
      <c r="M473" s="20">
        <v>118401</v>
      </c>
      <c r="N473" s="20">
        <f>Rendiciones[[#This Row],[Monto Neto ]]*19%</f>
        <v>0</v>
      </c>
      <c r="O473" s="6">
        <f>+Rendiciones[[#This Row],[Monto Neto ]]+Rendiciones[[#This Row],[Monto Exento ]]+Rendiciones[[#This Row],[Iva]]</f>
        <v>118401</v>
      </c>
      <c r="Q473" s="138"/>
      <c r="R473" s="20"/>
      <c r="S473" s="20">
        <f>Rendiciones[[#This Row],[Total ]]-Rendiciones[[#This Row],[Monto ]]</f>
        <v>118401</v>
      </c>
      <c r="U473" s="72"/>
    </row>
    <row r="474" spans="2:21" x14ac:dyDescent="0.3">
      <c r="B474" s="12" t="s">
        <v>557</v>
      </c>
      <c r="C474" s="12">
        <v>3</v>
      </c>
      <c r="D474" s="138">
        <v>46195</v>
      </c>
      <c r="E474" s="12" t="s">
        <v>567</v>
      </c>
      <c r="F474" s="11" t="str">
        <f>IF(Rendiciones[[#This Row],[Fecha ]]&lt;&gt;"",TEXT(Rendiciones[[#This Row],[Fecha ]],"MMMM"),"")</f>
        <v>junio</v>
      </c>
      <c r="G474" s="11" t="s">
        <v>559</v>
      </c>
      <c r="H474" s="12" t="s">
        <v>6</v>
      </c>
      <c r="I474" s="12" t="s">
        <v>563</v>
      </c>
      <c r="L474" s="20"/>
      <c r="M474" s="20">
        <v>40000</v>
      </c>
      <c r="N474" s="20">
        <f>Rendiciones[[#This Row],[Monto Neto ]]*19%</f>
        <v>0</v>
      </c>
      <c r="O474" s="6">
        <f>+Rendiciones[[#This Row],[Monto Neto ]]+Rendiciones[[#This Row],[Monto Exento ]]+Rendiciones[[#This Row],[Iva]]</f>
        <v>40000</v>
      </c>
      <c r="Q474" s="138"/>
      <c r="R474" s="20"/>
      <c r="S474" s="20">
        <f>Rendiciones[[#This Row],[Total ]]-Rendiciones[[#This Row],[Monto ]]</f>
        <v>40000</v>
      </c>
      <c r="U474" s="72"/>
    </row>
    <row r="475" spans="2:21" x14ac:dyDescent="0.3">
      <c r="B475" s="12" t="s">
        <v>557</v>
      </c>
      <c r="C475" s="12">
        <v>3</v>
      </c>
      <c r="D475" s="138">
        <v>46195</v>
      </c>
      <c r="E475" s="12" t="s">
        <v>567</v>
      </c>
      <c r="F475" s="11" t="str">
        <f>IF(Rendiciones[[#This Row],[Fecha ]]&lt;&gt;"",TEXT(Rendiciones[[#This Row],[Fecha ]],"MMMM"),"")</f>
        <v>junio</v>
      </c>
      <c r="G475" s="11" t="s">
        <v>559</v>
      </c>
      <c r="H475" s="12" t="s">
        <v>6</v>
      </c>
      <c r="I475" s="12" t="s">
        <v>40</v>
      </c>
      <c r="L475" s="20"/>
      <c r="M475" s="20">
        <v>2340839</v>
      </c>
      <c r="N475" s="20">
        <f>Rendiciones[[#This Row],[Monto Neto ]]*19%</f>
        <v>0</v>
      </c>
      <c r="O475" s="6">
        <f>+Rendiciones[[#This Row],[Monto Neto ]]+Rendiciones[[#This Row],[Monto Exento ]]+Rendiciones[[#This Row],[Iva]]</f>
        <v>2340839</v>
      </c>
      <c r="Q475" s="138"/>
      <c r="R475" s="20"/>
      <c r="S475" s="20">
        <f>Rendiciones[[#This Row],[Total ]]-Rendiciones[[#This Row],[Monto ]]</f>
        <v>2340839</v>
      </c>
      <c r="U475" s="72"/>
    </row>
    <row r="476" spans="2:21" x14ac:dyDescent="0.3">
      <c r="B476" s="12" t="s">
        <v>557</v>
      </c>
      <c r="C476" s="12">
        <v>3</v>
      </c>
      <c r="D476" s="138">
        <v>46195</v>
      </c>
      <c r="E476" s="12" t="s">
        <v>567</v>
      </c>
      <c r="F476" s="11" t="str">
        <f>IF(Rendiciones[[#This Row],[Fecha ]]&lt;&gt;"",TEXT(Rendiciones[[#This Row],[Fecha ]],"MMMM"),"")</f>
        <v>junio</v>
      </c>
      <c r="G476" s="11" t="s">
        <v>559</v>
      </c>
      <c r="H476" s="12" t="s">
        <v>6</v>
      </c>
      <c r="I476" s="12" t="s">
        <v>563</v>
      </c>
      <c r="L476" s="20"/>
      <c r="M476" s="20">
        <v>503688.24000000005</v>
      </c>
      <c r="N476" s="20">
        <f>Rendiciones[[#This Row],[Monto Neto ]]*19%</f>
        <v>0</v>
      </c>
      <c r="O476" s="6">
        <f>+Rendiciones[[#This Row],[Monto Neto ]]+Rendiciones[[#This Row],[Monto Exento ]]+Rendiciones[[#This Row],[Iva]]</f>
        <v>503688.24000000005</v>
      </c>
      <c r="Q476" s="138"/>
      <c r="R476" s="20"/>
      <c r="S476" s="20">
        <f>Rendiciones[[#This Row],[Total ]]-Rendiciones[[#This Row],[Monto ]]</f>
        <v>503688.24000000005</v>
      </c>
      <c r="U476" s="72"/>
    </row>
    <row r="477" spans="2:21" x14ac:dyDescent="0.3">
      <c r="B477" s="12" t="s">
        <v>557</v>
      </c>
      <c r="C477" s="12">
        <v>3</v>
      </c>
      <c r="D477" s="138">
        <v>46195</v>
      </c>
      <c r="E477" s="12" t="s">
        <v>567</v>
      </c>
      <c r="F477" s="11" t="str">
        <f>IF(Rendiciones[[#This Row],[Fecha ]]&lt;&gt;"",TEXT(Rendiciones[[#This Row],[Fecha ]],"MMMM"),"")</f>
        <v>junio</v>
      </c>
      <c r="G477" s="11" t="s">
        <v>559</v>
      </c>
      <c r="H477" s="12" t="s">
        <v>6</v>
      </c>
      <c r="I477" s="12" t="s">
        <v>31</v>
      </c>
      <c r="L477" s="20"/>
      <c r="M477" s="20">
        <v>44261</v>
      </c>
      <c r="N477" s="20">
        <f>Rendiciones[[#This Row],[Monto Neto ]]*19%</f>
        <v>0</v>
      </c>
      <c r="O477" s="6">
        <f>+Rendiciones[[#This Row],[Monto Neto ]]+Rendiciones[[#This Row],[Monto Exento ]]+Rendiciones[[#This Row],[Iva]]</f>
        <v>44261</v>
      </c>
      <c r="Q477" s="138"/>
      <c r="R477" s="20"/>
      <c r="S477" s="20">
        <f>Rendiciones[[#This Row],[Total ]]-Rendiciones[[#This Row],[Monto ]]</f>
        <v>44261</v>
      </c>
      <c r="U477" s="72"/>
    </row>
    <row r="478" spans="2:21" x14ac:dyDescent="0.3">
      <c r="B478" s="12" t="s">
        <v>557</v>
      </c>
      <c r="C478" s="12">
        <v>3</v>
      </c>
      <c r="D478" s="138">
        <v>46195</v>
      </c>
      <c r="E478" s="12" t="s">
        <v>567</v>
      </c>
      <c r="F478" s="11" t="str">
        <f>IF(Rendiciones[[#This Row],[Fecha ]]&lt;&gt;"",TEXT(Rendiciones[[#This Row],[Fecha ]],"MMMM"),"")</f>
        <v>junio</v>
      </c>
      <c r="G478" s="11" t="s">
        <v>559</v>
      </c>
      <c r="H478" s="12" t="s">
        <v>6</v>
      </c>
      <c r="I478" s="12" t="s">
        <v>52</v>
      </c>
      <c r="L478" s="20"/>
      <c r="M478" s="20">
        <v>30272</v>
      </c>
      <c r="N478" s="20">
        <f>Rendiciones[[#This Row],[Monto Neto ]]*19%</f>
        <v>0</v>
      </c>
      <c r="O478" s="6">
        <f>+Rendiciones[[#This Row],[Monto Neto ]]+Rendiciones[[#This Row],[Monto Exento ]]+Rendiciones[[#This Row],[Iva]]</f>
        <v>30272</v>
      </c>
      <c r="Q478" s="138"/>
      <c r="R478" s="20"/>
      <c r="S478" s="20">
        <f>Rendiciones[[#This Row],[Total ]]-Rendiciones[[#This Row],[Monto ]]</f>
        <v>30272</v>
      </c>
      <c r="U478" s="72"/>
    </row>
    <row r="479" spans="2:21" x14ac:dyDescent="0.3">
      <c r="B479" s="12" t="s">
        <v>557</v>
      </c>
      <c r="C479" s="12">
        <v>3</v>
      </c>
      <c r="D479" s="138">
        <v>46195</v>
      </c>
      <c r="E479" s="12" t="s">
        <v>567</v>
      </c>
      <c r="F479" s="11" t="str">
        <f>IF(Rendiciones[[#This Row],[Fecha ]]&lt;&gt;"",TEXT(Rendiciones[[#This Row],[Fecha ]],"MMMM"),"")</f>
        <v>junio</v>
      </c>
      <c r="G479" s="11" t="s">
        <v>559</v>
      </c>
      <c r="H479" s="12" t="s">
        <v>6</v>
      </c>
      <c r="I479" s="12" t="s">
        <v>563</v>
      </c>
      <c r="L479" s="20"/>
      <c r="M479" s="20">
        <v>1074656</v>
      </c>
      <c r="N479" s="20">
        <f>Rendiciones[[#This Row],[Monto Neto ]]*19%</f>
        <v>0</v>
      </c>
      <c r="O479" s="6">
        <f>+Rendiciones[[#This Row],[Monto Neto ]]+Rendiciones[[#This Row],[Monto Exento ]]+Rendiciones[[#This Row],[Iva]]</f>
        <v>1074656</v>
      </c>
      <c r="Q479" s="138"/>
      <c r="R479" s="20"/>
      <c r="S479" s="20">
        <f>Rendiciones[[#This Row],[Total ]]-Rendiciones[[#This Row],[Monto ]]</f>
        <v>1074656</v>
      </c>
      <c r="U479" s="72"/>
    </row>
    <row r="480" spans="2:21" x14ac:dyDescent="0.3">
      <c r="B480" s="12" t="s">
        <v>557</v>
      </c>
      <c r="C480" s="12">
        <v>3</v>
      </c>
      <c r="D480" s="138">
        <v>46195</v>
      </c>
      <c r="E480" s="12" t="s">
        <v>567</v>
      </c>
      <c r="F480" s="11" t="str">
        <f>IF(Rendiciones[[#This Row],[Fecha ]]&lt;&gt;"",TEXT(Rendiciones[[#This Row],[Fecha ]],"MMMM"),"")</f>
        <v>junio</v>
      </c>
      <c r="G480" s="11" t="s">
        <v>559</v>
      </c>
      <c r="H480" s="12" t="s">
        <v>6</v>
      </c>
      <c r="I480" s="12" t="s">
        <v>39</v>
      </c>
      <c r="L480" s="20"/>
      <c r="M480" s="20">
        <v>125373</v>
      </c>
      <c r="N480" s="20">
        <f>Rendiciones[[#This Row],[Monto Neto ]]*19%</f>
        <v>0</v>
      </c>
      <c r="O480" s="6">
        <f>+Rendiciones[[#This Row],[Monto Neto ]]+Rendiciones[[#This Row],[Monto Exento ]]+Rendiciones[[#This Row],[Iva]]</f>
        <v>125373</v>
      </c>
      <c r="Q480" s="138"/>
      <c r="R480" s="20"/>
      <c r="S480" s="20">
        <f>Rendiciones[[#This Row],[Total ]]-Rendiciones[[#This Row],[Monto ]]</f>
        <v>125373</v>
      </c>
      <c r="U480" s="72"/>
    </row>
    <row r="481" spans="2:21" x14ac:dyDescent="0.3">
      <c r="B481" s="12" t="s">
        <v>557</v>
      </c>
      <c r="C481" s="12">
        <v>3</v>
      </c>
      <c r="D481" s="138">
        <v>46195</v>
      </c>
      <c r="E481" s="12" t="s">
        <v>567</v>
      </c>
      <c r="F481" s="11" t="str">
        <f>IF(Rendiciones[[#This Row],[Fecha ]]&lt;&gt;"",TEXT(Rendiciones[[#This Row],[Fecha ]],"MMMM"),"")</f>
        <v>junio</v>
      </c>
      <c r="G481" s="11" t="s">
        <v>559</v>
      </c>
      <c r="H481" s="12" t="s">
        <v>6</v>
      </c>
      <c r="I481" s="12" t="s">
        <v>52</v>
      </c>
      <c r="L481" s="20"/>
      <c r="M481" s="20">
        <v>14199.46</v>
      </c>
      <c r="N481" s="20">
        <f>Rendiciones[[#This Row],[Monto Neto ]]*19%</f>
        <v>0</v>
      </c>
      <c r="O481" s="6">
        <f>+Rendiciones[[#This Row],[Monto Neto ]]+Rendiciones[[#This Row],[Monto Exento ]]+Rendiciones[[#This Row],[Iva]]</f>
        <v>14199.46</v>
      </c>
      <c r="Q481" s="138"/>
      <c r="R481" s="20"/>
      <c r="S481" s="20">
        <f>Rendiciones[[#This Row],[Total ]]-Rendiciones[[#This Row],[Monto ]]</f>
        <v>14199.46</v>
      </c>
      <c r="U481" s="72"/>
    </row>
    <row r="482" spans="2:21" x14ac:dyDescent="0.3">
      <c r="B482" s="12" t="s">
        <v>557</v>
      </c>
      <c r="C482" s="12">
        <v>3</v>
      </c>
      <c r="D482" s="138">
        <v>46224</v>
      </c>
      <c r="E482" s="12" t="s">
        <v>545</v>
      </c>
      <c r="F482" s="11" t="str">
        <f>IF(Rendiciones[[#This Row],[Fecha ]]&lt;&gt;"",TEXT(Rendiciones[[#This Row],[Fecha ]],"MMMM"),"")</f>
        <v>julio</v>
      </c>
      <c r="G482" s="11" t="s">
        <v>559</v>
      </c>
      <c r="H482" s="12" t="s">
        <v>6</v>
      </c>
      <c r="I482" s="12" t="s">
        <v>95</v>
      </c>
      <c r="L482" s="20"/>
      <c r="M482" s="20">
        <v>495004</v>
      </c>
      <c r="N482" s="20">
        <f>Rendiciones[[#This Row],[Monto Neto ]]*19%</f>
        <v>0</v>
      </c>
      <c r="O482" s="6">
        <f>+Rendiciones[[#This Row],[Monto Neto ]]+Rendiciones[[#This Row],[Monto Exento ]]+Rendiciones[[#This Row],[Iva]]</f>
        <v>495004</v>
      </c>
      <c r="P482" t="s">
        <v>477</v>
      </c>
      <c r="Q482" s="138">
        <v>46240</v>
      </c>
      <c r="R482" s="20">
        <v>5000000</v>
      </c>
      <c r="S482" s="20">
        <f>Rendiciones[[#This Row],[Total ]]-Rendiciones[[#This Row],[Monto ]]</f>
        <v>-4504996</v>
      </c>
      <c r="U482" s="72"/>
    </row>
    <row r="483" spans="2:21" x14ac:dyDescent="0.3">
      <c r="B483" s="12" t="s">
        <v>557</v>
      </c>
      <c r="C483" s="12">
        <v>3</v>
      </c>
      <c r="D483" s="138">
        <v>46224</v>
      </c>
      <c r="E483" s="12" t="s">
        <v>545</v>
      </c>
      <c r="F483" s="11" t="str">
        <f>IF(Rendiciones[[#This Row],[Fecha ]]&lt;&gt;"",TEXT(Rendiciones[[#This Row],[Fecha ]],"MMMM"),"")</f>
        <v>julio</v>
      </c>
      <c r="G483" s="11" t="s">
        <v>559</v>
      </c>
      <c r="H483" s="12" t="s">
        <v>6</v>
      </c>
      <c r="I483" s="12" t="s">
        <v>59</v>
      </c>
      <c r="L483" s="20"/>
      <c r="M483" s="20">
        <v>18090</v>
      </c>
      <c r="N483" s="20">
        <f>Rendiciones[[#This Row],[Monto Neto ]]*19%</f>
        <v>0</v>
      </c>
      <c r="O483" s="6">
        <f>+Rendiciones[[#This Row],[Monto Neto ]]+Rendiciones[[#This Row],[Monto Exento ]]+Rendiciones[[#This Row],[Iva]]</f>
        <v>18090</v>
      </c>
      <c r="P483" t="s">
        <v>477</v>
      </c>
      <c r="Q483" s="138">
        <v>46240</v>
      </c>
      <c r="R483" s="20">
        <v>885225.49</v>
      </c>
      <c r="S483" s="20">
        <f>Rendiciones[[#This Row],[Total ]]-Rendiciones[[#This Row],[Monto ]]</f>
        <v>-867135.49</v>
      </c>
      <c r="U483" s="72"/>
    </row>
    <row r="484" spans="2:21" x14ac:dyDescent="0.3">
      <c r="B484" s="12" t="s">
        <v>467</v>
      </c>
      <c r="C484" s="12">
        <v>6</v>
      </c>
      <c r="D484" s="138">
        <v>46174</v>
      </c>
      <c r="E484" s="12" t="s">
        <v>553</v>
      </c>
      <c r="F484" s="11" t="str">
        <f>IF(Rendiciones[[#This Row],[Fecha ]]&lt;&gt;"",TEXT(Rendiciones[[#This Row],[Fecha ]],"MMMM"),"")</f>
        <v>junio</v>
      </c>
      <c r="G484" s="11" t="s">
        <v>428</v>
      </c>
      <c r="H484" s="12" t="s">
        <v>6</v>
      </c>
      <c r="I484" s="12" t="s">
        <v>28</v>
      </c>
      <c r="L484" s="20"/>
      <c r="M484" s="20">
        <v>10000</v>
      </c>
      <c r="N484" s="20">
        <f>Rendiciones[[#This Row],[Monto Neto ]]*19%</f>
        <v>0</v>
      </c>
      <c r="O484" s="6">
        <f>+Rendiciones[[#This Row],[Monto Neto ]]+Rendiciones[[#This Row],[Monto Exento ]]+Rendiciones[[#This Row],[Iva]]</f>
        <v>10000</v>
      </c>
      <c r="Q484" s="138"/>
      <c r="R484" s="20"/>
      <c r="S484" s="20"/>
      <c r="U484" s="72"/>
    </row>
    <row r="485" spans="2:21" x14ac:dyDescent="0.3">
      <c r="B485" s="12" t="s">
        <v>467</v>
      </c>
      <c r="C485" s="12">
        <v>6</v>
      </c>
      <c r="D485" s="138">
        <v>46174</v>
      </c>
      <c r="E485" s="12" t="s">
        <v>553</v>
      </c>
      <c r="F485" s="11" t="str">
        <f>IF(Rendiciones[[#This Row],[Fecha ]]&lt;&gt;"",TEXT(Rendiciones[[#This Row],[Fecha ]],"MMMM"),"")</f>
        <v>junio</v>
      </c>
      <c r="G485" s="11" t="s">
        <v>428</v>
      </c>
      <c r="H485" s="12" t="s">
        <v>6</v>
      </c>
      <c r="I485" s="12" t="s">
        <v>39</v>
      </c>
      <c r="L485" s="20"/>
      <c r="M485" s="20">
        <v>10000</v>
      </c>
      <c r="N485" s="20">
        <f>Rendiciones[[#This Row],[Monto Neto ]]*19%</f>
        <v>0</v>
      </c>
      <c r="O485" s="6">
        <f>+Rendiciones[[#This Row],[Monto Neto ]]+Rendiciones[[#This Row],[Monto Exento ]]+Rendiciones[[#This Row],[Iva]]</f>
        <v>10000</v>
      </c>
      <c r="Q485" s="138"/>
      <c r="R485" s="20"/>
      <c r="S485" s="20">
        <f>Rendiciones[[#This Row],[Total ]]-Rendiciones[[#This Row],[Monto ]]</f>
        <v>10000</v>
      </c>
      <c r="U485" s="72"/>
    </row>
    <row r="486" spans="2:21" x14ac:dyDescent="0.3">
      <c r="B486" s="12" t="s">
        <v>467</v>
      </c>
      <c r="C486" s="12">
        <v>7</v>
      </c>
      <c r="D486" s="138">
        <v>46203</v>
      </c>
      <c r="E486" s="12" t="s">
        <v>565</v>
      </c>
      <c r="F486" s="11" t="str">
        <f>IF(Rendiciones[[#This Row],[Fecha ]]&lt;&gt;"",TEXT(Rendiciones[[#This Row],[Fecha ]],"MMMM"),"")</f>
        <v>junio</v>
      </c>
      <c r="G486" s="11" t="s">
        <v>428</v>
      </c>
      <c r="H486" s="12" t="s">
        <v>6</v>
      </c>
      <c r="I486" s="12" t="s">
        <v>60</v>
      </c>
      <c r="K486" s="1" t="s">
        <v>81</v>
      </c>
      <c r="L486" s="20"/>
      <c r="M486" s="20">
        <f>145623+158623</f>
        <v>304246</v>
      </c>
      <c r="N486" s="20">
        <f>Rendiciones[[#This Row],[Monto Neto ]]*19%</f>
        <v>0</v>
      </c>
      <c r="O486" s="6">
        <f>+Rendiciones[[#This Row],[Monto Neto ]]+Rendiciones[[#This Row],[Monto Exento ]]+Rendiciones[[#This Row],[Iva]]</f>
        <v>304246</v>
      </c>
      <c r="Q486" s="138"/>
      <c r="R486" s="20"/>
      <c r="S486" s="20">
        <f>Rendiciones[[#This Row],[Total ]]-Rendiciones[[#This Row],[Monto ]]</f>
        <v>304246</v>
      </c>
      <c r="U486" s="72"/>
    </row>
    <row r="487" spans="2:21" x14ac:dyDescent="0.3">
      <c r="B487" s="12" t="s">
        <v>467</v>
      </c>
      <c r="C487" s="12">
        <v>7</v>
      </c>
      <c r="D487" s="138">
        <v>46203</v>
      </c>
      <c r="E487" s="12" t="s">
        <v>565</v>
      </c>
      <c r="F487" s="11" t="str">
        <f>IF(Rendiciones[[#This Row],[Fecha ]]&lt;&gt;"",TEXT(Rendiciones[[#This Row],[Fecha ]],"MMMM"),"")</f>
        <v>junio</v>
      </c>
      <c r="G487" s="11" t="s">
        <v>428</v>
      </c>
      <c r="H487" s="12" t="s">
        <v>6</v>
      </c>
      <c r="I487" s="12" t="s">
        <v>40</v>
      </c>
      <c r="K487" s="1" t="s">
        <v>81</v>
      </c>
      <c r="L487" s="20">
        <v>123854</v>
      </c>
      <c r="M487" s="20"/>
      <c r="N487" s="20">
        <f>Rendiciones[[#This Row],[Monto Neto ]]*19%</f>
        <v>23532.260000000002</v>
      </c>
      <c r="O487" s="6">
        <f>+Rendiciones[[#This Row],[Monto Neto ]]+Rendiciones[[#This Row],[Monto Exento ]]+Rendiciones[[#This Row],[Iva]]</f>
        <v>147386.26</v>
      </c>
      <c r="Q487" s="138"/>
      <c r="R487" s="20"/>
      <c r="S487" s="20">
        <f>Rendiciones[[#This Row],[Total ]]-Rendiciones[[#This Row],[Monto ]]</f>
        <v>147386.26</v>
      </c>
      <c r="U487" s="72"/>
    </row>
    <row r="488" spans="2:21" x14ac:dyDescent="0.3">
      <c r="B488" s="12" t="s">
        <v>467</v>
      </c>
      <c r="C488" s="12">
        <v>7</v>
      </c>
      <c r="D488" s="138">
        <v>46203</v>
      </c>
      <c r="E488" s="12" t="s">
        <v>565</v>
      </c>
      <c r="F488" s="11" t="str">
        <f>IF(Rendiciones[[#This Row],[Fecha ]]&lt;&gt;"",TEXT(Rendiciones[[#This Row],[Fecha ]],"MMMM"),"")</f>
        <v>junio</v>
      </c>
      <c r="G488" s="11" t="s">
        <v>428</v>
      </c>
      <c r="H488" s="12" t="s">
        <v>6</v>
      </c>
      <c r="I488" s="12" t="s">
        <v>40</v>
      </c>
      <c r="K488" s="1" t="s">
        <v>81</v>
      </c>
      <c r="L488" s="20">
        <v>67238</v>
      </c>
      <c r="M488" s="20"/>
      <c r="N488" s="20">
        <f>Rendiciones[[#This Row],[Monto Neto ]]*19%</f>
        <v>12775.22</v>
      </c>
      <c r="O488" s="6">
        <f>+Rendiciones[[#This Row],[Monto Neto ]]+Rendiciones[[#This Row],[Monto Exento ]]+Rendiciones[[#This Row],[Iva]]</f>
        <v>80013.22</v>
      </c>
      <c r="Q488" s="138"/>
      <c r="R488" s="20"/>
      <c r="S488" s="20">
        <f>Rendiciones[[#This Row],[Total ]]-Rendiciones[[#This Row],[Monto ]]</f>
        <v>80013.22</v>
      </c>
      <c r="U488" s="72"/>
    </row>
    <row r="489" spans="2:21" x14ac:dyDescent="0.3">
      <c r="B489" s="12" t="s">
        <v>467</v>
      </c>
      <c r="C489" s="12">
        <v>7</v>
      </c>
      <c r="D489" s="138">
        <v>46203</v>
      </c>
      <c r="E489" s="12" t="s">
        <v>565</v>
      </c>
      <c r="F489" s="11" t="str">
        <f>IF(Rendiciones[[#This Row],[Fecha ]]&lt;&gt;"",TEXT(Rendiciones[[#This Row],[Fecha ]],"MMMM"),"")</f>
        <v>junio</v>
      </c>
      <c r="G489" s="11" t="s">
        <v>428</v>
      </c>
      <c r="H489" s="12" t="s">
        <v>6</v>
      </c>
      <c r="I489" s="12" t="s">
        <v>31</v>
      </c>
      <c r="K489" s="1" t="s">
        <v>81</v>
      </c>
      <c r="L489" s="20"/>
      <c r="M489" s="20">
        <v>38000</v>
      </c>
      <c r="N489" s="20">
        <f>Rendiciones[[#This Row],[Monto Neto ]]*19%</f>
        <v>0</v>
      </c>
      <c r="O489" s="6">
        <f>+Rendiciones[[#This Row],[Monto Neto ]]+Rendiciones[[#This Row],[Monto Exento ]]+Rendiciones[[#This Row],[Iva]]</f>
        <v>38000</v>
      </c>
      <c r="Q489" s="138"/>
      <c r="R489" s="20"/>
      <c r="S489" s="20">
        <f>Rendiciones[[#This Row],[Total ]]-Rendiciones[[#This Row],[Monto ]]</f>
        <v>38000</v>
      </c>
      <c r="U489" s="72"/>
    </row>
    <row r="490" spans="2:21" x14ac:dyDescent="0.3">
      <c r="B490" s="12" t="s">
        <v>467</v>
      </c>
      <c r="C490" s="12">
        <v>7</v>
      </c>
      <c r="D490" s="138">
        <v>46203</v>
      </c>
      <c r="E490" s="12" t="s">
        <v>565</v>
      </c>
      <c r="F490" s="11" t="str">
        <f>IF(Rendiciones[[#This Row],[Fecha ]]&lt;&gt;"",TEXT(Rendiciones[[#This Row],[Fecha ]],"MMMM"),"")</f>
        <v>junio</v>
      </c>
      <c r="G490" s="11" t="s">
        <v>428</v>
      </c>
      <c r="H490" s="12" t="s">
        <v>6</v>
      </c>
      <c r="I490" s="12" t="s">
        <v>31</v>
      </c>
      <c r="K490" s="1" t="s">
        <v>81</v>
      </c>
      <c r="L490" s="20"/>
      <c r="M490" s="20">
        <v>60000</v>
      </c>
      <c r="N490" s="20">
        <f>Rendiciones[[#This Row],[Monto Neto ]]*19%</f>
        <v>0</v>
      </c>
      <c r="O490" s="6">
        <f>+Rendiciones[[#This Row],[Monto Neto ]]+Rendiciones[[#This Row],[Monto Exento ]]+Rendiciones[[#This Row],[Iva]]</f>
        <v>60000</v>
      </c>
      <c r="Q490" s="138"/>
      <c r="R490" s="20"/>
      <c r="S490" s="20">
        <f>Rendiciones[[#This Row],[Total ]]-Rendiciones[[#This Row],[Monto ]]</f>
        <v>60000</v>
      </c>
      <c r="U490" s="72"/>
    </row>
    <row r="491" spans="2:21" x14ac:dyDescent="0.3">
      <c r="B491" s="12" t="s">
        <v>467</v>
      </c>
      <c r="C491" s="12">
        <v>7</v>
      </c>
      <c r="D491" s="138">
        <v>46203</v>
      </c>
      <c r="E491" s="12" t="s">
        <v>565</v>
      </c>
      <c r="F491" s="11" t="str">
        <f>IF(Rendiciones[[#This Row],[Fecha ]]&lt;&gt;"",TEXT(Rendiciones[[#This Row],[Fecha ]],"MMMM"),"")</f>
        <v>junio</v>
      </c>
      <c r="G491" s="11" t="s">
        <v>428</v>
      </c>
      <c r="H491" s="12" t="s">
        <v>6</v>
      </c>
      <c r="I491" s="12" t="s">
        <v>429</v>
      </c>
      <c r="K491" s="1" t="s">
        <v>81</v>
      </c>
      <c r="L491" s="20">
        <v>30252</v>
      </c>
      <c r="M491" s="20"/>
      <c r="N491" s="20">
        <f>Rendiciones[[#This Row],[Monto Neto ]]*19%</f>
        <v>5747.88</v>
      </c>
      <c r="O491" s="6">
        <f>+Rendiciones[[#This Row],[Monto Neto ]]+Rendiciones[[#This Row],[Monto Exento ]]+Rendiciones[[#This Row],[Iva]]</f>
        <v>35999.879999999997</v>
      </c>
      <c r="Q491" s="138"/>
      <c r="R491" s="20"/>
      <c r="S491" s="20">
        <f>Rendiciones[[#This Row],[Total ]]-Rendiciones[[#This Row],[Monto ]]</f>
        <v>35999.879999999997</v>
      </c>
      <c r="U491" s="72"/>
    </row>
    <row r="492" spans="2:21" x14ac:dyDescent="0.3">
      <c r="B492" s="12" t="s">
        <v>467</v>
      </c>
      <c r="C492" s="12">
        <v>7</v>
      </c>
      <c r="D492" s="138">
        <v>46203</v>
      </c>
      <c r="E492" s="12" t="s">
        <v>565</v>
      </c>
      <c r="F492" s="11" t="str">
        <f>IF(Rendiciones[[#This Row],[Fecha ]]&lt;&gt;"",TEXT(Rendiciones[[#This Row],[Fecha ]],"MMMM"),"")</f>
        <v>junio</v>
      </c>
      <c r="G492" s="11" t="s">
        <v>428</v>
      </c>
      <c r="H492" s="12" t="s">
        <v>6</v>
      </c>
      <c r="I492" s="12" t="s">
        <v>31</v>
      </c>
      <c r="K492" s="1" t="s">
        <v>81</v>
      </c>
      <c r="L492" s="20"/>
      <c r="M492" s="20">
        <v>40000</v>
      </c>
      <c r="N492" s="20">
        <f>Rendiciones[[#This Row],[Monto Neto ]]*19%</f>
        <v>0</v>
      </c>
      <c r="O492" s="6">
        <f>+Rendiciones[[#This Row],[Monto Neto ]]+Rendiciones[[#This Row],[Monto Exento ]]+Rendiciones[[#This Row],[Iva]]</f>
        <v>40000</v>
      </c>
      <c r="Q492" s="138"/>
      <c r="R492" s="20"/>
      <c r="S492" s="20">
        <f>Rendiciones[[#This Row],[Total ]]-Rendiciones[[#This Row],[Monto ]]</f>
        <v>40000</v>
      </c>
      <c r="U492" s="72"/>
    </row>
    <row r="493" spans="2:21" x14ac:dyDescent="0.3">
      <c r="B493" s="12" t="s">
        <v>467</v>
      </c>
      <c r="C493" s="12">
        <v>7</v>
      </c>
      <c r="D493" s="138">
        <v>46203</v>
      </c>
      <c r="E493" s="12" t="s">
        <v>565</v>
      </c>
      <c r="F493" s="11" t="str">
        <f>IF(Rendiciones[[#This Row],[Fecha ]]&lt;&gt;"",TEXT(Rendiciones[[#This Row],[Fecha ]],"MMMM"),"")</f>
        <v>junio</v>
      </c>
      <c r="G493" s="11" t="s">
        <v>428</v>
      </c>
      <c r="H493" s="12" t="s">
        <v>6</v>
      </c>
      <c r="I493" s="12" t="s">
        <v>429</v>
      </c>
      <c r="L493" s="20"/>
      <c r="M493" s="20">
        <f>12510+10800+11440+8400+14168</f>
        <v>57318</v>
      </c>
      <c r="N493" s="20">
        <f>Rendiciones[[#This Row],[Monto Neto ]]*19%</f>
        <v>0</v>
      </c>
      <c r="O493" s="6">
        <f>+Rendiciones[[#This Row],[Monto Neto ]]+Rendiciones[[#This Row],[Monto Exento ]]+Rendiciones[[#This Row],[Iva]]</f>
        <v>57318</v>
      </c>
      <c r="Q493" s="138"/>
      <c r="R493" s="20"/>
      <c r="S493" s="20">
        <f>Rendiciones[[#This Row],[Total ]]-Rendiciones[[#This Row],[Monto ]]</f>
        <v>57318</v>
      </c>
      <c r="U493" s="72"/>
    </row>
    <row r="494" spans="2:21" x14ac:dyDescent="0.3">
      <c r="B494" s="12" t="s">
        <v>467</v>
      </c>
      <c r="C494" s="12">
        <v>7</v>
      </c>
      <c r="D494" s="138">
        <v>46203</v>
      </c>
      <c r="E494" s="12" t="s">
        <v>565</v>
      </c>
      <c r="F494" s="11" t="str">
        <f>IF(Rendiciones[[#This Row],[Fecha ]]&lt;&gt;"",TEXT(Rendiciones[[#This Row],[Fecha ]],"MMMM"),"")</f>
        <v>junio</v>
      </c>
      <c r="G494" s="11" t="s">
        <v>428</v>
      </c>
      <c r="H494" s="12" t="s">
        <v>6</v>
      </c>
      <c r="I494" s="12" t="s">
        <v>65</v>
      </c>
      <c r="L494" s="20"/>
      <c r="M494" s="20">
        <f>31350+17930</f>
        <v>49280</v>
      </c>
      <c r="N494" s="20">
        <f>Rendiciones[[#This Row],[Monto Neto ]]*19%</f>
        <v>0</v>
      </c>
      <c r="O494" s="6">
        <f>+Rendiciones[[#This Row],[Monto Neto ]]+Rendiciones[[#This Row],[Monto Exento ]]+Rendiciones[[#This Row],[Iva]]</f>
        <v>49280</v>
      </c>
      <c r="Q494" s="138"/>
      <c r="R494" s="20"/>
      <c r="S494" s="20">
        <f>Rendiciones[[#This Row],[Total ]]-Rendiciones[[#This Row],[Monto ]]</f>
        <v>49280</v>
      </c>
      <c r="U494" s="72"/>
    </row>
    <row r="495" spans="2:21" x14ac:dyDescent="0.3">
      <c r="B495" s="12" t="s">
        <v>467</v>
      </c>
      <c r="C495" s="12">
        <v>7</v>
      </c>
      <c r="D495" s="138">
        <v>46203</v>
      </c>
      <c r="E495" s="12" t="s">
        <v>565</v>
      </c>
      <c r="F495" s="11" t="str">
        <f>IF(Rendiciones[[#This Row],[Fecha ]]&lt;&gt;"",TEXT(Rendiciones[[#This Row],[Fecha ]],"MMMM"),"")</f>
        <v>junio</v>
      </c>
      <c r="G495" s="11" t="s">
        <v>428</v>
      </c>
      <c r="H495" s="12" t="s">
        <v>6</v>
      </c>
      <c r="I495" s="12" t="s">
        <v>52</v>
      </c>
      <c r="L495" s="20"/>
      <c r="M495" s="20">
        <v>28000</v>
      </c>
      <c r="N495" s="20">
        <f>Rendiciones[[#This Row],[Monto Neto ]]*19%</f>
        <v>0</v>
      </c>
      <c r="O495" s="6">
        <f>+Rendiciones[[#This Row],[Monto Neto ]]+Rendiciones[[#This Row],[Monto Exento ]]+Rendiciones[[#This Row],[Iva]]</f>
        <v>28000</v>
      </c>
      <c r="Q495" s="138"/>
      <c r="R495" s="20"/>
      <c r="S495" s="20">
        <f>Rendiciones[[#This Row],[Total ]]-Rendiciones[[#This Row],[Monto ]]</f>
        <v>28000</v>
      </c>
      <c r="U495" s="72"/>
    </row>
    <row r="496" spans="2:21" x14ac:dyDescent="0.3">
      <c r="B496" s="12" t="s">
        <v>467</v>
      </c>
      <c r="C496" s="12">
        <v>7</v>
      </c>
      <c r="D496" s="138">
        <v>46203</v>
      </c>
      <c r="E496" s="12" t="s">
        <v>565</v>
      </c>
      <c r="F496" s="11" t="str">
        <f>IF(Rendiciones[[#This Row],[Fecha ]]&lt;&gt;"",TEXT(Rendiciones[[#This Row],[Fecha ]],"MMMM"),"")</f>
        <v>junio</v>
      </c>
      <c r="G496" s="11" t="s">
        <v>428</v>
      </c>
      <c r="H496" s="12" t="s">
        <v>6</v>
      </c>
      <c r="I496" s="12" t="s">
        <v>31</v>
      </c>
      <c r="L496" s="20"/>
      <c r="M496" s="20">
        <f>3500+26800</f>
        <v>30300</v>
      </c>
      <c r="N496" s="20">
        <f>Rendiciones[[#This Row],[Monto Neto ]]*19%</f>
        <v>0</v>
      </c>
      <c r="O496" s="6">
        <f>+Rendiciones[[#This Row],[Monto Neto ]]+Rendiciones[[#This Row],[Monto Exento ]]+Rendiciones[[#This Row],[Iva]]</f>
        <v>30300</v>
      </c>
      <c r="Q496" s="138"/>
      <c r="R496" s="20"/>
      <c r="S496" s="20">
        <f>Rendiciones[[#This Row],[Total ]]-Rendiciones[[#This Row],[Monto ]]</f>
        <v>30300</v>
      </c>
      <c r="U496" s="72"/>
    </row>
    <row r="497" spans="2:21" x14ac:dyDescent="0.3">
      <c r="B497" s="12" t="s">
        <v>467</v>
      </c>
      <c r="D497" s="138">
        <v>46211</v>
      </c>
      <c r="F497" s="11" t="str">
        <f>IF(Rendiciones[[#This Row],[Fecha ]]&lt;&gt;"",TEXT(Rendiciones[[#This Row],[Fecha ]],"MMMM"),"")</f>
        <v>julio</v>
      </c>
      <c r="G497" s="11"/>
      <c r="L497" s="20"/>
      <c r="M497" s="20"/>
      <c r="N497" s="20">
        <f>Rendiciones[[#This Row],[Monto Neto ]]*19%</f>
        <v>0</v>
      </c>
      <c r="O497" s="6">
        <f>+Rendiciones[[#This Row],[Monto Neto ]]+Rendiciones[[#This Row],[Monto Exento ]]+Rendiciones[[#This Row],[Iva]]</f>
        <v>0</v>
      </c>
      <c r="P497" t="s">
        <v>89</v>
      </c>
      <c r="Q497" s="138">
        <v>46212</v>
      </c>
      <c r="R497" s="20">
        <v>900000</v>
      </c>
      <c r="S497" s="20">
        <f>Rendiciones[[#This Row],[Total ]]-Rendiciones[[#This Row],[Monto ]]</f>
        <v>-900000</v>
      </c>
      <c r="U497" s="72"/>
    </row>
    <row r="498" spans="2:21" x14ac:dyDescent="0.3">
      <c r="B498" s="12" t="s">
        <v>435</v>
      </c>
      <c r="C498" s="12">
        <v>13</v>
      </c>
      <c r="D498" s="138">
        <v>46231</v>
      </c>
      <c r="E498" s="12" t="s">
        <v>574</v>
      </c>
      <c r="F498" s="11" t="str">
        <f>IF(Rendiciones[[#This Row],[Fecha ]]&lt;&gt;"",TEXT(Rendiciones[[#This Row],[Fecha ]],"MMMM"),"")</f>
        <v>julio</v>
      </c>
      <c r="G498" s="11" t="s">
        <v>428</v>
      </c>
      <c r="H498" s="12" t="s">
        <v>5</v>
      </c>
      <c r="I498" s="12" t="s">
        <v>52</v>
      </c>
      <c r="L498" s="20"/>
      <c r="M498" s="20">
        <v>27521</v>
      </c>
      <c r="N498" s="20">
        <f>Rendiciones[[#This Row],[Monto Neto ]]*19%</f>
        <v>0</v>
      </c>
      <c r="O498" s="6">
        <f>+Rendiciones[[#This Row],[Monto Neto ]]+Rendiciones[[#This Row],[Monto Exento ]]+Rendiciones[[#This Row],[Iva]]</f>
        <v>27521</v>
      </c>
      <c r="P498" t="s">
        <v>89</v>
      </c>
      <c r="Q498" s="138">
        <v>46232</v>
      </c>
      <c r="R498" s="20">
        <v>27521</v>
      </c>
      <c r="S498" s="20">
        <f>Rendiciones[[#This Row],[Total ]]-Rendiciones[[#This Row],[Monto ]]</f>
        <v>0</v>
      </c>
      <c r="U498" s="72"/>
    </row>
    <row r="499" spans="2:21" x14ac:dyDescent="0.3">
      <c r="B499" s="12" t="s">
        <v>435</v>
      </c>
      <c r="C499" s="12">
        <v>14</v>
      </c>
      <c r="D499" s="138">
        <v>46238</v>
      </c>
      <c r="E499" s="12" t="s">
        <v>575</v>
      </c>
      <c r="F499" s="11" t="str">
        <f>IF(Rendiciones[[#This Row],[Fecha ]]&lt;&gt;"",TEXT(Rendiciones[[#This Row],[Fecha ]],"MMMM"),"")</f>
        <v>agosto</v>
      </c>
      <c r="G499" s="11" t="s">
        <v>428</v>
      </c>
      <c r="H499" s="12" t="s">
        <v>9</v>
      </c>
      <c r="I499" s="12" t="s">
        <v>66</v>
      </c>
      <c r="K499" s="1" t="s">
        <v>81</v>
      </c>
      <c r="L499" s="20"/>
      <c r="M499" s="20">
        <v>478777</v>
      </c>
      <c r="N499" s="20">
        <f>Rendiciones[[#This Row],[Monto Neto ]]*19%</f>
        <v>0</v>
      </c>
      <c r="O499" s="6">
        <f>+Rendiciones[[#This Row],[Monto Neto ]]+Rendiciones[[#This Row],[Monto Exento ]]+Rendiciones[[#This Row],[Iva]]</f>
        <v>478777</v>
      </c>
      <c r="P499" t="s">
        <v>477</v>
      </c>
      <c r="Q499" s="138">
        <v>46240</v>
      </c>
      <c r="R499" s="20">
        <v>478777</v>
      </c>
      <c r="S499" s="20">
        <f>Rendiciones[[#This Row],[Total ]]-Rendiciones[[#This Row],[Monto ]]</f>
        <v>0</v>
      </c>
      <c r="U499" s="72"/>
    </row>
    <row r="500" spans="2:21" x14ac:dyDescent="0.3">
      <c r="B500" s="12" t="s">
        <v>435</v>
      </c>
      <c r="C500" s="12">
        <v>15</v>
      </c>
      <c r="D500" s="138">
        <v>46240</v>
      </c>
      <c r="E500" s="12" t="s">
        <v>575</v>
      </c>
      <c r="F500" s="11" t="str">
        <f>IF(Rendiciones[[#This Row],[Fecha ]]&lt;&gt;"",TEXT(Rendiciones[[#This Row],[Fecha ]],"MMMM"),"")</f>
        <v>agosto</v>
      </c>
      <c r="G500" s="11" t="s">
        <v>428</v>
      </c>
      <c r="H500" s="12" t="s">
        <v>5</v>
      </c>
      <c r="I500" s="12" t="s">
        <v>52</v>
      </c>
      <c r="L500" s="20"/>
      <c r="M500" s="20">
        <f>61963+5000</f>
        <v>66963</v>
      </c>
      <c r="N500" s="20">
        <f>Rendiciones[[#This Row],[Monto Neto ]]*19%</f>
        <v>0</v>
      </c>
      <c r="O500" s="6">
        <f>+Rendiciones[[#This Row],[Monto Neto ]]+Rendiciones[[#This Row],[Monto Exento ]]+Rendiciones[[#This Row],[Iva]]</f>
        <v>66963</v>
      </c>
      <c r="P500" t="s">
        <v>477</v>
      </c>
      <c r="Q500" s="138">
        <v>46241</v>
      </c>
      <c r="R500" s="20">
        <v>66963</v>
      </c>
      <c r="S500" s="20">
        <f>Rendiciones[[#This Row],[Total ]]-Rendiciones[[#This Row],[Monto ]]</f>
        <v>0</v>
      </c>
      <c r="U500" s="72"/>
    </row>
    <row r="501" spans="2:21" x14ac:dyDescent="0.3">
      <c r="B501" s="12" t="s">
        <v>17</v>
      </c>
      <c r="C501" s="12">
        <v>31</v>
      </c>
      <c r="D501" s="138">
        <v>46237</v>
      </c>
      <c r="E501" s="12" t="s">
        <v>575</v>
      </c>
      <c r="F501" s="11" t="str">
        <f>IF(Rendiciones[[#This Row],[Fecha ]]&lt;&gt;"",TEXT(Rendiciones[[#This Row],[Fecha ]],"MMMM"),"")</f>
        <v>agosto</v>
      </c>
      <c r="G501" s="11" t="s">
        <v>428</v>
      </c>
      <c r="H501" s="12" t="s">
        <v>102</v>
      </c>
      <c r="I501" s="12" t="s">
        <v>98</v>
      </c>
      <c r="L501" s="20"/>
      <c r="M501" s="20">
        <v>70389</v>
      </c>
      <c r="N501" s="20">
        <f>Rendiciones[[#This Row],[Monto Neto ]]*19%</f>
        <v>0</v>
      </c>
      <c r="O501" s="6">
        <f>+Rendiciones[[#This Row],[Monto Neto ]]+Rendiciones[[#This Row],[Monto Exento ]]+Rendiciones[[#This Row],[Iva]]</f>
        <v>70389</v>
      </c>
      <c r="P501" t="s">
        <v>89</v>
      </c>
      <c r="Q501" s="138">
        <v>46227</v>
      </c>
      <c r="R501" s="20">
        <v>70388.920000000042</v>
      </c>
      <c r="S501" s="20">
        <f>Rendiciones[[#This Row],[Total ]]-Rendiciones[[#This Row],[Monto ]]</f>
        <v>7.9999999958090484E-2</v>
      </c>
      <c r="U501" s="72"/>
    </row>
    <row r="502" spans="2:21" x14ac:dyDescent="0.3">
      <c r="B502" s="12" t="s">
        <v>20</v>
      </c>
      <c r="C502" s="12">
        <v>19</v>
      </c>
      <c r="D502" s="138">
        <v>46233</v>
      </c>
      <c r="E502" s="12" t="s">
        <v>574</v>
      </c>
      <c r="F502" s="11" t="str">
        <f>IF(Rendiciones[[#This Row],[Fecha ]]&lt;&gt;"",TEXT(Rendiciones[[#This Row],[Fecha ]],"MMMM"),"")</f>
        <v>julio</v>
      </c>
      <c r="G502" s="11" t="s">
        <v>428</v>
      </c>
      <c r="H502" s="12" t="s">
        <v>10</v>
      </c>
      <c r="I502" s="12" t="s">
        <v>459</v>
      </c>
      <c r="J502" s="1" t="s">
        <v>576</v>
      </c>
      <c r="L502" s="20"/>
      <c r="M502" s="20">
        <v>1646165</v>
      </c>
      <c r="N502" s="20">
        <f>Rendiciones[[#This Row],[Monto Neto ]]*19%</f>
        <v>0</v>
      </c>
      <c r="O502" s="6">
        <f>+Rendiciones[[#This Row],[Monto Neto ]]+Rendiciones[[#This Row],[Monto Exento ]]+Rendiciones[[#This Row],[Iva]]</f>
        <v>1646165</v>
      </c>
      <c r="Q502" s="138"/>
      <c r="R502" s="20"/>
      <c r="S502" s="20">
        <f>Rendiciones[[#This Row],[Total ]]-Rendiciones[[#This Row],[Monto ]]</f>
        <v>1646165</v>
      </c>
      <c r="U502" s="72"/>
    </row>
    <row r="503" spans="2:21" x14ac:dyDescent="0.3">
      <c r="B503" s="12" t="s">
        <v>20</v>
      </c>
      <c r="C503" s="12">
        <v>19</v>
      </c>
      <c r="D503" s="138">
        <v>46233</v>
      </c>
      <c r="E503" s="12" t="s">
        <v>574</v>
      </c>
      <c r="F503" s="11" t="str">
        <f>IF(Rendiciones[[#This Row],[Fecha ]]&lt;&gt;"",TEXT(Rendiciones[[#This Row],[Fecha ]],"MMMM"),"")</f>
        <v>julio</v>
      </c>
      <c r="G503" s="11" t="s">
        <v>428</v>
      </c>
      <c r="H503" s="12" t="s">
        <v>9</v>
      </c>
      <c r="I503" s="12" t="s">
        <v>59</v>
      </c>
      <c r="L503" s="20"/>
      <c r="M503" s="20">
        <v>8001</v>
      </c>
      <c r="N503" s="20">
        <f>Rendiciones[[#This Row],[Monto Neto ]]*19%</f>
        <v>0</v>
      </c>
      <c r="O503" s="6">
        <f>+Rendiciones[[#This Row],[Monto Neto ]]+Rendiciones[[#This Row],[Monto Exento ]]+Rendiciones[[#This Row],[Iva]]</f>
        <v>8001</v>
      </c>
      <c r="Q503" s="138"/>
      <c r="R503" s="20"/>
      <c r="S503" s="20">
        <f>Rendiciones[[#This Row],[Total ]]-Rendiciones[[#This Row],[Monto ]]</f>
        <v>8001</v>
      </c>
      <c r="U503" s="72"/>
    </row>
    <row r="504" spans="2:21" x14ac:dyDescent="0.3">
      <c r="B504" s="12" t="s">
        <v>20</v>
      </c>
      <c r="C504" s="12">
        <v>19</v>
      </c>
      <c r="D504" s="138">
        <v>46233</v>
      </c>
      <c r="E504" s="12" t="s">
        <v>574</v>
      </c>
      <c r="F504" s="11" t="str">
        <f>IF(Rendiciones[[#This Row],[Fecha ]]&lt;&gt;"",TEXT(Rendiciones[[#This Row],[Fecha ]],"MMMM"),"")</f>
        <v>julio</v>
      </c>
      <c r="G504" s="11" t="s">
        <v>428</v>
      </c>
      <c r="H504" s="12" t="s">
        <v>9</v>
      </c>
      <c r="I504" s="12" t="s">
        <v>44</v>
      </c>
      <c r="L504" s="20"/>
      <c r="M504" s="20">
        <v>6600</v>
      </c>
      <c r="N504" s="20">
        <f>Rendiciones[[#This Row],[Monto Neto ]]*19%</f>
        <v>0</v>
      </c>
      <c r="O504" s="6">
        <f>+Rendiciones[[#This Row],[Monto Neto ]]+Rendiciones[[#This Row],[Monto Exento ]]+Rendiciones[[#This Row],[Iva]]</f>
        <v>6600</v>
      </c>
      <c r="P504" t="s">
        <v>89</v>
      </c>
      <c r="Q504" s="138">
        <v>46234</v>
      </c>
      <c r="R504" s="20">
        <v>1660766</v>
      </c>
      <c r="S504" s="20">
        <f>Rendiciones[[#This Row],[Total ]]-Rendiciones[[#This Row],[Monto ]]</f>
        <v>-1654166</v>
      </c>
      <c r="U504" s="72"/>
    </row>
    <row r="505" spans="2:21" x14ac:dyDescent="0.3">
      <c r="B505" s="12" t="s">
        <v>519</v>
      </c>
      <c r="C505" s="12">
        <v>16</v>
      </c>
      <c r="D505" s="138">
        <v>46231</v>
      </c>
      <c r="E505" s="12" t="s">
        <v>574</v>
      </c>
      <c r="F505" s="11" t="str">
        <f>IF(Rendiciones[[#This Row],[Fecha ]]&lt;&gt;"",TEXT(Rendiciones[[#This Row],[Fecha ]],"MMMM"),"")</f>
        <v>julio</v>
      </c>
      <c r="G505" s="11" t="s">
        <v>428</v>
      </c>
      <c r="H505" s="12" t="s">
        <v>6</v>
      </c>
      <c r="I505" s="12" t="s">
        <v>28</v>
      </c>
      <c r="K505" s="1" t="s">
        <v>81</v>
      </c>
      <c r="L505" s="20">
        <v>35082</v>
      </c>
      <c r="M505" s="20">
        <f>16015-4416.4</f>
        <v>11598.6</v>
      </c>
      <c r="N505" s="20">
        <f>Rendiciones[[#This Row],[Monto Neto ]]*19%</f>
        <v>6665.58</v>
      </c>
      <c r="O505" s="6">
        <f>+Rendiciones[[#This Row],[Monto Neto ]]+Rendiciones[[#This Row],[Monto Exento ]]+Rendiciones[[#This Row],[Iva]]</f>
        <v>53346.18</v>
      </c>
      <c r="Q505" s="138"/>
      <c r="R505" s="20"/>
      <c r="S505" s="20">
        <f>Rendiciones[[#This Row],[Total ]]-Rendiciones[[#This Row],[Monto ]]</f>
        <v>53346.18</v>
      </c>
      <c r="U505" s="72"/>
    </row>
    <row r="506" spans="2:21" x14ac:dyDescent="0.3">
      <c r="B506" s="12" t="s">
        <v>519</v>
      </c>
      <c r="C506" s="12">
        <v>16</v>
      </c>
      <c r="D506" s="138">
        <v>46231</v>
      </c>
      <c r="E506" s="12" t="s">
        <v>574</v>
      </c>
      <c r="F506" s="11" t="str">
        <f>IF(Rendiciones[[#This Row],[Fecha ]]&lt;&gt;"",TEXT(Rendiciones[[#This Row],[Fecha ]],"MMMM"),"")</f>
        <v>julio</v>
      </c>
      <c r="G506" s="11" t="s">
        <v>428</v>
      </c>
      <c r="H506" s="12" t="s">
        <v>10</v>
      </c>
      <c r="I506" s="12" t="s">
        <v>60</v>
      </c>
      <c r="K506" s="1" t="s">
        <v>81</v>
      </c>
      <c r="L506" s="20"/>
      <c r="M506" s="20">
        <v>371695</v>
      </c>
      <c r="N506" s="20">
        <f>Rendiciones[[#This Row],[Monto Neto ]]*19%</f>
        <v>0</v>
      </c>
      <c r="O506" s="6">
        <f>+Rendiciones[[#This Row],[Monto Neto ]]+Rendiciones[[#This Row],[Monto Exento ]]+Rendiciones[[#This Row],[Iva]]</f>
        <v>371695</v>
      </c>
      <c r="Q506" s="138"/>
      <c r="R506" s="20"/>
      <c r="S506" s="20">
        <f>Rendiciones[[#This Row],[Total ]]-Rendiciones[[#This Row],[Monto ]]</f>
        <v>371695</v>
      </c>
      <c r="U506" s="72"/>
    </row>
    <row r="507" spans="2:21" x14ac:dyDescent="0.3">
      <c r="B507" s="12" t="s">
        <v>519</v>
      </c>
      <c r="C507" s="12">
        <v>16</v>
      </c>
      <c r="D507" s="138">
        <v>46231</v>
      </c>
      <c r="E507" s="12" t="s">
        <v>574</v>
      </c>
      <c r="F507" s="11" t="str">
        <f>IF(Rendiciones[[#This Row],[Fecha ]]&lt;&gt;"",TEXT(Rendiciones[[#This Row],[Fecha ]],"MMMM"),"")</f>
        <v>julio</v>
      </c>
      <c r="G507" s="11" t="s">
        <v>428</v>
      </c>
      <c r="H507" s="12" t="s">
        <v>6</v>
      </c>
      <c r="I507" s="12" t="s">
        <v>29</v>
      </c>
      <c r="L507" s="20"/>
      <c r="M507" s="20">
        <f>4200+2200+750+3200+5425+7470+3550</f>
        <v>26795</v>
      </c>
      <c r="N507" s="20">
        <f>Rendiciones[[#This Row],[Monto Neto ]]*19%</f>
        <v>0</v>
      </c>
      <c r="O507" s="6">
        <f>+Rendiciones[[#This Row],[Monto Neto ]]+Rendiciones[[#This Row],[Monto Exento ]]+Rendiciones[[#This Row],[Iva]]</f>
        <v>26795</v>
      </c>
      <c r="Q507" s="138"/>
      <c r="R507" s="20"/>
      <c r="S507" s="20">
        <f>Rendiciones[[#This Row],[Total ]]-Rendiciones[[#This Row],[Monto ]]</f>
        <v>26795</v>
      </c>
      <c r="U507" s="72"/>
    </row>
    <row r="508" spans="2:21" x14ac:dyDescent="0.3">
      <c r="B508" s="12" t="s">
        <v>519</v>
      </c>
      <c r="C508" s="12">
        <v>16</v>
      </c>
      <c r="D508" s="138">
        <v>46231</v>
      </c>
      <c r="E508" s="12" t="s">
        <v>574</v>
      </c>
      <c r="F508" s="11" t="str">
        <f>IF(Rendiciones[[#This Row],[Fecha ]]&lt;&gt;"",TEXT(Rendiciones[[#This Row],[Fecha ]],"MMMM"),"")</f>
        <v>julio</v>
      </c>
      <c r="G508" s="11" t="s">
        <v>428</v>
      </c>
      <c r="H508" s="12" t="s">
        <v>6</v>
      </c>
      <c r="I508" s="12" t="s">
        <v>429</v>
      </c>
      <c r="L508" s="20"/>
      <c r="M508" s="20">
        <f>20988+1000+8200</f>
        <v>30188</v>
      </c>
      <c r="N508" s="20">
        <f>Rendiciones[[#This Row],[Monto Neto ]]*19%</f>
        <v>0</v>
      </c>
      <c r="O508" s="6">
        <f>+Rendiciones[[#This Row],[Monto Neto ]]+Rendiciones[[#This Row],[Monto Exento ]]+Rendiciones[[#This Row],[Iva]]</f>
        <v>30188</v>
      </c>
      <c r="P508" t="s">
        <v>89</v>
      </c>
      <c r="Q508" s="138">
        <v>46232</v>
      </c>
      <c r="R508" s="20">
        <v>482024.18</v>
      </c>
      <c r="S508" s="20">
        <f>Rendiciones[[#This Row],[Total ]]-Rendiciones[[#This Row],[Monto ]]</f>
        <v>-451836.18</v>
      </c>
      <c r="U508" s="72"/>
    </row>
    <row r="509" spans="2:21" x14ac:dyDescent="0.3">
      <c r="B509" s="12" t="s">
        <v>100</v>
      </c>
      <c r="C509" s="12">
        <v>11</v>
      </c>
      <c r="D509" s="138">
        <v>46203</v>
      </c>
      <c r="E509" s="12" t="s">
        <v>565</v>
      </c>
      <c r="F509" s="11" t="str">
        <f>IF(Rendiciones[[#This Row],[Fecha ]]&lt;&gt;"",TEXT(Rendiciones[[#This Row],[Fecha ]],"MMMM"),"")</f>
        <v>junio</v>
      </c>
      <c r="G509" s="11" t="s">
        <v>428</v>
      </c>
      <c r="H509" s="12" t="s">
        <v>8</v>
      </c>
      <c r="I509" s="12" t="s">
        <v>31</v>
      </c>
      <c r="L509" s="20"/>
      <c r="M509" s="20">
        <f>5831+3299+3198+3298+3698+3798+6823</f>
        <v>29945</v>
      </c>
      <c r="N509" s="20">
        <f>Rendiciones[[#This Row],[Monto Neto ]]*19%</f>
        <v>0</v>
      </c>
      <c r="O509" s="6">
        <f>+Rendiciones[[#This Row],[Monto Neto ]]+Rendiciones[[#This Row],[Monto Exento ]]+Rendiciones[[#This Row],[Iva]]</f>
        <v>29945</v>
      </c>
      <c r="Q509" s="138"/>
      <c r="R509" s="20"/>
      <c r="S509" s="20">
        <f>Rendiciones[[#This Row],[Total ]]-Rendiciones[[#This Row],[Monto ]]</f>
        <v>29945</v>
      </c>
      <c r="U509" s="72"/>
    </row>
    <row r="510" spans="2:21" x14ac:dyDescent="0.3">
      <c r="B510" s="12" t="s">
        <v>100</v>
      </c>
      <c r="C510" s="12">
        <v>11</v>
      </c>
      <c r="D510" s="138">
        <v>46203</v>
      </c>
      <c r="E510" s="12" t="s">
        <v>565</v>
      </c>
      <c r="F510" s="11" t="str">
        <f>IF(Rendiciones[[#This Row],[Fecha ]]&lt;&gt;"",TEXT(Rendiciones[[#This Row],[Fecha ]],"MMMM"),"")</f>
        <v>junio</v>
      </c>
      <c r="G510" s="11" t="s">
        <v>428</v>
      </c>
      <c r="H510" s="12" t="s">
        <v>8</v>
      </c>
      <c r="I510" s="12" t="s">
        <v>60</v>
      </c>
      <c r="L510" s="20"/>
      <c r="M510" s="20">
        <f>4000+4000+3000+4000+4000+4000</f>
        <v>23000</v>
      </c>
      <c r="N510" s="20">
        <f>Rendiciones[[#This Row],[Monto Neto ]]*19%</f>
        <v>0</v>
      </c>
      <c r="O510" s="6">
        <f>+Rendiciones[[#This Row],[Monto Neto ]]+Rendiciones[[#This Row],[Monto Exento ]]+Rendiciones[[#This Row],[Iva]]</f>
        <v>23000</v>
      </c>
      <c r="Q510" s="138"/>
      <c r="R510" s="20"/>
      <c r="S510" s="20">
        <f>Rendiciones[[#This Row],[Total ]]-Rendiciones[[#This Row],[Monto ]]</f>
        <v>23000</v>
      </c>
      <c r="U510" s="72"/>
    </row>
    <row r="511" spans="2:21" x14ac:dyDescent="0.3">
      <c r="B511" s="12" t="s">
        <v>100</v>
      </c>
      <c r="C511" s="12">
        <v>11</v>
      </c>
      <c r="D511" s="138">
        <v>46203</v>
      </c>
      <c r="E511" s="12" t="s">
        <v>565</v>
      </c>
      <c r="F511" s="11" t="str">
        <f>IF(Rendiciones[[#This Row],[Fecha ]]&lt;&gt;"",TEXT(Rendiciones[[#This Row],[Fecha ]],"MMMM"),"")</f>
        <v>junio</v>
      </c>
      <c r="G511" s="11" t="s">
        <v>428</v>
      </c>
      <c r="H511" s="12" t="s">
        <v>8</v>
      </c>
      <c r="I511" s="12" t="s">
        <v>429</v>
      </c>
      <c r="L511" s="20"/>
      <c r="M511" s="20">
        <f>17800+7000+17800</f>
        <v>42600</v>
      </c>
      <c r="N511" s="20">
        <f>Rendiciones[[#This Row],[Monto Neto ]]*19%</f>
        <v>0</v>
      </c>
      <c r="O511" s="6">
        <f>+Rendiciones[[#This Row],[Monto Neto ]]+Rendiciones[[#This Row],[Monto Exento ]]+Rendiciones[[#This Row],[Iva]]</f>
        <v>42600</v>
      </c>
      <c r="Q511" s="138"/>
      <c r="R511" s="20"/>
      <c r="S511" s="20">
        <f>Rendiciones[[#This Row],[Total ]]-Rendiciones[[#This Row],[Monto ]]</f>
        <v>42600</v>
      </c>
      <c r="U511" s="72"/>
    </row>
    <row r="512" spans="2:21" x14ac:dyDescent="0.3">
      <c r="B512" s="12" t="s">
        <v>100</v>
      </c>
      <c r="D512" s="138"/>
      <c r="F512" s="11" t="str">
        <f>IF(Rendiciones[[#This Row],[Fecha ]]&lt;&gt;"",TEXT(Rendiciones[[#This Row],[Fecha ]],"MMMM"),"")</f>
        <v/>
      </c>
      <c r="G512" s="11"/>
      <c r="L512" s="20"/>
      <c r="M512" s="20"/>
      <c r="N512" s="20">
        <f>Rendiciones[[#This Row],[Monto Neto ]]*19%</f>
        <v>0</v>
      </c>
      <c r="O512" s="6">
        <f>+Rendiciones[[#This Row],[Monto Neto ]]+Rendiciones[[#This Row],[Monto Exento ]]+Rendiciones[[#This Row],[Iva]]</f>
        <v>0</v>
      </c>
      <c r="P512" t="s">
        <v>477</v>
      </c>
      <c r="Q512" s="138">
        <v>46234</v>
      </c>
      <c r="R512" s="20">
        <v>435000</v>
      </c>
      <c r="S512" s="20">
        <f>Rendiciones[[#This Row],[Total ]]-Rendiciones[[#This Row],[Monto ]]</f>
        <v>-435000</v>
      </c>
      <c r="U512" s="72"/>
    </row>
    <row r="513" spans="2:21" x14ac:dyDescent="0.3">
      <c r="B513" s="12" t="s">
        <v>100</v>
      </c>
      <c r="C513" s="12">
        <v>11</v>
      </c>
      <c r="D513" s="138">
        <v>46216</v>
      </c>
      <c r="E513" s="12" t="s">
        <v>528</v>
      </c>
      <c r="F513" s="11" t="str">
        <f>IF(Rendiciones[[#This Row],[Fecha ]]&lt;&gt;"",TEXT(Rendiciones[[#This Row],[Fecha ]],"MMMM"),"")</f>
        <v>julio</v>
      </c>
      <c r="G513" s="11" t="s">
        <v>428</v>
      </c>
      <c r="H513" s="12" t="s">
        <v>8</v>
      </c>
      <c r="I513" s="12" t="s">
        <v>31</v>
      </c>
      <c r="L513" s="20"/>
      <c r="M513" s="20">
        <f>3698+4209+6607+3499+3244</f>
        <v>21257</v>
      </c>
      <c r="N513" s="20">
        <f>Rendiciones[[#This Row],[Monto Neto ]]*19%</f>
        <v>0</v>
      </c>
      <c r="O513" s="6">
        <f>+Rendiciones[[#This Row],[Monto Neto ]]+Rendiciones[[#This Row],[Monto Exento ]]+Rendiciones[[#This Row],[Iva]]</f>
        <v>21257</v>
      </c>
      <c r="Q513" s="138"/>
      <c r="R513" s="20"/>
      <c r="S513" s="20">
        <f>Rendiciones[[#This Row],[Total ]]-Rendiciones[[#This Row],[Monto ]]</f>
        <v>21257</v>
      </c>
      <c r="U513" s="72"/>
    </row>
    <row r="514" spans="2:21" x14ac:dyDescent="0.3">
      <c r="B514" s="12" t="s">
        <v>100</v>
      </c>
      <c r="C514" s="12">
        <v>11</v>
      </c>
      <c r="D514" s="138">
        <v>46216</v>
      </c>
      <c r="E514" s="12" t="s">
        <v>528</v>
      </c>
      <c r="F514" s="11" t="str">
        <f>IF(Rendiciones[[#This Row],[Fecha ]]&lt;&gt;"",TEXT(Rendiciones[[#This Row],[Fecha ]],"MMMM"),"")</f>
        <v>julio</v>
      </c>
      <c r="G514" s="11" t="s">
        <v>428</v>
      </c>
      <c r="H514" s="12" t="s">
        <v>8</v>
      </c>
      <c r="I514" s="12" t="s">
        <v>65</v>
      </c>
      <c r="L514" s="20"/>
      <c r="M514" s="20">
        <f>13550+15025</f>
        <v>28575</v>
      </c>
      <c r="N514" s="20">
        <f>Rendiciones[[#This Row],[Monto Neto ]]*19%</f>
        <v>0</v>
      </c>
      <c r="O514" s="6">
        <f>+Rendiciones[[#This Row],[Monto Neto ]]+Rendiciones[[#This Row],[Monto Exento ]]+Rendiciones[[#This Row],[Iva]]</f>
        <v>28575</v>
      </c>
      <c r="Q514" s="138"/>
      <c r="R514" s="20"/>
      <c r="S514" s="20">
        <f>Rendiciones[[#This Row],[Total ]]-Rendiciones[[#This Row],[Monto ]]</f>
        <v>28575</v>
      </c>
      <c r="U514" s="72"/>
    </row>
    <row r="515" spans="2:21" x14ac:dyDescent="0.3">
      <c r="B515" s="12" t="s">
        <v>100</v>
      </c>
      <c r="C515" s="12">
        <v>11</v>
      </c>
      <c r="D515" s="138">
        <v>46216</v>
      </c>
      <c r="E515" s="12" t="s">
        <v>528</v>
      </c>
      <c r="F515" s="11" t="str">
        <f>IF(Rendiciones[[#This Row],[Fecha ]]&lt;&gt;"",TEXT(Rendiciones[[#This Row],[Fecha ]],"MMMM"),"")</f>
        <v>julio</v>
      </c>
      <c r="G515" s="11" t="s">
        <v>428</v>
      </c>
      <c r="H515" s="12" t="s">
        <v>8</v>
      </c>
      <c r="I515" s="12" t="s">
        <v>429</v>
      </c>
      <c r="L515" s="20"/>
      <c r="M515" s="20">
        <f>20878+6500</f>
        <v>27378</v>
      </c>
      <c r="N515" s="20">
        <f>Rendiciones[[#This Row],[Monto Neto ]]*19%</f>
        <v>0</v>
      </c>
      <c r="O515" s="6">
        <f>+Rendiciones[[#This Row],[Monto Neto ]]+Rendiciones[[#This Row],[Monto Exento ]]+Rendiciones[[#This Row],[Iva]]</f>
        <v>27378</v>
      </c>
      <c r="Q515" s="138"/>
      <c r="R515" s="20"/>
      <c r="S515" s="20">
        <f>Rendiciones[[#This Row],[Total ]]-Rendiciones[[#This Row],[Monto ]]</f>
        <v>27378</v>
      </c>
      <c r="U515" s="72"/>
    </row>
    <row r="516" spans="2:21" x14ac:dyDescent="0.3">
      <c r="B516" s="12" t="s">
        <v>100</v>
      </c>
      <c r="C516" s="12">
        <v>11</v>
      </c>
      <c r="D516" s="138">
        <v>46216</v>
      </c>
      <c r="E516" s="12" t="s">
        <v>528</v>
      </c>
      <c r="F516" s="11" t="str">
        <f>IF(Rendiciones[[#This Row],[Fecha ]]&lt;&gt;"",TEXT(Rendiciones[[#This Row],[Fecha ]],"MMMM"),"")</f>
        <v>julio</v>
      </c>
      <c r="G516" s="11" t="s">
        <v>428</v>
      </c>
      <c r="H516" s="12" t="s">
        <v>8</v>
      </c>
      <c r="I516" s="12" t="s">
        <v>60</v>
      </c>
      <c r="L516" s="20"/>
      <c r="M516" s="20">
        <f>83029+84913</f>
        <v>167942</v>
      </c>
      <c r="N516" s="20">
        <f>Rendiciones[[#This Row],[Monto Neto ]]*19%</f>
        <v>0</v>
      </c>
      <c r="O516" s="6">
        <f>+Rendiciones[[#This Row],[Monto Neto ]]+Rendiciones[[#This Row],[Monto Exento ]]+Rendiciones[[#This Row],[Iva]]</f>
        <v>167942</v>
      </c>
      <c r="P516" t="s">
        <v>477</v>
      </c>
      <c r="Q516" s="138">
        <v>46241</v>
      </c>
      <c r="R516" s="20">
        <v>391688</v>
      </c>
      <c r="S516" s="20">
        <f>Rendiciones[[#This Row],[Total ]]-Rendiciones[[#This Row],[Monto ]]</f>
        <v>-223746</v>
      </c>
      <c r="U516" s="72"/>
    </row>
    <row r="517" spans="2:21" x14ac:dyDescent="0.3">
      <c r="B517" s="12" t="s">
        <v>100</v>
      </c>
      <c r="C517" s="12">
        <v>11</v>
      </c>
      <c r="D517" s="138">
        <v>46216</v>
      </c>
      <c r="E517" s="12" t="s">
        <v>528</v>
      </c>
      <c r="F517" s="11" t="str">
        <f>IF(Rendiciones[[#This Row],[Fecha ]]&lt;&gt;"",TEXT(Rendiciones[[#This Row],[Fecha ]],"MMMM"),"")</f>
        <v>julio</v>
      </c>
      <c r="G517" s="11" t="s">
        <v>428</v>
      </c>
      <c r="H517" s="12" t="s">
        <v>8</v>
      </c>
      <c r="I517" s="12" t="s">
        <v>60</v>
      </c>
      <c r="L517" s="20"/>
      <c r="M517" s="20">
        <v>14000</v>
      </c>
      <c r="N517" s="20">
        <f>Rendiciones[[#This Row],[Monto Neto ]]*19%</f>
        <v>0</v>
      </c>
      <c r="O517" s="6">
        <f>+Rendiciones[[#This Row],[Monto Neto ]]+Rendiciones[[#This Row],[Monto Exento ]]+Rendiciones[[#This Row],[Iva]]</f>
        <v>14000</v>
      </c>
      <c r="P517" t="s">
        <v>477</v>
      </c>
      <c r="Q517" s="138">
        <v>46247</v>
      </c>
      <c r="R517" s="20">
        <v>121000.77000000002</v>
      </c>
      <c r="S517" s="20">
        <f>Rendiciones[[#This Row],[Total ]]-Rendiciones[[#This Row],[Monto ]]</f>
        <v>-107000.77000000002</v>
      </c>
      <c r="U517" s="72"/>
    </row>
    <row r="518" spans="2:21" x14ac:dyDescent="0.3">
      <c r="B518" s="12" t="s">
        <v>435</v>
      </c>
      <c r="C518" s="12">
        <v>16</v>
      </c>
      <c r="D518" s="138">
        <v>46254</v>
      </c>
      <c r="E518" s="12" t="s">
        <v>583</v>
      </c>
      <c r="F518" s="11" t="str">
        <f>IF(Rendiciones[[#This Row],[Fecha ]]&lt;&gt;"",TEXT(Rendiciones[[#This Row],[Fecha ]],"MMMM"),"")</f>
        <v>agosto</v>
      </c>
      <c r="G518" s="11" t="s">
        <v>428</v>
      </c>
      <c r="H518" s="12" t="s">
        <v>5</v>
      </c>
      <c r="I518" s="12" t="s">
        <v>52</v>
      </c>
      <c r="K518" s="1" t="s">
        <v>81</v>
      </c>
      <c r="L518" s="20">
        <v>14084</v>
      </c>
      <c r="M518" s="20"/>
      <c r="N518" s="20">
        <f>Rendiciones[[#This Row],[Monto Neto ]]*19%</f>
        <v>2675.96</v>
      </c>
      <c r="O518" s="6">
        <f>+Rendiciones[[#This Row],[Monto Neto ]]+Rendiciones[[#This Row],[Monto Exento ]]+Rendiciones[[#This Row],[Iva]]</f>
        <v>16759.96</v>
      </c>
      <c r="P518" t="s">
        <v>89</v>
      </c>
      <c r="Q518" s="138">
        <v>46258</v>
      </c>
      <c r="R518" s="20">
        <v>16759.96</v>
      </c>
      <c r="S518" s="20">
        <f>Rendiciones[[#This Row],[Total ]]-Rendiciones[[#This Row],[Monto ]]</f>
        <v>0</v>
      </c>
      <c r="U518" s="72"/>
    </row>
    <row r="519" spans="2:21" x14ac:dyDescent="0.3">
      <c r="B519" s="12" t="s">
        <v>16</v>
      </c>
      <c r="C519" s="12">
        <v>12</v>
      </c>
      <c r="D519" s="138">
        <v>46254</v>
      </c>
      <c r="E519" s="12" t="s">
        <v>583</v>
      </c>
      <c r="F519" s="11" t="str">
        <f>IF(Rendiciones[[#This Row],[Fecha ]]&lt;&gt;"",TEXT(Rendiciones[[#This Row],[Fecha ]],"MMMM"),"")</f>
        <v>agosto</v>
      </c>
      <c r="G519" s="11" t="s">
        <v>428</v>
      </c>
      <c r="H519" s="12" t="s">
        <v>9</v>
      </c>
      <c r="I519" s="12" t="s">
        <v>101</v>
      </c>
      <c r="K519" s="1" t="s">
        <v>81</v>
      </c>
      <c r="L519" s="20">
        <v>121030.45</v>
      </c>
      <c r="M519" s="20"/>
      <c r="N519" s="20">
        <f>Rendiciones[[#This Row],[Monto Neto ]]*19%</f>
        <v>22995.785499999998</v>
      </c>
      <c r="O519" s="6">
        <f>+Rendiciones[[#This Row],[Monto Neto ]]+Rendiciones[[#This Row],[Monto Exento ]]+Rendiciones[[#This Row],[Iva]]</f>
        <v>144026.23550000001</v>
      </c>
      <c r="P519" t="s">
        <v>89</v>
      </c>
      <c r="Q519" s="138">
        <v>46258</v>
      </c>
      <c r="R519" s="20">
        <v>127195.52550000002</v>
      </c>
      <c r="S519" s="20">
        <f>Rendiciones[[#This Row],[Total ]]-Rendiciones[[#This Row],[Monto ]]</f>
        <v>16830.709999999992</v>
      </c>
      <c r="U519" s="72"/>
    </row>
    <row r="520" spans="2:21" x14ac:dyDescent="0.3">
      <c r="B520" s="12" t="s">
        <v>499</v>
      </c>
      <c r="C520" s="12">
        <v>4</v>
      </c>
      <c r="D520" s="138">
        <v>46254</v>
      </c>
      <c r="E520" s="12" t="s">
        <v>583</v>
      </c>
      <c r="F520" s="11" t="str">
        <f>IF(Rendiciones[[#This Row],[Fecha ]]&lt;&gt;"",TEXT(Rendiciones[[#This Row],[Fecha ]],"MMMM"),"")</f>
        <v>agosto</v>
      </c>
      <c r="G520" s="11" t="s">
        <v>428</v>
      </c>
      <c r="H520" s="12" t="s">
        <v>102</v>
      </c>
      <c r="I520" s="12" t="s">
        <v>46</v>
      </c>
      <c r="L520" s="20"/>
      <c r="M520" s="20">
        <v>386072</v>
      </c>
      <c r="N520" s="20">
        <f>Rendiciones[[#This Row],[Monto Neto ]]*19%</f>
        <v>0</v>
      </c>
      <c r="O520" s="6">
        <f>+Rendiciones[[#This Row],[Monto Neto ]]+Rendiciones[[#This Row],[Monto Exento ]]+Rendiciones[[#This Row],[Iva]]</f>
        <v>386072</v>
      </c>
      <c r="Q520" s="138"/>
      <c r="R520" s="20"/>
      <c r="S520" s="20">
        <f>Rendiciones[[#This Row],[Total ]]-Rendiciones[[#This Row],[Monto ]]</f>
        <v>386072</v>
      </c>
      <c r="U520" s="72"/>
    </row>
    <row r="521" spans="2:21" x14ac:dyDescent="0.3">
      <c r="B521" s="12" t="s">
        <v>445</v>
      </c>
      <c r="C521" s="12">
        <v>24</v>
      </c>
      <c r="D521" s="138">
        <v>46231</v>
      </c>
      <c r="E521" s="12" t="s">
        <v>574</v>
      </c>
      <c r="F521" s="11" t="str">
        <f>IF(Rendiciones[[#This Row],[Fecha ]]&lt;&gt;"",TEXT(Rendiciones[[#This Row],[Fecha ]],"MMMM"),"")</f>
        <v>julio</v>
      </c>
      <c r="G521" s="11" t="s">
        <v>428</v>
      </c>
      <c r="H521" s="12" t="s">
        <v>6</v>
      </c>
      <c r="I521" s="12" t="s">
        <v>28</v>
      </c>
      <c r="L521" s="20">
        <v>15243</v>
      </c>
      <c r="M521" s="20">
        <f>+-1139</f>
        <v>-1139</v>
      </c>
      <c r="N521" s="20">
        <f>Rendiciones[[#This Row],[Monto Neto ]]*19%</f>
        <v>2896.17</v>
      </c>
      <c r="O521" s="6">
        <f>+Rendiciones[[#This Row],[Monto Neto ]]+Rendiciones[[#This Row],[Monto Exento ]]+Rendiciones[[#This Row],[Iva]]</f>
        <v>17000.169999999998</v>
      </c>
      <c r="Q521" s="138"/>
      <c r="R521" s="20"/>
      <c r="S521" s="20">
        <f>Rendiciones[[#This Row],[Total ]]-Rendiciones[[#This Row],[Monto ]]</f>
        <v>17000.169999999998</v>
      </c>
      <c r="U521" s="72"/>
    </row>
    <row r="522" spans="2:21" x14ac:dyDescent="0.3">
      <c r="B522" s="12" t="s">
        <v>445</v>
      </c>
      <c r="C522" s="12">
        <v>24</v>
      </c>
      <c r="D522" s="138">
        <v>46231</v>
      </c>
      <c r="E522" s="12" t="s">
        <v>574</v>
      </c>
      <c r="F522" s="11" t="str">
        <f>IF(Rendiciones[[#This Row],[Fecha ]]&lt;&gt;"",TEXT(Rendiciones[[#This Row],[Fecha ]],"MMMM"),"")</f>
        <v>julio</v>
      </c>
      <c r="G522" s="11" t="s">
        <v>428</v>
      </c>
      <c r="H522" s="12" t="s">
        <v>6</v>
      </c>
      <c r="I522" s="12" t="s">
        <v>28</v>
      </c>
      <c r="L522" s="20">
        <v>44794</v>
      </c>
      <c r="M522" s="20">
        <v>-3305</v>
      </c>
      <c r="N522" s="20">
        <f>Rendiciones[[#This Row],[Monto Neto ]]*19%</f>
        <v>8510.86</v>
      </c>
      <c r="O522" s="6">
        <f>+Rendiciones[[#This Row],[Monto Neto ]]+Rendiciones[[#This Row],[Monto Exento ]]+Rendiciones[[#This Row],[Iva]]</f>
        <v>49999.86</v>
      </c>
      <c r="Q522" s="138"/>
      <c r="R522" s="20"/>
      <c r="S522" s="20">
        <f>Rendiciones[[#This Row],[Total ]]-Rendiciones[[#This Row],[Monto ]]</f>
        <v>49999.86</v>
      </c>
      <c r="U522" s="72"/>
    </row>
    <row r="523" spans="2:21" x14ac:dyDescent="0.3">
      <c r="B523" s="12" t="s">
        <v>445</v>
      </c>
      <c r="C523" s="12">
        <v>24</v>
      </c>
      <c r="D523" s="138">
        <v>46231</v>
      </c>
      <c r="E523" s="12" t="s">
        <v>574</v>
      </c>
      <c r="F523" s="11" t="str">
        <f>IF(Rendiciones[[#This Row],[Fecha ]]&lt;&gt;"",TEXT(Rendiciones[[#This Row],[Fecha ]],"MMMM"),"")</f>
        <v>julio</v>
      </c>
      <c r="G523" s="11" t="s">
        <v>428</v>
      </c>
      <c r="H523" s="12" t="s">
        <v>6</v>
      </c>
      <c r="I523" s="12" t="s">
        <v>563</v>
      </c>
      <c r="L523" s="20">
        <v>17563</v>
      </c>
      <c r="M523" s="20"/>
      <c r="N523" s="20">
        <f>Rendiciones[[#This Row],[Monto Neto ]]*19%</f>
        <v>3336.9700000000003</v>
      </c>
      <c r="O523" s="6">
        <f>+Rendiciones[[#This Row],[Monto Neto ]]+Rendiciones[[#This Row],[Monto Exento ]]+Rendiciones[[#This Row],[Iva]]</f>
        <v>20899.97</v>
      </c>
      <c r="Q523" s="138"/>
      <c r="R523" s="20"/>
      <c r="S523" s="20">
        <f>Rendiciones[[#This Row],[Total ]]-Rendiciones[[#This Row],[Monto ]]</f>
        <v>20899.97</v>
      </c>
      <c r="U523" s="72"/>
    </row>
    <row r="524" spans="2:21" x14ac:dyDescent="0.3">
      <c r="B524" s="12" t="s">
        <v>445</v>
      </c>
      <c r="C524" s="12">
        <v>24</v>
      </c>
      <c r="D524" s="138">
        <v>46231</v>
      </c>
      <c r="E524" s="12" t="s">
        <v>574</v>
      </c>
      <c r="F524" s="11" t="str">
        <f>IF(Rendiciones[[#This Row],[Fecha ]]&lt;&gt;"",TEXT(Rendiciones[[#This Row],[Fecha ]],"MMMM"),"")</f>
        <v>julio</v>
      </c>
      <c r="G524" s="11" t="s">
        <v>428</v>
      </c>
      <c r="H524" s="12" t="s">
        <v>6</v>
      </c>
      <c r="I524" s="12" t="s">
        <v>39</v>
      </c>
      <c r="L524" s="20"/>
      <c r="M524" s="20">
        <v>500</v>
      </c>
      <c r="N524" s="20">
        <f>Rendiciones[[#This Row],[Monto Neto ]]*19%</f>
        <v>0</v>
      </c>
      <c r="O524" s="6">
        <f>+Rendiciones[[#This Row],[Monto Neto ]]+Rendiciones[[#This Row],[Monto Exento ]]+Rendiciones[[#This Row],[Iva]]</f>
        <v>500</v>
      </c>
      <c r="Q524" s="138"/>
      <c r="R524" s="20"/>
      <c r="S524" s="20">
        <f>Rendiciones[[#This Row],[Total ]]-Rendiciones[[#This Row],[Monto ]]</f>
        <v>500</v>
      </c>
      <c r="U524" s="72"/>
    </row>
    <row r="525" spans="2:21" x14ac:dyDescent="0.3">
      <c r="B525" s="12" t="s">
        <v>445</v>
      </c>
      <c r="C525" s="12">
        <v>24</v>
      </c>
      <c r="D525" s="138">
        <v>46231</v>
      </c>
      <c r="E525" s="12" t="s">
        <v>574</v>
      </c>
      <c r="F525" s="11" t="str">
        <f>IF(Rendiciones[[#This Row],[Fecha ]]&lt;&gt;"",TEXT(Rendiciones[[#This Row],[Fecha ]],"MMMM"),"")</f>
        <v>julio</v>
      </c>
      <c r="G525" s="11" t="s">
        <v>428</v>
      </c>
      <c r="H525" s="12" t="s">
        <v>6</v>
      </c>
      <c r="I525" s="12" t="s">
        <v>429</v>
      </c>
      <c r="L525" s="20"/>
      <c r="M525" s="20">
        <f>7500+4880</f>
        <v>12380</v>
      </c>
      <c r="N525" s="20">
        <f>Rendiciones[[#This Row],[Monto Neto ]]*19%</f>
        <v>0</v>
      </c>
      <c r="O525" s="6">
        <f>+Rendiciones[[#This Row],[Monto Neto ]]+Rendiciones[[#This Row],[Monto Exento ]]+Rendiciones[[#This Row],[Iva]]</f>
        <v>12380</v>
      </c>
      <c r="P525" t="s">
        <v>89</v>
      </c>
      <c r="Q525" s="138">
        <v>46232</v>
      </c>
      <c r="R525" s="20">
        <v>100780</v>
      </c>
      <c r="S525" s="20">
        <f>Rendiciones[[#This Row],[Total ]]-Rendiciones[[#This Row],[Monto ]]</f>
        <v>-88400</v>
      </c>
      <c r="U525" s="72"/>
    </row>
    <row r="526" spans="2:21" x14ac:dyDescent="0.3">
      <c r="B526" s="12" t="s">
        <v>445</v>
      </c>
      <c r="C526" s="12">
        <v>25</v>
      </c>
      <c r="D526" s="138">
        <v>46239</v>
      </c>
      <c r="E526" s="12" t="s">
        <v>575</v>
      </c>
      <c r="F526" s="11" t="str">
        <f>IF(Rendiciones[[#This Row],[Fecha ]]&lt;&gt;"",TEXT(Rendiciones[[#This Row],[Fecha ]],"MMMM"),"")</f>
        <v>agosto</v>
      </c>
      <c r="G526" s="11" t="s">
        <v>428</v>
      </c>
      <c r="H526" s="12" t="s">
        <v>6</v>
      </c>
      <c r="I526" s="12" t="s">
        <v>28</v>
      </c>
      <c r="K526" s="1" t="s">
        <v>81</v>
      </c>
      <c r="L526" s="20">
        <v>29037</v>
      </c>
      <c r="M526" s="20">
        <v>-4554</v>
      </c>
      <c r="N526" s="20">
        <f>Rendiciones[[#This Row],[Monto Neto ]]*19%</f>
        <v>5517.03</v>
      </c>
      <c r="O526" s="6">
        <f>+Rendiciones[[#This Row],[Monto Neto ]]+Rendiciones[[#This Row],[Monto Exento ]]+Rendiciones[[#This Row],[Iva]]</f>
        <v>30000.03</v>
      </c>
      <c r="Q526" s="138"/>
      <c r="R526" s="20"/>
      <c r="S526" s="20">
        <f>Rendiciones[[#This Row],[Total ]]-Rendiciones[[#This Row],[Monto ]]</f>
        <v>30000.03</v>
      </c>
      <c r="U526" s="72"/>
    </row>
    <row r="527" spans="2:21" x14ac:dyDescent="0.3">
      <c r="B527" s="12" t="s">
        <v>445</v>
      </c>
      <c r="C527" s="12">
        <v>25</v>
      </c>
      <c r="D527" s="138">
        <v>46239</v>
      </c>
      <c r="E527" s="12" t="s">
        <v>575</v>
      </c>
      <c r="F527" s="11" t="str">
        <f>IF(Rendiciones[[#This Row],[Fecha ]]&lt;&gt;"",TEXT(Rendiciones[[#This Row],[Fecha ]],"MMMM"),"")</f>
        <v>agosto</v>
      </c>
      <c r="G527" s="11" t="s">
        <v>428</v>
      </c>
      <c r="H527" s="12" t="s">
        <v>6</v>
      </c>
      <c r="I527" s="12" t="s">
        <v>28</v>
      </c>
      <c r="K527" s="1" t="s">
        <v>81</v>
      </c>
      <c r="L527" s="20">
        <v>29047</v>
      </c>
      <c r="M527" s="20">
        <v>-4566</v>
      </c>
      <c r="N527" s="20">
        <f>Rendiciones[[#This Row],[Monto Neto ]]*19%</f>
        <v>5518.93</v>
      </c>
      <c r="O527" s="6">
        <f>+Rendiciones[[#This Row],[Monto Neto ]]+Rendiciones[[#This Row],[Monto Exento ]]+Rendiciones[[#This Row],[Iva]]</f>
        <v>29999.93</v>
      </c>
      <c r="Q527" s="138"/>
      <c r="R527" s="20"/>
      <c r="S527" s="20">
        <f>Rendiciones[[#This Row],[Total ]]-Rendiciones[[#This Row],[Monto ]]</f>
        <v>29999.93</v>
      </c>
      <c r="U527" s="72"/>
    </row>
    <row r="528" spans="2:21" x14ac:dyDescent="0.3">
      <c r="B528" s="12" t="s">
        <v>578</v>
      </c>
      <c r="C528" s="12">
        <v>1</v>
      </c>
      <c r="D528" s="138">
        <v>46244</v>
      </c>
      <c r="E528" s="12" t="s">
        <v>579</v>
      </c>
      <c r="F528" s="11" t="str">
        <f>IF(Rendiciones[[#This Row],[Fecha ]]&lt;&gt;"",TEXT(Rendiciones[[#This Row],[Fecha ]],"MMMM"),"")</f>
        <v>agosto</v>
      </c>
      <c r="G528" s="11" t="s">
        <v>428</v>
      </c>
      <c r="H528" s="12" t="s">
        <v>6</v>
      </c>
      <c r="I528" s="12" t="s">
        <v>39</v>
      </c>
      <c r="L528" s="20"/>
      <c r="M528" s="20">
        <v>4200</v>
      </c>
      <c r="N528" s="20">
        <f>Rendiciones[[#This Row],[Monto Neto ]]*19%</f>
        <v>0</v>
      </c>
      <c r="O528" s="6">
        <f>+Rendiciones[[#This Row],[Monto Neto ]]+Rendiciones[[#This Row],[Monto Exento ]]+Rendiciones[[#This Row],[Iva]]</f>
        <v>4200</v>
      </c>
      <c r="P528" t="s">
        <v>89</v>
      </c>
      <c r="Q528" s="138">
        <v>46248</v>
      </c>
      <c r="R528" s="20">
        <v>4200</v>
      </c>
      <c r="S528" s="20">
        <f>Rendiciones[[#This Row],[Total ]]-Rendiciones[[#This Row],[Monto ]]</f>
        <v>0</v>
      </c>
      <c r="U528" s="72"/>
    </row>
    <row r="529" spans="2:21" x14ac:dyDescent="0.3">
      <c r="B529" s="12" t="s">
        <v>580</v>
      </c>
      <c r="C529" s="12">
        <v>1</v>
      </c>
      <c r="D529" s="138">
        <v>46244</v>
      </c>
      <c r="E529" s="12" t="s">
        <v>579</v>
      </c>
      <c r="F529" s="11" t="str">
        <f>IF(Rendiciones[[#This Row],[Fecha ]]&lt;&gt;"",TEXT(Rendiciones[[#This Row],[Fecha ]],"MMMM"),"")</f>
        <v>agosto</v>
      </c>
      <c r="G529" s="11" t="s">
        <v>428</v>
      </c>
      <c r="H529" s="12" t="s">
        <v>458</v>
      </c>
      <c r="I529" s="12" t="s">
        <v>505</v>
      </c>
      <c r="K529" s="1" t="s">
        <v>81</v>
      </c>
      <c r="L529" s="20">
        <v>641084</v>
      </c>
      <c r="M529" s="20"/>
      <c r="N529" s="20">
        <f>Rendiciones[[#This Row],[Monto Neto ]]*19%</f>
        <v>121805.96</v>
      </c>
      <c r="O529" s="6">
        <f>+Rendiciones[[#This Row],[Monto Neto ]]+Rendiciones[[#This Row],[Monto Exento ]]+Rendiciones[[#This Row],[Iva]]</f>
        <v>762889.96</v>
      </c>
      <c r="P529" t="s">
        <v>477</v>
      </c>
      <c r="Q529" s="138"/>
      <c r="R529" s="20">
        <v>500000</v>
      </c>
      <c r="S529" s="20">
        <f>Rendiciones[[#This Row],[Total ]]-Rendiciones[[#This Row],[Monto ]]</f>
        <v>262889.95999999996</v>
      </c>
      <c r="U529" s="72"/>
    </row>
    <row r="530" spans="2:21" x14ac:dyDescent="0.3">
      <c r="B530" s="12" t="s">
        <v>445</v>
      </c>
      <c r="C530" s="12">
        <v>25</v>
      </c>
      <c r="D530" s="138">
        <v>46239</v>
      </c>
      <c r="E530" s="12" t="s">
        <v>575</v>
      </c>
      <c r="F530" s="11" t="str">
        <f>IF(Rendiciones[[#This Row],[Fecha ]]&lt;&gt;"",TEXT(Rendiciones[[#This Row],[Fecha ]],"MMMM"),"")</f>
        <v>agosto</v>
      </c>
      <c r="G530" s="11" t="s">
        <v>428</v>
      </c>
      <c r="H530" s="12" t="s">
        <v>5</v>
      </c>
      <c r="I530" s="12" t="s">
        <v>52</v>
      </c>
      <c r="K530" s="1" t="s">
        <v>81</v>
      </c>
      <c r="L530" s="20">
        <v>21563</v>
      </c>
      <c r="M530" s="20"/>
      <c r="N530" s="20">
        <f>Rendiciones[[#This Row],[Monto Neto ]]*19%</f>
        <v>4096.97</v>
      </c>
      <c r="O530" s="6">
        <f>+Rendiciones[[#This Row],[Monto Neto ]]+Rendiciones[[#This Row],[Monto Exento ]]+Rendiciones[[#This Row],[Iva]]</f>
        <v>25659.97</v>
      </c>
      <c r="Q530" s="138"/>
      <c r="R530" s="20"/>
      <c r="S530" s="20">
        <f>Rendiciones[[#This Row],[Total ]]-Rendiciones[[#This Row],[Monto ]]</f>
        <v>25659.97</v>
      </c>
      <c r="U530" s="72"/>
    </row>
    <row r="531" spans="2:21" x14ac:dyDescent="0.3">
      <c r="B531" s="12" t="s">
        <v>445</v>
      </c>
      <c r="C531" s="12">
        <v>25</v>
      </c>
      <c r="D531" s="138">
        <v>46239</v>
      </c>
      <c r="E531" s="12" t="s">
        <v>575</v>
      </c>
      <c r="F531" s="11" t="str">
        <f>IF(Rendiciones[[#This Row],[Fecha ]]&lt;&gt;"",TEXT(Rendiciones[[#This Row],[Fecha ]],"MMMM"),"")</f>
        <v>agosto</v>
      </c>
      <c r="G531" s="11" t="s">
        <v>428</v>
      </c>
      <c r="H531" s="12" t="s">
        <v>6</v>
      </c>
      <c r="I531" s="12" t="s">
        <v>28</v>
      </c>
      <c r="K531" s="1" t="s">
        <v>81</v>
      </c>
      <c r="L531" s="20">
        <v>19358</v>
      </c>
      <c r="M531" s="20">
        <v>-3036</v>
      </c>
      <c r="N531" s="20">
        <f>Rendiciones[[#This Row],[Monto Neto ]]*19%</f>
        <v>3678.02</v>
      </c>
      <c r="O531" s="6">
        <f>+Rendiciones[[#This Row],[Monto Neto ]]+Rendiciones[[#This Row],[Monto Exento ]]+Rendiciones[[#This Row],[Iva]]</f>
        <v>20000.02</v>
      </c>
      <c r="Q531" s="138"/>
      <c r="R531" s="20"/>
      <c r="S531" s="20">
        <f>Rendiciones[[#This Row],[Total ]]-Rendiciones[[#This Row],[Monto ]]</f>
        <v>20000.02</v>
      </c>
      <c r="U531" s="72"/>
    </row>
    <row r="532" spans="2:21" x14ac:dyDescent="0.3">
      <c r="B532" s="12" t="s">
        <v>445</v>
      </c>
      <c r="C532" s="12">
        <v>25</v>
      </c>
      <c r="D532" s="138">
        <v>46239</v>
      </c>
      <c r="E532" s="12" t="s">
        <v>575</v>
      </c>
      <c r="F532" s="11" t="str">
        <f>IF(Rendiciones[[#This Row],[Fecha ]]&lt;&gt;"",TEXT(Rendiciones[[#This Row],[Fecha ]],"MMMM"),"")</f>
        <v>agosto</v>
      </c>
      <c r="G532" s="11" t="s">
        <v>428</v>
      </c>
      <c r="H532" s="12" t="s">
        <v>6</v>
      </c>
      <c r="I532" s="12" t="s">
        <v>57</v>
      </c>
      <c r="K532" s="1" t="s">
        <v>81</v>
      </c>
      <c r="L532" s="20">
        <v>6176</v>
      </c>
      <c r="M532" s="20"/>
      <c r="N532" s="20">
        <f>Rendiciones[[#This Row],[Monto Neto ]]*19%</f>
        <v>1173.44</v>
      </c>
      <c r="O532" s="6">
        <f>+Rendiciones[[#This Row],[Monto Neto ]]+Rendiciones[[#This Row],[Monto Exento ]]+Rendiciones[[#This Row],[Iva]]</f>
        <v>7349.4400000000005</v>
      </c>
      <c r="Q532" s="138"/>
      <c r="R532" s="20"/>
      <c r="S532" s="20">
        <f>Rendiciones[[#This Row],[Total ]]-Rendiciones[[#This Row],[Monto ]]</f>
        <v>7349.4400000000005</v>
      </c>
      <c r="U532" s="72"/>
    </row>
    <row r="533" spans="2:21" x14ac:dyDescent="0.3">
      <c r="B533" s="12" t="s">
        <v>445</v>
      </c>
      <c r="C533" s="12">
        <v>25</v>
      </c>
      <c r="D533" s="138">
        <v>46239</v>
      </c>
      <c r="E533" s="12" t="s">
        <v>575</v>
      </c>
      <c r="F533" s="11" t="str">
        <f>IF(Rendiciones[[#This Row],[Fecha ]]&lt;&gt;"",TEXT(Rendiciones[[#This Row],[Fecha ]],"MMMM"),"")</f>
        <v>agosto</v>
      </c>
      <c r="G533" s="11" t="s">
        <v>428</v>
      </c>
      <c r="H533" s="12" t="s">
        <v>6</v>
      </c>
      <c r="I533" s="12" t="s">
        <v>429</v>
      </c>
      <c r="L533" s="20"/>
      <c r="M533" s="20">
        <f>8030+7200+8170</f>
        <v>23400</v>
      </c>
      <c r="N533" s="20">
        <f>Rendiciones[[#This Row],[Monto Neto ]]*19%</f>
        <v>0</v>
      </c>
      <c r="O533" s="6">
        <f>+Rendiciones[[#This Row],[Monto Neto ]]+Rendiciones[[#This Row],[Monto Exento ]]+Rendiciones[[#This Row],[Iva]]</f>
        <v>23400</v>
      </c>
      <c r="Q533" s="138"/>
      <c r="R533" s="20"/>
      <c r="S533" s="20">
        <f>Rendiciones[[#This Row],[Total ]]-Rendiciones[[#This Row],[Monto ]]</f>
        <v>23400</v>
      </c>
      <c r="U533" s="72"/>
    </row>
    <row r="534" spans="2:21" x14ac:dyDescent="0.3">
      <c r="B534" s="12" t="s">
        <v>445</v>
      </c>
      <c r="C534" s="12">
        <v>25</v>
      </c>
      <c r="D534" s="138">
        <v>46239</v>
      </c>
      <c r="E534" s="12" t="s">
        <v>575</v>
      </c>
      <c r="F534" s="11" t="str">
        <f>IF(Rendiciones[[#This Row],[Fecha ]]&lt;&gt;"",TEXT(Rendiciones[[#This Row],[Fecha ]],"MMMM"),"")</f>
        <v>agosto</v>
      </c>
      <c r="G534" s="11" t="s">
        <v>428</v>
      </c>
      <c r="H534" s="12" t="s">
        <v>6</v>
      </c>
      <c r="I534" s="12" t="s">
        <v>39</v>
      </c>
      <c r="L534" s="20"/>
      <c r="M534" s="20">
        <f>1450+2300+5350</f>
        <v>9100</v>
      </c>
      <c r="N534" s="20">
        <f>Rendiciones[[#This Row],[Monto Neto ]]*19%</f>
        <v>0</v>
      </c>
      <c r="O534" s="6">
        <f>+Rendiciones[[#This Row],[Monto Neto ]]+Rendiciones[[#This Row],[Monto Exento ]]+Rendiciones[[#This Row],[Iva]]</f>
        <v>9100</v>
      </c>
      <c r="P534" t="s">
        <v>477</v>
      </c>
      <c r="Q534" s="138" t="s">
        <v>581</v>
      </c>
      <c r="R534" s="20">
        <v>145508.9</v>
      </c>
      <c r="S534" s="20">
        <f>Rendiciones[[#This Row],[Total ]]-Rendiciones[[#This Row],[Monto ]]</f>
        <v>-136408.9</v>
      </c>
      <c r="U534" s="72"/>
    </row>
    <row r="535" spans="2:21" x14ac:dyDescent="0.3">
      <c r="B535" s="12" t="s">
        <v>445</v>
      </c>
      <c r="C535" s="12">
        <v>26</v>
      </c>
      <c r="D535" s="138">
        <v>46241</v>
      </c>
      <c r="E535" s="12" t="s">
        <v>575</v>
      </c>
      <c r="F535" s="11" t="str">
        <f>IF(Rendiciones[[#This Row],[Fecha ]]&lt;&gt;"",TEXT(Rendiciones[[#This Row],[Fecha ]],"MMMM"),"")</f>
        <v>agosto</v>
      </c>
      <c r="G535" s="11" t="s">
        <v>428</v>
      </c>
      <c r="H535" s="12" t="s">
        <v>6</v>
      </c>
      <c r="I535" s="12" t="s">
        <v>57</v>
      </c>
      <c r="K535" s="1" t="s">
        <v>81</v>
      </c>
      <c r="L535" s="20">
        <v>17563</v>
      </c>
      <c r="M535" s="20"/>
      <c r="N535" s="20">
        <f>Rendiciones[[#This Row],[Monto Neto ]]*19%</f>
        <v>3336.9700000000003</v>
      </c>
      <c r="O535" s="6">
        <f>+Rendiciones[[#This Row],[Monto Neto ]]+Rendiciones[[#This Row],[Monto Exento ]]+Rendiciones[[#This Row],[Iva]]</f>
        <v>20899.97</v>
      </c>
      <c r="Q535" s="138"/>
      <c r="R535" s="20"/>
      <c r="S535" s="20">
        <f>Rendiciones[[#This Row],[Total ]]-Rendiciones[[#This Row],[Monto ]]</f>
        <v>20899.97</v>
      </c>
      <c r="U535" s="72"/>
    </row>
    <row r="536" spans="2:21" ht="14.5" customHeight="1" x14ac:dyDescent="0.3">
      <c r="B536" s="12" t="s">
        <v>445</v>
      </c>
      <c r="C536" s="12">
        <v>26</v>
      </c>
      <c r="D536" s="138">
        <v>46241</v>
      </c>
      <c r="E536" s="12" t="s">
        <v>575</v>
      </c>
      <c r="F536" s="11" t="str">
        <f>IF(Rendiciones[[#This Row],[Fecha ]]&lt;&gt;"",TEXT(Rendiciones[[#This Row],[Fecha ]],"MMMM"),"")</f>
        <v>agosto</v>
      </c>
      <c r="G536" s="11" t="s">
        <v>428</v>
      </c>
      <c r="H536" s="12" t="s">
        <v>5</v>
      </c>
      <c r="I536" s="12" t="s">
        <v>52</v>
      </c>
      <c r="K536" s="1" t="s">
        <v>81</v>
      </c>
      <c r="L536" s="20">
        <v>14420</v>
      </c>
      <c r="M536" s="20"/>
      <c r="N536" s="20">
        <f>Rendiciones[[#This Row],[Monto Neto ]]*19%</f>
        <v>2739.8</v>
      </c>
      <c r="O536" s="6">
        <f>+Rendiciones[[#This Row],[Monto Neto ]]+Rendiciones[[#This Row],[Monto Exento ]]+Rendiciones[[#This Row],[Iva]]</f>
        <v>17159.8</v>
      </c>
      <c r="Q536" s="138"/>
      <c r="R536" s="20"/>
      <c r="S536" s="20">
        <f>Rendiciones[[#This Row],[Total ]]-Rendiciones[[#This Row],[Monto ]]</f>
        <v>17159.8</v>
      </c>
      <c r="U536" s="72"/>
    </row>
    <row r="537" spans="2:21" ht="15" customHeight="1" x14ac:dyDescent="0.3">
      <c r="B537" s="12" t="s">
        <v>445</v>
      </c>
      <c r="C537" s="12">
        <v>26</v>
      </c>
      <c r="D537" s="138">
        <v>46241</v>
      </c>
      <c r="E537" s="12" t="s">
        <v>575</v>
      </c>
      <c r="F537" s="11" t="str">
        <f>IF(Rendiciones[[#This Row],[Fecha ]]&lt;&gt;"",TEXT(Rendiciones[[#This Row],[Fecha ]],"MMMM"),"")</f>
        <v>agosto</v>
      </c>
      <c r="G537" s="11" t="s">
        <v>428</v>
      </c>
      <c r="H537" s="12" t="s">
        <v>5</v>
      </c>
      <c r="I537" s="12" t="s">
        <v>52</v>
      </c>
      <c r="K537" s="1" t="s">
        <v>81</v>
      </c>
      <c r="L537" s="20">
        <v>14605</v>
      </c>
      <c r="M537" s="20"/>
      <c r="N537" s="20">
        <f>Rendiciones[[#This Row],[Monto Neto ]]*19%</f>
        <v>2774.95</v>
      </c>
      <c r="O537" s="6">
        <f>+Rendiciones[[#This Row],[Monto Neto ]]+Rendiciones[[#This Row],[Monto Exento ]]+Rendiciones[[#This Row],[Iva]]</f>
        <v>17379.95</v>
      </c>
      <c r="Q537" s="138"/>
      <c r="R537" s="20"/>
      <c r="S537" s="20">
        <f>Rendiciones[[#This Row],[Total ]]-Rendiciones[[#This Row],[Monto ]]</f>
        <v>17379.95</v>
      </c>
      <c r="U537" s="72"/>
    </row>
    <row r="538" spans="2:21" ht="15" customHeight="1" x14ac:dyDescent="0.3">
      <c r="B538" s="12" t="s">
        <v>445</v>
      </c>
      <c r="C538" s="12">
        <v>26</v>
      </c>
      <c r="D538" s="138">
        <v>46241</v>
      </c>
      <c r="E538" s="12" t="s">
        <v>575</v>
      </c>
      <c r="F538" s="11" t="str">
        <f>IF(Rendiciones[[#This Row],[Fecha ]]&lt;&gt;"",TEXT(Rendiciones[[#This Row],[Fecha ]],"MMMM"),"")</f>
        <v>agosto</v>
      </c>
      <c r="G538" s="11" t="s">
        <v>428</v>
      </c>
      <c r="H538" s="12" t="s">
        <v>6</v>
      </c>
      <c r="I538" s="12" t="s">
        <v>429</v>
      </c>
      <c r="L538" s="20"/>
      <c r="M538" s="20">
        <v>7000</v>
      </c>
      <c r="N538" s="20">
        <f>Rendiciones[[#This Row],[Monto Neto ]]*19%</f>
        <v>0</v>
      </c>
      <c r="O538" s="6">
        <f>+Rendiciones[[#This Row],[Monto Neto ]]+Rendiciones[[#This Row],[Monto Exento ]]+Rendiciones[[#This Row],[Iva]]</f>
        <v>7000</v>
      </c>
      <c r="P538" t="s">
        <v>477</v>
      </c>
      <c r="Q538" s="138">
        <v>46244</v>
      </c>
      <c r="R538" s="20">
        <v>62439.72</v>
      </c>
      <c r="S538" s="20">
        <f>Rendiciones[[#This Row],[Total ]]-Rendiciones[[#This Row],[Monto ]]</f>
        <v>-55439.72</v>
      </c>
      <c r="U538" s="72"/>
    </row>
    <row r="539" spans="2:21" x14ac:dyDescent="0.3">
      <c r="B539" s="12" t="s">
        <v>467</v>
      </c>
      <c r="C539" s="12">
        <v>8</v>
      </c>
      <c r="D539" s="138">
        <v>46217</v>
      </c>
      <c r="E539" s="12" t="s">
        <v>532</v>
      </c>
      <c r="F539" s="11" t="str">
        <f>IF(Rendiciones[[#This Row],[Fecha ]]&lt;&gt;"",TEXT(Rendiciones[[#This Row],[Fecha ]],"MMMM"),"")</f>
        <v>julio</v>
      </c>
      <c r="G539" s="11" t="s">
        <v>428</v>
      </c>
      <c r="H539" s="12" t="s">
        <v>6</v>
      </c>
      <c r="I539" s="12" t="s">
        <v>28</v>
      </c>
      <c r="K539" s="1" t="s">
        <v>81</v>
      </c>
      <c r="L539" s="20">
        <v>23228</v>
      </c>
      <c r="M539" s="20">
        <v>12359</v>
      </c>
      <c r="N539" s="20">
        <f>Rendiciones[[#This Row],[Monto Neto ]]*19%</f>
        <v>4413.32</v>
      </c>
      <c r="O539" s="6">
        <f>+Rendiciones[[#This Row],[Monto Neto ]]+Rendiciones[[#This Row],[Monto Exento ]]+Rendiciones[[#This Row],[Iva]]</f>
        <v>40000.32</v>
      </c>
      <c r="Q539" s="138"/>
      <c r="R539" s="20"/>
      <c r="S539" s="20">
        <f>Rendiciones[[#This Row],[Total ]]-Rendiciones[[#This Row],[Monto ]]</f>
        <v>40000.32</v>
      </c>
      <c r="U539" s="72"/>
    </row>
    <row r="540" spans="2:21" x14ac:dyDescent="0.3">
      <c r="B540" s="12" t="s">
        <v>467</v>
      </c>
      <c r="C540" s="12">
        <v>8</v>
      </c>
      <c r="D540" s="138">
        <v>46245</v>
      </c>
      <c r="E540" s="12" t="s">
        <v>575</v>
      </c>
      <c r="F540" s="11" t="str">
        <f>IF(Rendiciones[[#This Row],[Fecha ]]&lt;&gt;"",TEXT(Rendiciones[[#This Row],[Fecha ]],"MMMM"),"")</f>
        <v>agosto</v>
      </c>
      <c r="G540" s="11" t="s">
        <v>428</v>
      </c>
      <c r="H540" s="12" t="s">
        <v>6</v>
      </c>
      <c r="I540" s="12" t="s">
        <v>65</v>
      </c>
      <c r="K540" s="1" t="s">
        <v>81</v>
      </c>
      <c r="L540" s="20">
        <v>13076</v>
      </c>
      <c r="M540" s="20"/>
      <c r="N540" s="20">
        <f>Rendiciones[[#This Row],[Monto Neto ]]*19%</f>
        <v>2484.44</v>
      </c>
      <c r="O540" s="6">
        <f>+Rendiciones[[#This Row],[Monto Neto ]]+Rendiciones[[#This Row],[Monto Exento ]]+Rendiciones[[#This Row],[Iva]]</f>
        <v>15560.44</v>
      </c>
      <c r="Q540" s="138"/>
      <c r="R540" s="20"/>
      <c r="S540" s="20">
        <f>Rendiciones[[#This Row],[Total ]]-Rendiciones[[#This Row],[Monto ]]</f>
        <v>15560.44</v>
      </c>
      <c r="U540" s="72"/>
    </row>
    <row r="541" spans="2:21" x14ac:dyDescent="0.3">
      <c r="B541" s="12" t="s">
        <v>467</v>
      </c>
      <c r="C541" s="12">
        <v>8</v>
      </c>
      <c r="D541" s="138">
        <v>46245</v>
      </c>
      <c r="E541" s="12" t="s">
        <v>575</v>
      </c>
      <c r="F541" s="11" t="str">
        <f>IF(Rendiciones[[#This Row],[Fecha ]]&lt;&gt;"",TEXT(Rendiciones[[#This Row],[Fecha ]],"MMMM"),"")</f>
        <v>agosto</v>
      </c>
      <c r="G541" s="11" t="s">
        <v>428</v>
      </c>
      <c r="H541" s="12" t="s">
        <v>6</v>
      </c>
      <c r="I541" s="12" t="s">
        <v>28</v>
      </c>
      <c r="K541" s="1" t="s">
        <v>81</v>
      </c>
      <c r="L541" s="20">
        <v>37374</v>
      </c>
      <c r="M541" s="20">
        <f>16276-6535</f>
        <v>9741</v>
      </c>
      <c r="N541" s="20">
        <f>Rendiciones[[#This Row],[Monto Neto ]]*19%</f>
        <v>7101.06</v>
      </c>
      <c r="O541" s="6">
        <f>+Rendiciones[[#This Row],[Monto Neto ]]+Rendiciones[[#This Row],[Monto Exento ]]+Rendiciones[[#This Row],[Iva]]</f>
        <v>54216.06</v>
      </c>
      <c r="Q541" s="138"/>
      <c r="R541" s="20"/>
      <c r="S541" s="20">
        <f>Rendiciones[[#This Row],[Total ]]-Rendiciones[[#This Row],[Monto ]]</f>
        <v>54216.06</v>
      </c>
      <c r="U541" s="72"/>
    </row>
    <row r="542" spans="2:21" x14ac:dyDescent="0.3">
      <c r="B542" s="12" t="s">
        <v>467</v>
      </c>
      <c r="C542" s="12">
        <v>8</v>
      </c>
      <c r="D542" s="138">
        <v>46245</v>
      </c>
      <c r="E542" s="12" t="s">
        <v>575</v>
      </c>
      <c r="F542" s="11" t="str">
        <f>IF(Rendiciones[[#This Row],[Fecha ]]&lt;&gt;"",TEXT(Rendiciones[[#This Row],[Fecha ]],"MMMM"),"")</f>
        <v>agosto</v>
      </c>
      <c r="G542" s="11" t="s">
        <v>428</v>
      </c>
      <c r="H542" s="12" t="s">
        <v>6</v>
      </c>
      <c r="I542" s="12" t="s">
        <v>429</v>
      </c>
      <c r="K542" s="1" t="s">
        <v>81</v>
      </c>
      <c r="L542" s="20">
        <v>29580</v>
      </c>
      <c r="M542" s="20"/>
      <c r="N542" s="20">
        <f>Rendiciones[[#This Row],[Monto Neto ]]*19%</f>
        <v>5620.2</v>
      </c>
      <c r="O542" s="6">
        <f>+Rendiciones[[#This Row],[Monto Neto ]]+Rendiciones[[#This Row],[Monto Exento ]]+Rendiciones[[#This Row],[Iva]]</f>
        <v>35200.199999999997</v>
      </c>
      <c r="Q542" s="138"/>
      <c r="R542" s="20"/>
      <c r="S542" s="20">
        <f>Rendiciones[[#This Row],[Total ]]-Rendiciones[[#This Row],[Monto ]]</f>
        <v>35200.199999999997</v>
      </c>
      <c r="U542" s="72"/>
    </row>
    <row r="543" spans="2:21" x14ac:dyDescent="0.3">
      <c r="B543" s="12" t="s">
        <v>467</v>
      </c>
      <c r="C543" s="12">
        <v>8</v>
      </c>
      <c r="D543" s="138">
        <v>46245</v>
      </c>
      <c r="E543" s="12" t="s">
        <v>575</v>
      </c>
      <c r="F543" s="11" t="str">
        <f>IF(Rendiciones[[#This Row],[Fecha ]]&lt;&gt;"",TEXT(Rendiciones[[#This Row],[Fecha ]],"MMMM"),"")</f>
        <v>agosto</v>
      </c>
      <c r="G543" s="11" t="s">
        <v>428</v>
      </c>
      <c r="H543" s="12" t="s">
        <v>6</v>
      </c>
      <c r="I543" s="12" t="s">
        <v>65</v>
      </c>
      <c r="K543" s="1" t="s">
        <v>81</v>
      </c>
      <c r="L543" s="20">
        <v>15032</v>
      </c>
      <c r="M543" s="20"/>
      <c r="N543" s="20">
        <f>Rendiciones[[#This Row],[Monto Neto ]]*19%</f>
        <v>2856.08</v>
      </c>
      <c r="O543" s="6">
        <f>+Rendiciones[[#This Row],[Monto Neto ]]+Rendiciones[[#This Row],[Monto Exento ]]+Rendiciones[[#This Row],[Iva]]</f>
        <v>17888.080000000002</v>
      </c>
      <c r="Q543" s="138"/>
      <c r="R543" s="20"/>
      <c r="S543" s="20">
        <f>Rendiciones[[#This Row],[Total ]]-Rendiciones[[#This Row],[Monto ]]</f>
        <v>17888.080000000002</v>
      </c>
      <c r="U543" s="72"/>
    </row>
    <row r="544" spans="2:21" x14ac:dyDescent="0.3">
      <c r="B544" s="12" t="s">
        <v>467</v>
      </c>
      <c r="C544" s="12">
        <v>8</v>
      </c>
      <c r="D544" s="138">
        <v>46245</v>
      </c>
      <c r="E544" s="12" t="s">
        <v>575</v>
      </c>
      <c r="F544" s="11" t="str">
        <f>IF(Rendiciones[[#This Row],[Fecha ]]&lt;&gt;"",TEXT(Rendiciones[[#This Row],[Fecha ]],"MMMM"),"")</f>
        <v>agosto</v>
      </c>
      <c r="G544" s="11" t="s">
        <v>428</v>
      </c>
      <c r="H544" s="12" t="s">
        <v>6</v>
      </c>
      <c r="I544" s="12" t="s">
        <v>39</v>
      </c>
      <c r="L544" s="20"/>
      <c r="M544" s="20">
        <f>3800+3300+3800+3800+3800+2700+2700+2700+3000+6200+2563</f>
        <v>38363</v>
      </c>
      <c r="N544" s="20">
        <f>Rendiciones[[#This Row],[Monto Neto ]]*19%</f>
        <v>0</v>
      </c>
      <c r="O544" s="6">
        <f>+Rendiciones[[#This Row],[Monto Neto ]]+Rendiciones[[#This Row],[Monto Exento ]]+Rendiciones[[#This Row],[Iva]]</f>
        <v>38363</v>
      </c>
      <c r="Q544" s="138"/>
      <c r="R544" s="20"/>
      <c r="S544" s="20">
        <f>Rendiciones[[#This Row],[Total ]]-Rendiciones[[#This Row],[Monto ]]</f>
        <v>38363</v>
      </c>
      <c r="U544" s="72"/>
    </row>
    <row r="545" spans="2:21" x14ac:dyDescent="0.3">
      <c r="B545" s="12" t="s">
        <v>467</v>
      </c>
      <c r="C545" s="12">
        <v>8</v>
      </c>
      <c r="D545" s="138">
        <v>46245</v>
      </c>
      <c r="E545" s="12" t="s">
        <v>575</v>
      </c>
      <c r="F545" s="11" t="str">
        <f>IF(Rendiciones[[#This Row],[Fecha ]]&lt;&gt;"",TEXT(Rendiciones[[#This Row],[Fecha ]],"MMMM"),"")</f>
        <v>agosto</v>
      </c>
      <c r="G545" s="11" t="s">
        <v>428</v>
      </c>
      <c r="H545" s="12" t="s">
        <v>6</v>
      </c>
      <c r="I545" s="12" t="s">
        <v>429</v>
      </c>
      <c r="K545" s="1" t="s">
        <v>81</v>
      </c>
      <c r="L545" s="20">
        <v>10504</v>
      </c>
      <c r="M545" s="20"/>
      <c r="N545" s="20">
        <f>Rendiciones[[#This Row],[Monto Neto ]]*19%</f>
        <v>1995.76</v>
      </c>
      <c r="O545" s="6">
        <f>+Rendiciones[[#This Row],[Monto Neto ]]+Rendiciones[[#This Row],[Monto Exento ]]+Rendiciones[[#This Row],[Iva]]</f>
        <v>12499.76</v>
      </c>
      <c r="Q545" s="138"/>
      <c r="R545" s="20"/>
      <c r="S545" s="20">
        <f>Rendiciones[[#This Row],[Total ]]-Rendiciones[[#This Row],[Monto ]]</f>
        <v>12499.76</v>
      </c>
      <c r="U545" s="72"/>
    </row>
    <row r="546" spans="2:21" x14ac:dyDescent="0.3">
      <c r="B546" s="12" t="s">
        <v>467</v>
      </c>
      <c r="C546" s="12">
        <v>8</v>
      </c>
      <c r="D546" s="138">
        <v>46245</v>
      </c>
      <c r="E546" s="12" t="s">
        <v>575</v>
      </c>
      <c r="F546" s="11" t="str">
        <f>IF(Rendiciones[[#This Row],[Fecha ]]&lt;&gt;"",TEXT(Rendiciones[[#This Row],[Fecha ]],"MMMM"),"")</f>
        <v>agosto</v>
      </c>
      <c r="G546" s="11" t="s">
        <v>428</v>
      </c>
      <c r="H546" s="12" t="s">
        <v>6</v>
      </c>
      <c r="I546" s="12" t="s">
        <v>28</v>
      </c>
      <c r="K546" s="1" t="s">
        <v>81</v>
      </c>
      <c r="L546" s="20">
        <v>40823</v>
      </c>
      <c r="M546" s="20">
        <v>10870</v>
      </c>
      <c r="N546" s="20">
        <f>Rendiciones[[#This Row],[Monto Neto ]]*19%</f>
        <v>7756.37</v>
      </c>
      <c r="O546" s="6">
        <f>+Rendiciones[[#This Row],[Monto Neto ]]+Rendiciones[[#This Row],[Monto Exento ]]+Rendiciones[[#This Row],[Iva]]</f>
        <v>59449.37</v>
      </c>
      <c r="Q546" s="138"/>
      <c r="R546" s="20"/>
      <c r="S546" s="20">
        <f>Rendiciones[[#This Row],[Total ]]-Rendiciones[[#This Row],[Monto ]]</f>
        <v>59449.37</v>
      </c>
      <c r="U546" s="72"/>
    </row>
    <row r="547" spans="2:21" ht="14.5" customHeight="1" x14ac:dyDescent="0.3">
      <c r="B547" s="12" t="s">
        <v>467</v>
      </c>
      <c r="C547" s="12">
        <v>8</v>
      </c>
      <c r="D547" s="138">
        <v>46245</v>
      </c>
      <c r="E547" s="12" t="s">
        <v>575</v>
      </c>
      <c r="F547" s="11" t="str">
        <f>IF(Rendiciones[[#This Row],[Fecha ]]&lt;&gt;"",TEXT(Rendiciones[[#This Row],[Fecha ]],"MMMM"),"")</f>
        <v>agosto</v>
      </c>
      <c r="G547" s="11" t="s">
        <v>428</v>
      </c>
      <c r="H547" s="12" t="s">
        <v>6</v>
      </c>
      <c r="I547" s="12" t="s">
        <v>31</v>
      </c>
      <c r="K547" s="1" t="s">
        <v>81</v>
      </c>
      <c r="L547" s="20"/>
      <c r="M547" s="20">
        <v>38000</v>
      </c>
      <c r="N547" s="20">
        <f>Rendiciones[[#This Row],[Monto Neto ]]*19%</f>
        <v>0</v>
      </c>
      <c r="O547" s="6">
        <f>+Rendiciones[[#This Row],[Monto Neto ]]+Rendiciones[[#This Row],[Monto Exento ]]+Rendiciones[[#This Row],[Iva]]</f>
        <v>38000</v>
      </c>
      <c r="Q547" s="138"/>
      <c r="R547" s="20"/>
      <c r="S547" s="20">
        <f>Rendiciones[[#This Row],[Total ]]-Rendiciones[[#This Row],[Monto ]]</f>
        <v>38000</v>
      </c>
      <c r="U547" s="72"/>
    </row>
    <row r="548" spans="2:21" ht="14.5" customHeight="1" x14ac:dyDescent="0.3">
      <c r="B548" s="12" t="s">
        <v>467</v>
      </c>
      <c r="C548" s="12">
        <v>8</v>
      </c>
      <c r="D548" s="138">
        <v>46245</v>
      </c>
      <c r="E548" s="12" t="s">
        <v>575</v>
      </c>
      <c r="F548" s="11" t="str">
        <f>IF(Rendiciones[[#This Row],[Fecha ]]&lt;&gt;"",TEXT(Rendiciones[[#This Row],[Fecha ]],"MMMM"),"")</f>
        <v>agosto</v>
      </c>
      <c r="G548" s="11" t="s">
        <v>428</v>
      </c>
      <c r="H548" s="12" t="s">
        <v>6</v>
      </c>
      <c r="I548" s="12" t="s">
        <v>429</v>
      </c>
      <c r="L548" s="20"/>
      <c r="M548" s="20">
        <v>8470</v>
      </c>
      <c r="N548" s="20">
        <f>Rendiciones[[#This Row],[Monto Neto ]]*19%</f>
        <v>0</v>
      </c>
      <c r="O548" s="6">
        <f>+Rendiciones[[#This Row],[Monto Neto ]]+Rendiciones[[#This Row],[Monto Exento ]]+Rendiciones[[#This Row],[Iva]]</f>
        <v>8470</v>
      </c>
      <c r="Q548" s="138"/>
      <c r="R548" s="20"/>
      <c r="S548" s="20">
        <f>Rendiciones[[#This Row],[Total ]]-Rendiciones[[#This Row],[Monto ]]</f>
        <v>8470</v>
      </c>
      <c r="U548" s="72"/>
    </row>
    <row r="549" spans="2:21" ht="14.5" customHeight="1" x14ac:dyDescent="0.3">
      <c r="B549" s="12" t="s">
        <v>467</v>
      </c>
      <c r="C549" s="12">
        <v>9</v>
      </c>
      <c r="D549" s="138">
        <v>46233</v>
      </c>
      <c r="E549" s="12" t="s">
        <v>574</v>
      </c>
      <c r="F549" s="11" t="str">
        <f>IF(Rendiciones[[#This Row],[Fecha ]]&lt;&gt;"",TEXT(Rendiciones[[#This Row],[Fecha ]],"MMMM"),"")</f>
        <v>julio</v>
      </c>
      <c r="G549" s="11" t="s">
        <v>428</v>
      </c>
      <c r="H549" s="12" t="s">
        <v>8</v>
      </c>
      <c r="I549" s="12" t="s">
        <v>60</v>
      </c>
      <c r="K549" s="1" t="s">
        <v>81</v>
      </c>
      <c r="L549" s="20"/>
      <c r="M549" s="20">
        <v>199004</v>
      </c>
      <c r="N549" s="20">
        <f>Rendiciones[[#This Row],[Monto Neto ]]*19%</f>
        <v>0</v>
      </c>
      <c r="O549" s="6">
        <f>+Rendiciones[[#This Row],[Monto Neto ]]+Rendiciones[[#This Row],[Monto Exento ]]+Rendiciones[[#This Row],[Iva]]</f>
        <v>199004</v>
      </c>
      <c r="Q549" s="138"/>
      <c r="R549" s="20"/>
      <c r="S549" s="20">
        <f>Rendiciones[[#This Row],[Total ]]-Rendiciones[[#This Row],[Monto ]]</f>
        <v>199004</v>
      </c>
      <c r="U549" s="72"/>
    </row>
    <row r="550" spans="2:21" ht="14.5" customHeight="1" x14ac:dyDescent="0.3">
      <c r="B550" s="12" t="s">
        <v>467</v>
      </c>
      <c r="C550" s="12">
        <v>9</v>
      </c>
      <c r="D550" s="138">
        <v>46233</v>
      </c>
      <c r="E550" s="12" t="s">
        <v>574</v>
      </c>
      <c r="F550" s="11" t="str">
        <f>IF(Rendiciones[[#This Row],[Fecha ]]&lt;&gt;"",TEXT(Rendiciones[[#This Row],[Fecha ]],"MMMM"),"")</f>
        <v>julio</v>
      </c>
      <c r="G550" s="11" t="s">
        <v>428</v>
      </c>
      <c r="H550" s="12" t="s">
        <v>8</v>
      </c>
      <c r="I550" s="12" t="s">
        <v>60</v>
      </c>
      <c r="K550" s="1" t="s">
        <v>81</v>
      </c>
      <c r="L550" s="20"/>
      <c r="M550" s="20">
        <v>91094</v>
      </c>
      <c r="N550" s="20">
        <f>Rendiciones[[#This Row],[Monto Neto ]]*19%</f>
        <v>0</v>
      </c>
      <c r="O550" s="6">
        <f>+Rendiciones[[#This Row],[Monto Neto ]]+Rendiciones[[#This Row],[Monto Exento ]]+Rendiciones[[#This Row],[Iva]]</f>
        <v>91094</v>
      </c>
      <c r="Q550" s="138"/>
      <c r="R550" s="20"/>
      <c r="S550" s="20">
        <f>Rendiciones[[#This Row],[Total ]]-Rendiciones[[#This Row],[Monto ]]</f>
        <v>91094</v>
      </c>
      <c r="U550" s="72"/>
    </row>
    <row r="551" spans="2:21" ht="14.5" customHeight="1" x14ac:dyDescent="0.3">
      <c r="B551" s="12" t="s">
        <v>467</v>
      </c>
      <c r="C551" s="12">
        <v>9</v>
      </c>
      <c r="D551" s="138">
        <v>46233</v>
      </c>
      <c r="E551" s="12" t="s">
        <v>574</v>
      </c>
      <c r="F551" s="11" t="str">
        <f>IF(Rendiciones[[#This Row],[Fecha ]]&lt;&gt;"",TEXT(Rendiciones[[#This Row],[Fecha ]],"MMMM"),"")</f>
        <v>julio</v>
      </c>
      <c r="G551" s="11" t="s">
        <v>428</v>
      </c>
      <c r="H551" s="12" t="s">
        <v>8</v>
      </c>
      <c r="I551" s="12" t="s">
        <v>429</v>
      </c>
      <c r="K551" s="1" t="s">
        <v>81</v>
      </c>
      <c r="L551" s="20">
        <v>16135</v>
      </c>
      <c r="M551" s="20"/>
      <c r="N551" s="20">
        <f>Rendiciones[[#This Row],[Monto Neto ]]*19%</f>
        <v>3065.65</v>
      </c>
      <c r="O551" s="6">
        <f>+Rendiciones[[#This Row],[Monto Neto ]]+Rendiciones[[#This Row],[Monto Exento ]]+Rendiciones[[#This Row],[Iva]]</f>
        <v>19200.650000000001</v>
      </c>
      <c r="Q551" s="138"/>
      <c r="R551" s="20"/>
      <c r="S551" s="20">
        <f>Rendiciones[[#This Row],[Total ]]-Rendiciones[[#This Row],[Monto ]]</f>
        <v>19200.650000000001</v>
      </c>
      <c r="U551" s="72"/>
    </row>
    <row r="552" spans="2:21" ht="14.5" customHeight="1" x14ac:dyDescent="0.3">
      <c r="B552" s="12" t="s">
        <v>467</v>
      </c>
      <c r="C552" s="12">
        <v>9</v>
      </c>
      <c r="D552" s="138">
        <v>46233</v>
      </c>
      <c r="E552" s="12" t="s">
        <v>574</v>
      </c>
      <c r="F552" s="11" t="str">
        <f>IF(Rendiciones[[#This Row],[Fecha ]]&lt;&gt;"",TEXT(Rendiciones[[#This Row],[Fecha ]],"MMMM"),"")</f>
        <v>julio</v>
      </c>
      <c r="G552" s="11" t="s">
        <v>428</v>
      </c>
      <c r="H552" s="12" t="s">
        <v>8</v>
      </c>
      <c r="I552" s="12" t="s">
        <v>429</v>
      </c>
      <c r="K552" s="1" t="s">
        <v>81</v>
      </c>
      <c r="L552" s="20">
        <v>25042</v>
      </c>
      <c r="M552" s="20"/>
      <c r="N552" s="20">
        <f>Rendiciones[[#This Row],[Monto Neto ]]*19%</f>
        <v>4757.9800000000005</v>
      </c>
      <c r="O552" s="6">
        <f>+Rendiciones[[#This Row],[Monto Neto ]]+Rendiciones[[#This Row],[Monto Exento ]]+Rendiciones[[#This Row],[Iva]]</f>
        <v>29799.98</v>
      </c>
      <c r="Q552" s="138"/>
      <c r="R552" s="20"/>
      <c r="S552" s="20">
        <f>Rendiciones[[#This Row],[Total ]]-Rendiciones[[#This Row],[Monto ]]</f>
        <v>29799.98</v>
      </c>
      <c r="U552" s="72"/>
    </row>
    <row r="553" spans="2:21" ht="14.5" customHeight="1" x14ac:dyDescent="0.3">
      <c r="B553" s="12" t="s">
        <v>467</v>
      </c>
      <c r="C553" s="12">
        <v>9</v>
      </c>
      <c r="D553" s="138">
        <v>46233</v>
      </c>
      <c r="E553" s="12" t="s">
        <v>574</v>
      </c>
      <c r="F553" s="11" t="str">
        <f>IF(Rendiciones[[#This Row],[Fecha ]]&lt;&gt;"",TEXT(Rendiciones[[#This Row],[Fecha ]],"MMMM"),"")</f>
        <v>julio</v>
      </c>
      <c r="G553" s="11" t="s">
        <v>428</v>
      </c>
      <c r="H553" s="12" t="s">
        <v>8</v>
      </c>
      <c r="I553" s="12" t="s">
        <v>40</v>
      </c>
      <c r="K553" s="1" t="s">
        <v>81</v>
      </c>
      <c r="L553" s="20">
        <v>414588</v>
      </c>
      <c r="M553" s="20"/>
      <c r="N553" s="20">
        <f>Rendiciones[[#This Row],[Monto Neto ]]*19%</f>
        <v>78771.72</v>
      </c>
      <c r="O553" s="6">
        <f>+Rendiciones[[#This Row],[Monto Neto ]]+Rendiciones[[#This Row],[Monto Exento ]]+Rendiciones[[#This Row],[Iva]]</f>
        <v>493359.72</v>
      </c>
      <c r="Q553" s="138"/>
      <c r="R553" s="20"/>
      <c r="S553" s="20">
        <f>Rendiciones[[#This Row],[Total ]]-Rendiciones[[#This Row],[Monto ]]</f>
        <v>493359.72</v>
      </c>
      <c r="U553" s="72"/>
    </row>
    <row r="554" spans="2:21" ht="14.5" customHeight="1" x14ac:dyDescent="0.3">
      <c r="B554" s="12" t="s">
        <v>467</v>
      </c>
      <c r="C554" s="12">
        <v>9</v>
      </c>
      <c r="D554" s="138">
        <v>46233</v>
      </c>
      <c r="E554" s="12" t="s">
        <v>574</v>
      </c>
      <c r="F554" s="11" t="str">
        <f>IF(Rendiciones[[#This Row],[Fecha ]]&lt;&gt;"",TEXT(Rendiciones[[#This Row],[Fecha ]],"MMMM"),"")</f>
        <v>julio</v>
      </c>
      <c r="G554" s="11" t="s">
        <v>428</v>
      </c>
      <c r="H554" s="12" t="s">
        <v>8</v>
      </c>
      <c r="I554" s="12" t="s">
        <v>31</v>
      </c>
      <c r="K554" s="1" t="s">
        <v>81</v>
      </c>
      <c r="L554" s="20"/>
      <c r="M554" s="20">
        <v>38000</v>
      </c>
      <c r="N554" s="20">
        <f>Rendiciones[[#This Row],[Monto Neto ]]*19%</f>
        <v>0</v>
      </c>
      <c r="O554" s="6">
        <f>+Rendiciones[[#This Row],[Monto Neto ]]+Rendiciones[[#This Row],[Monto Exento ]]+Rendiciones[[#This Row],[Iva]]</f>
        <v>38000</v>
      </c>
      <c r="Q554" s="138"/>
      <c r="R554" s="20"/>
      <c r="S554" s="20">
        <f>Rendiciones[[#This Row],[Total ]]-Rendiciones[[#This Row],[Monto ]]</f>
        <v>38000</v>
      </c>
      <c r="U554" s="72"/>
    </row>
    <row r="555" spans="2:21" ht="14.5" customHeight="1" x14ac:dyDescent="0.3">
      <c r="B555" s="12" t="s">
        <v>467</v>
      </c>
      <c r="C555" s="12">
        <v>9</v>
      </c>
      <c r="D555" s="138">
        <v>46233</v>
      </c>
      <c r="E555" s="12" t="s">
        <v>574</v>
      </c>
      <c r="F555" s="11" t="str">
        <f>IF(Rendiciones[[#This Row],[Fecha ]]&lt;&gt;"",TEXT(Rendiciones[[#This Row],[Fecha ]],"MMMM"),"")</f>
        <v>julio</v>
      </c>
      <c r="G555" s="11" t="s">
        <v>428</v>
      </c>
      <c r="H555" s="12" t="s">
        <v>8</v>
      </c>
      <c r="I555" s="12" t="s">
        <v>429</v>
      </c>
      <c r="L555" s="20"/>
      <c r="M555" s="20">
        <f>14190+13200+21900</f>
        <v>49290</v>
      </c>
      <c r="N555" s="20">
        <f>Rendiciones[[#This Row],[Monto Neto ]]*19%</f>
        <v>0</v>
      </c>
      <c r="O555" s="6">
        <f>+Rendiciones[[#This Row],[Monto Neto ]]+Rendiciones[[#This Row],[Monto Exento ]]+Rendiciones[[#This Row],[Iva]]</f>
        <v>49290</v>
      </c>
      <c r="Q555" s="138"/>
      <c r="R555" s="20"/>
      <c r="S555" s="20">
        <f>Rendiciones[[#This Row],[Total ]]-Rendiciones[[#This Row],[Monto ]]</f>
        <v>49290</v>
      </c>
      <c r="U555" s="72"/>
    </row>
    <row r="556" spans="2:21" ht="14.5" customHeight="1" x14ac:dyDescent="0.3">
      <c r="B556" s="12" t="s">
        <v>467</v>
      </c>
      <c r="C556" s="12">
        <v>9</v>
      </c>
      <c r="D556" s="138">
        <v>46233</v>
      </c>
      <c r="E556" s="12" t="s">
        <v>574</v>
      </c>
      <c r="F556" s="11" t="str">
        <f>IF(Rendiciones[[#This Row],[Fecha ]]&lt;&gt;"",TEXT(Rendiciones[[#This Row],[Fecha ]],"MMMM"),"")</f>
        <v>julio</v>
      </c>
      <c r="G556" s="11" t="s">
        <v>428</v>
      </c>
      <c r="H556" s="12" t="s">
        <v>8</v>
      </c>
      <c r="I556" s="12" t="s">
        <v>52</v>
      </c>
      <c r="L556" s="20"/>
      <c r="M556" s="20">
        <v>25000</v>
      </c>
      <c r="N556" s="20">
        <f>Rendiciones[[#This Row],[Monto Neto ]]*19%</f>
        <v>0</v>
      </c>
      <c r="O556" s="6">
        <f>+Rendiciones[[#This Row],[Monto Neto ]]+Rendiciones[[#This Row],[Monto Exento ]]+Rendiciones[[#This Row],[Iva]]</f>
        <v>25000</v>
      </c>
      <c r="Q556" s="138"/>
      <c r="R556" s="20"/>
      <c r="S556" s="20">
        <f>Rendiciones[[#This Row],[Total ]]-Rendiciones[[#This Row],[Monto ]]</f>
        <v>25000</v>
      </c>
      <c r="U556" s="72"/>
    </row>
    <row r="557" spans="2:21" ht="14.5" customHeight="1" x14ac:dyDescent="0.3">
      <c r="B557" s="12" t="s">
        <v>467</v>
      </c>
      <c r="C557" s="12">
        <v>9</v>
      </c>
      <c r="D557" s="138">
        <v>46233</v>
      </c>
      <c r="E557" s="12" t="s">
        <v>574</v>
      </c>
      <c r="F557" s="11" t="str">
        <f>IF(Rendiciones[[#This Row],[Fecha ]]&lt;&gt;"",TEXT(Rendiciones[[#This Row],[Fecha ]],"MMMM"),"")</f>
        <v>julio</v>
      </c>
      <c r="G557" s="11" t="s">
        <v>428</v>
      </c>
      <c r="H557" s="12" t="s">
        <v>8</v>
      </c>
      <c r="I557" s="12" t="s">
        <v>31</v>
      </c>
      <c r="L557" s="20"/>
      <c r="M557" s="20">
        <f>15000+15000+3800+3500+3800+5154+2676+3098+2699+2713+2553</f>
        <v>59993</v>
      </c>
      <c r="N557" s="20">
        <f>Rendiciones[[#This Row],[Monto Neto ]]*19%</f>
        <v>0</v>
      </c>
      <c r="O557" s="6">
        <f>+Rendiciones[[#This Row],[Monto Neto ]]+Rendiciones[[#This Row],[Monto Exento ]]+Rendiciones[[#This Row],[Iva]]</f>
        <v>59993</v>
      </c>
      <c r="P557" t="s">
        <v>477</v>
      </c>
      <c r="Q557" s="138">
        <v>46248</v>
      </c>
      <c r="R557" s="20">
        <v>454931.94</v>
      </c>
      <c r="S557" s="20">
        <f>Rendiciones[[#This Row],[Total ]]-Rendiciones[[#This Row],[Monto ]]</f>
        <v>-394938.94</v>
      </c>
      <c r="U557" s="72"/>
    </row>
    <row r="558" spans="2:21" x14ac:dyDescent="0.3">
      <c r="B558" s="12" t="s">
        <v>17</v>
      </c>
      <c r="C558" s="12">
        <v>32</v>
      </c>
      <c r="D558" s="138">
        <v>46240</v>
      </c>
      <c r="E558" s="12" t="s">
        <v>575</v>
      </c>
      <c r="F558" s="11" t="str">
        <f>IF(Rendiciones[[#This Row],[Fecha ]]&lt;&gt;"",TEXT(Rendiciones[[#This Row],[Fecha ]],"MMMM"),"")</f>
        <v>agosto</v>
      </c>
      <c r="G558" s="11" t="s">
        <v>428</v>
      </c>
      <c r="H558" s="12" t="s">
        <v>6</v>
      </c>
      <c r="I558" s="12" t="s">
        <v>375</v>
      </c>
      <c r="K558" s="1" t="s">
        <v>81</v>
      </c>
      <c r="L558" s="20">
        <v>504168</v>
      </c>
      <c r="M558" s="20"/>
      <c r="N558" s="20">
        <f>Rendiciones[[#This Row],[Monto Neto ]]*19%</f>
        <v>95791.92</v>
      </c>
      <c r="O558" s="6">
        <f>+Rendiciones[[#This Row],[Monto Neto ]]+Rendiciones[[#This Row],[Monto Exento ]]+Rendiciones[[#This Row],[Iva]]</f>
        <v>599959.92000000004</v>
      </c>
      <c r="P558" t="s">
        <v>477</v>
      </c>
      <c r="Q558" s="138">
        <v>46248</v>
      </c>
      <c r="R558" s="20">
        <v>599960</v>
      </c>
      <c r="S558" s="20">
        <f>Rendiciones[[#This Row],[Total ]]-Rendiciones[[#This Row],[Monto ]]</f>
        <v>-7.9999999958090484E-2</v>
      </c>
      <c r="U558" s="72"/>
    </row>
    <row r="559" spans="2:21" x14ac:dyDescent="0.3">
      <c r="B559" s="12" t="s">
        <v>519</v>
      </c>
      <c r="C559" s="12">
        <v>17</v>
      </c>
      <c r="D559" s="138">
        <v>46240</v>
      </c>
      <c r="E559" s="12" t="s">
        <v>575</v>
      </c>
      <c r="F559" s="11" t="str">
        <f>IF(Rendiciones[[#This Row],[Fecha ]]&lt;&gt;"",TEXT(Rendiciones[[#This Row],[Fecha ]],"MMMM"),"")</f>
        <v>agosto</v>
      </c>
      <c r="G559" s="11" t="s">
        <v>428</v>
      </c>
      <c r="H559" s="12" t="s">
        <v>6</v>
      </c>
      <c r="I559" s="12" t="s">
        <v>28</v>
      </c>
      <c r="K559" s="1" t="s">
        <v>81</v>
      </c>
      <c r="L559" s="20">
        <v>34626</v>
      </c>
      <c r="M559" s="20">
        <f>15010-6215</f>
        <v>8795</v>
      </c>
      <c r="N559" s="20">
        <f>Rendiciones[[#This Row],[Monto Neto ]]*19%</f>
        <v>6578.9400000000005</v>
      </c>
      <c r="O559" s="6">
        <f>+Rendiciones[[#This Row],[Monto Neto ]]+Rendiciones[[#This Row],[Monto Exento ]]+Rendiciones[[#This Row],[Iva]]</f>
        <v>49999.94</v>
      </c>
      <c r="Q559" s="138"/>
      <c r="R559" s="20"/>
      <c r="S559" s="20">
        <f>Rendiciones[[#This Row],[Total ]]-Rendiciones[[#This Row],[Monto ]]</f>
        <v>49999.94</v>
      </c>
      <c r="U559" s="72"/>
    </row>
    <row r="560" spans="2:21" x14ac:dyDescent="0.3">
      <c r="B560" s="12" t="s">
        <v>519</v>
      </c>
      <c r="C560" s="12">
        <v>17</v>
      </c>
      <c r="D560" s="138">
        <v>46231</v>
      </c>
      <c r="E560" s="12" t="s">
        <v>574</v>
      </c>
      <c r="F560" s="11" t="str">
        <f>IF(Rendiciones[[#This Row],[Fecha ]]&lt;&gt;"",TEXT(Rendiciones[[#This Row],[Fecha ]],"MMMM"),"")</f>
        <v>julio</v>
      </c>
      <c r="G560" s="11" t="s">
        <v>428</v>
      </c>
      <c r="H560" s="12" t="s">
        <v>6</v>
      </c>
      <c r="I560" s="12" t="s">
        <v>39</v>
      </c>
      <c r="L560" s="20"/>
      <c r="M560" s="20">
        <v>5050</v>
      </c>
      <c r="N560" s="20">
        <f>Rendiciones[[#This Row],[Monto Neto ]]*19%</f>
        <v>0</v>
      </c>
      <c r="O560" s="6">
        <f>+Rendiciones[[#This Row],[Monto Neto ]]+Rendiciones[[#This Row],[Monto Exento ]]+Rendiciones[[#This Row],[Iva]]</f>
        <v>5050</v>
      </c>
      <c r="Q560" s="138"/>
      <c r="R560" s="20"/>
      <c r="S560" s="20">
        <f>Rendiciones[[#This Row],[Total ]]-Rendiciones[[#This Row],[Monto ]]</f>
        <v>5050</v>
      </c>
      <c r="U560" s="72"/>
    </row>
    <row r="561" spans="2:21" x14ac:dyDescent="0.3">
      <c r="B561" s="12" t="s">
        <v>519</v>
      </c>
      <c r="C561" s="12">
        <v>17</v>
      </c>
      <c r="D561" s="138">
        <v>46231</v>
      </c>
      <c r="E561" s="12" t="s">
        <v>574</v>
      </c>
      <c r="F561" s="11" t="str">
        <f>IF(Rendiciones[[#This Row],[Fecha ]]&lt;&gt;"",TEXT(Rendiciones[[#This Row],[Fecha ]],"MMMM"),"")</f>
        <v>julio</v>
      </c>
      <c r="G561" s="11" t="s">
        <v>428</v>
      </c>
      <c r="H561" s="12" t="s">
        <v>6</v>
      </c>
      <c r="I561" s="12" t="s">
        <v>39</v>
      </c>
      <c r="L561" s="20"/>
      <c r="M561" s="20">
        <v>650</v>
      </c>
      <c r="N561" s="20">
        <f>Rendiciones[[#This Row],[Monto Neto ]]*19%</f>
        <v>0</v>
      </c>
      <c r="O561" s="6">
        <f>+Rendiciones[[#This Row],[Monto Neto ]]+Rendiciones[[#This Row],[Monto Exento ]]+Rendiciones[[#This Row],[Iva]]</f>
        <v>650</v>
      </c>
      <c r="Q561" s="138"/>
      <c r="R561" s="20"/>
      <c r="S561" s="20">
        <f>Rendiciones[[#This Row],[Total ]]-Rendiciones[[#This Row],[Monto ]]</f>
        <v>650</v>
      </c>
      <c r="U561" s="72"/>
    </row>
    <row r="562" spans="2:21" x14ac:dyDescent="0.3">
      <c r="B562" s="12" t="s">
        <v>519</v>
      </c>
      <c r="C562" s="12">
        <v>17</v>
      </c>
      <c r="D562" s="138">
        <v>46232</v>
      </c>
      <c r="E562" s="12" t="s">
        <v>574</v>
      </c>
      <c r="F562" s="11" t="str">
        <f>IF(Rendiciones[[#This Row],[Fecha ]]&lt;&gt;"",TEXT(Rendiciones[[#This Row],[Fecha ]],"MMMM"),"")</f>
        <v>julio</v>
      </c>
      <c r="G562" s="11" t="s">
        <v>428</v>
      </c>
      <c r="H562" s="12" t="s">
        <v>6</v>
      </c>
      <c r="I562" s="12" t="s">
        <v>65</v>
      </c>
      <c r="L562" s="20"/>
      <c r="M562" s="20">
        <v>21980</v>
      </c>
      <c r="N562" s="20">
        <f>Rendiciones[[#This Row],[Monto Neto ]]*19%</f>
        <v>0</v>
      </c>
      <c r="O562" s="6">
        <f>+Rendiciones[[#This Row],[Monto Neto ]]+Rendiciones[[#This Row],[Monto Exento ]]+Rendiciones[[#This Row],[Iva]]</f>
        <v>21980</v>
      </c>
      <c r="Q562" s="138"/>
      <c r="R562" s="20"/>
      <c r="S562" s="20">
        <f>Rendiciones[[#This Row],[Total ]]-Rendiciones[[#This Row],[Monto ]]</f>
        <v>21980</v>
      </c>
      <c r="U562" s="72"/>
    </row>
    <row r="563" spans="2:21" x14ac:dyDescent="0.3">
      <c r="B563" s="12" t="s">
        <v>519</v>
      </c>
      <c r="C563" s="12">
        <v>17</v>
      </c>
      <c r="D563" s="138">
        <v>46232</v>
      </c>
      <c r="E563" s="12" t="s">
        <v>574</v>
      </c>
      <c r="F563" s="11" t="str">
        <f>IF(Rendiciones[[#This Row],[Fecha ]]&lt;&gt;"",TEXT(Rendiciones[[#This Row],[Fecha ]],"MMMM"),"")</f>
        <v>julio</v>
      </c>
      <c r="G563" s="11" t="s">
        <v>428</v>
      </c>
      <c r="H563" s="12" t="s">
        <v>6</v>
      </c>
      <c r="I563" s="12" t="s">
        <v>39</v>
      </c>
      <c r="L563" s="20"/>
      <c r="M563" s="20">
        <v>3440</v>
      </c>
      <c r="N563" s="20">
        <f>Rendiciones[[#This Row],[Monto Neto ]]*19%</f>
        <v>0</v>
      </c>
      <c r="O563" s="6">
        <f>+Rendiciones[[#This Row],[Monto Neto ]]+Rendiciones[[#This Row],[Monto Exento ]]+Rendiciones[[#This Row],[Iva]]</f>
        <v>3440</v>
      </c>
      <c r="Q563" s="138"/>
      <c r="R563" s="20"/>
      <c r="S563" s="20">
        <f>Rendiciones[[#This Row],[Total ]]-Rendiciones[[#This Row],[Monto ]]</f>
        <v>3440</v>
      </c>
      <c r="U563" s="72"/>
    </row>
    <row r="564" spans="2:21" x14ac:dyDescent="0.3">
      <c r="B564" s="12" t="s">
        <v>519</v>
      </c>
      <c r="C564" s="12">
        <v>17</v>
      </c>
      <c r="D564" s="138">
        <v>46232</v>
      </c>
      <c r="E564" s="12" t="s">
        <v>574</v>
      </c>
      <c r="F564" s="11" t="str">
        <f>IF(Rendiciones[[#This Row],[Fecha ]]&lt;&gt;"",TEXT(Rendiciones[[#This Row],[Fecha ]],"MMMM"),"")</f>
        <v>julio</v>
      </c>
      <c r="G564" s="11" t="s">
        <v>428</v>
      </c>
      <c r="H564" s="12" t="s">
        <v>6</v>
      </c>
      <c r="I564" s="12" t="s">
        <v>39</v>
      </c>
      <c r="L564" s="20"/>
      <c r="M564" s="20">
        <v>2065</v>
      </c>
      <c r="N564" s="20">
        <f>Rendiciones[[#This Row],[Monto Neto ]]*19%</f>
        <v>0</v>
      </c>
      <c r="O564" s="6">
        <f>+Rendiciones[[#This Row],[Monto Neto ]]+Rendiciones[[#This Row],[Monto Exento ]]+Rendiciones[[#This Row],[Iva]]</f>
        <v>2065</v>
      </c>
      <c r="Q564" s="138"/>
      <c r="R564" s="20"/>
      <c r="S564" s="20">
        <f>Rendiciones[[#This Row],[Total ]]-Rendiciones[[#This Row],[Monto ]]</f>
        <v>2065</v>
      </c>
      <c r="U564" s="72"/>
    </row>
    <row r="565" spans="2:21" x14ac:dyDescent="0.3">
      <c r="B565" s="12" t="s">
        <v>519</v>
      </c>
      <c r="C565" s="12">
        <v>17</v>
      </c>
      <c r="D565" s="138">
        <v>46233</v>
      </c>
      <c r="E565" s="12" t="s">
        <v>574</v>
      </c>
      <c r="F565" s="11" t="str">
        <f>IF(Rendiciones[[#This Row],[Fecha ]]&lt;&gt;"",TEXT(Rendiciones[[#This Row],[Fecha ]],"MMMM"),"")</f>
        <v>julio</v>
      </c>
      <c r="G565" s="11" t="s">
        <v>428</v>
      </c>
      <c r="H565" s="12" t="s">
        <v>6</v>
      </c>
      <c r="I565" s="12" t="s">
        <v>429</v>
      </c>
      <c r="L565" s="20"/>
      <c r="M565" s="20">
        <v>3420</v>
      </c>
      <c r="N565" s="20">
        <f>Rendiciones[[#This Row],[Monto Neto ]]*19%</f>
        <v>0</v>
      </c>
      <c r="O565" s="6">
        <f>+Rendiciones[[#This Row],[Monto Neto ]]+Rendiciones[[#This Row],[Monto Exento ]]+Rendiciones[[#This Row],[Iva]]</f>
        <v>3420</v>
      </c>
      <c r="Q565" s="138"/>
      <c r="R565" s="20"/>
      <c r="S565" s="20">
        <f>Rendiciones[[#This Row],[Total ]]-Rendiciones[[#This Row],[Monto ]]</f>
        <v>3420</v>
      </c>
      <c r="U565" s="72"/>
    </row>
    <row r="566" spans="2:21" x14ac:dyDescent="0.3">
      <c r="B566" s="12" t="s">
        <v>519</v>
      </c>
      <c r="C566" s="12">
        <v>17</v>
      </c>
      <c r="D566" s="138">
        <v>46234</v>
      </c>
      <c r="E566" s="12" t="s">
        <v>574</v>
      </c>
      <c r="F566" s="11" t="str">
        <f>IF(Rendiciones[[#This Row],[Fecha ]]&lt;&gt;"",TEXT(Rendiciones[[#This Row],[Fecha ]],"MMMM"),"")</f>
        <v>julio</v>
      </c>
      <c r="G566" s="11" t="s">
        <v>428</v>
      </c>
      <c r="H566" s="12" t="s">
        <v>6</v>
      </c>
      <c r="I566" s="12" t="s">
        <v>39</v>
      </c>
      <c r="L566" s="20"/>
      <c r="M566" s="20">
        <v>12563</v>
      </c>
      <c r="N566" s="20">
        <f>Rendiciones[[#This Row],[Monto Neto ]]*19%</f>
        <v>0</v>
      </c>
      <c r="O566" s="6">
        <f>+Rendiciones[[#This Row],[Monto Neto ]]+Rendiciones[[#This Row],[Monto Exento ]]+Rendiciones[[#This Row],[Iva]]</f>
        <v>12563</v>
      </c>
      <c r="Q566" s="138"/>
      <c r="R566" s="20"/>
      <c r="S566" s="20">
        <f>Rendiciones[[#This Row],[Total ]]-Rendiciones[[#This Row],[Monto ]]</f>
        <v>12563</v>
      </c>
      <c r="U566" s="72"/>
    </row>
    <row r="567" spans="2:21" x14ac:dyDescent="0.3">
      <c r="B567" s="12" t="s">
        <v>519</v>
      </c>
      <c r="C567" s="12">
        <v>17</v>
      </c>
      <c r="D567" s="138">
        <v>46237</v>
      </c>
      <c r="E567" s="12" t="s">
        <v>575</v>
      </c>
      <c r="F567" s="11" t="str">
        <f>IF(Rendiciones[[#This Row],[Fecha ]]&lt;&gt;"",TEXT(Rendiciones[[#This Row],[Fecha ]],"MMMM"),"")</f>
        <v>agosto</v>
      </c>
      <c r="G567" s="11" t="s">
        <v>428</v>
      </c>
      <c r="H567" s="12" t="s">
        <v>6</v>
      </c>
      <c r="I567" s="12" t="s">
        <v>39</v>
      </c>
      <c r="L567" s="20"/>
      <c r="M567" s="20">
        <v>1700</v>
      </c>
      <c r="N567" s="20">
        <f>Rendiciones[[#This Row],[Monto Neto ]]*19%</f>
        <v>0</v>
      </c>
      <c r="O567" s="6">
        <f>+Rendiciones[[#This Row],[Monto Neto ]]+Rendiciones[[#This Row],[Monto Exento ]]+Rendiciones[[#This Row],[Iva]]</f>
        <v>1700</v>
      </c>
      <c r="Q567" s="138"/>
      <c r="R567" s="20"/>
      <c r="S567" s="20">
        <f>Rendiciones[[#This Row],[Total ]]-Rendiciones[[#This Row],[Monto ]]</f>
        <v>1700</v>
      </c>
      <c r="U567" s="72"/>
    </row>
    <row r="568" spans="2:21" x14ac:dyDescent="0.3">
      <c r="B568" s="12" t="s">
        <v>519</v>
      </c>
      <c r="C568" s="12">
        <v>17</v>
      </c>
      <c r="D568" s="138">
        <v>46238</v>
      </c>
      <c r="E568" s="12" t="s">
        <v>575</v>
      </c>
      <c r="F568" s="11" t="str">
        <f>IF(Rendiciones[[#This Row],[Fecha ]]&lt;&gt;"",TEXT(Rendiciones[[#This Row],[Fecha ]],"MMMM"),"")</f>
        <v>agosto</v>
      </c>
      <c r="G568" s="11" t="s">
        <v>428</v>
      </c>
      <c r="H568" s="12" t="s">
        <v>6</v>
      </c>
      <c r="I568" s="12" t="s">
        <v>429</v>
      </c>
      <c r="L568" s="20"/>
      <c r="M568" s="20">
        <v>7950</v>
      </c>
      <c r="N568" s="20">
        <f>Rendiciones[[#This Row],[Monto Neto ]]*19%</f>
        <v>0</v>
      </c>
      <c r="O568" s="6">
        <f>+Rendiciones[[#This Row],[Monto Neto ]]+Rendiciones[[#This Row],[Monto Exento ]]+Rendiciones[[#This Row],[Iva]]</f>
        <v>7950</v>
      </c>
      <c r="Q568" s="138"/>
      <c r="R568" s="20"/>
      <c r="S568" s="20">
        <f>Rendiciones[[#This Row],[Total ]]-Rendiciones[[#This Row],[Monto ]]</f>
        <v>7950</v>
      </c>
      <c r="U568" s="72"/>
    </row>
    <row r="569" spans="2:21" x14ac:dyDescent="0.3">
      <c r="B569" s="12" t="s">
        <v>519</v>
      </c>
      <c r="C569" s="12">
        <v>17</v>
      </c>
      <c r="D569" s="138">
        <v>46238</v>
      </c>
      <c r="E569" s="12" t="s">
        <v>575</v>
      </c>
      <c r="F569" s="11" t="str">
        <f>IF(Rendiciones[[#This Row],[Fecha ]]&lt;&gt;"",TEXT(Rendiciones[[#This Row],[Fecha ]],"MMMM"),"")</f>
        <v>agosto</v>
      </c>
      <c r="G569" s="11" t="s">
        <v>428</v>
      </c>
      <c r="H569" s="12" t="s">
        <v>6</v>
      </c>
      <c r="I569" s="12" t="s">
        <v>39</v>
      </c>
      <c r="L569" s="20"/>
      <c r="M569" s="20">
        <v>1900</v>
      </c>
      <c r="N569" s="20">
        <f>Rendiciones[[#This Row],[Monto Neto ]]*19%</f>
        <v>0</v>
      </c>
      <c r="O569" s="6">
        <f>+Rendiciones[[#This Row],[Monto Neto ]]+Rendiciones[[#This Row],[Monto Exento ]]+Rendiciones[[#This Row],[Iva]]</f>
        <v>1900</v>
      </c>
      <c r="Q569" s="138"/>
      <c r="R569" s="20"/>
      <c r="S569" s="20">
        <f>Rendiciones[[#This Row],[Total ]]-Rendiciones[[#This Row],[Monto ]]</f>
        <v>1900</v>
      </c>
      <c r="U569" s="72"/>
    </row>
    <row r="570" spans="2:21" x14ac:dyDescent="0.3">
      <c r="B570" s="12" t="s">
        <v>519</v>
      </c>
      <c r="C570" s="12">
        <v>17</v>
      </c>
      <c r="D570" s="138">
        <v>46238</v>
      </c>
      <c r="E570" s="12" t="s">
        <v>575</v>
      </c>
      <c r="F570" s="11" t="str">
        <f>IF(Rendiciones[[#This Row],[Fecha ]]&lt;&gt;"",TEXT(Rendiciones[[#This Row],[Fecha ]],"MMMM"),"")</f>
        <v>agosto</v>
      </c>
      <c r="G570" s="11" t="s">
        <v>428</v>
      </c>
      <c r="H570" s="12" t="s">
        <v>6</v>
      </c>
      <c r="I570" s="12" t="s">
        <v>52</v>
      </c>
      <c r="L570" s="20"/>
      <c r="M570" s="20">
        <v>6990</v>
      </c>
      <c r="N570" s="20">
        <f>Rendiciones[[#This Row],[Monto Neto ]]*19%</f>
        <v>0</v>
      </c>
      <c r="O570" s="6">
        <f>+Rendiciones[[#This Row],[Monto Neto ]]+Rendiciones[[#This Row],[Monto Exento ]]+Rendiciones[[#This Row],[Iva]]</f>
        <v>6990</v>
      </c>
      <c r="Q570" s="138"/>
      <c r="R570" s="20"/>
      <c r="S570" s="20">
        <f>Rendiciones[[#This Row],[Total ]]-Rendiciones[[#This Row],[Monto ]]</f>
        <v>6990</v>
      </c>
      <c r="U570" s="72"/>
    </row>
    <row r="571" spans="2:21" x14ac:dyDescent="0.3">
      <c r="B571" s="12" t="s">
        <v>519</v>
      </c>
      <c r="C571" s="12">
        <v>17</v>
      </c>
      <c r="D571" s="138">
        <v>46238</v>
      </c>
      <c r="E571" s="12" t="s">
        <v>575</v>
      </c>
      <c r="F571" s="11" t="str">
        <f>IF(Rendiciones[[#This Row],[Fecha ]]&lt;&gt;"",TEXT(Rendiciones[[#This Row],[Fecha ]],"MMMM"),"")</f>
        <v>agosto</v>
      </c>
      <c r="G571" s="11" t="s">
        <v>428</v>
      </c>
      <c r="H571" s="12" t="s">
        <v>6</v>
      </c>
      <c r="I571" s="12" t="s">
        <v>39</v>
      </c>
      <c r="L571" s="20"/>
      <c r="M571" s="20">
        <v>3000</v>
      </c>
      <c r="N571" s="20">
        <f>Rendiciones[[#This Row],[Monto Neto ]]*19%</f>
        <v>0</v>
      </c>
      <c r="O571" s="6">
        <f>+Rendiciones[[#This Row],[Monto Neto ]]+Rendiciones[[#This Row],[Monto Exento ]]+Rendiciones[[#This Row],[Iva]]</f>
        <v>3000</v>
      </c>
      <c r="Q571" s="138"/>
      <c r="R571" s="20"/>
      <c r="S571" s="20">
        <f>Rendiciones[[#This Row],[Total ]]-Rendiciones[[#This Row],[Monto ]]</f>
        <v>3000</v>
      </c>
      <c r="U571" s="72"/>
    </row>
    <row r="572" spans="2:21" x14ac:dyDescent="0.3">
      <c r="B572" s="12" t="s">
        <v>519</v>
      </c>
      <c r="C572" s="12">
        <v>17</v>
      </c>
      <c r="D572" s="138">
        <v>46239</v>
      </c>
      <c r="E572" s="12" t="s">
        <v>575</v>
      </c>
      <c r="F572" s="11" t="str">
        <f>IF(Rendiciones[[#This Row],[Fecha ]]&lt;&gt;"",TEXT(Rendiciones[[#This Row],[Fecha ]],"MMMM"),"")</f>
        <v>agosto</v>
      </c>
      <c r="G572" s="11" t="s">
        <v>428</v>
      </c>
      <c r="H572" s="12" t="s">
        <v>6</v>
      </c>
      <c r="I572" s="12" t="s">
        <v>429</v>
      </c>
      <c r="L572" s="20"/>
      <c r="M572" s="20">
        <v>3990</v>
      </c>
      <c r="N572" s="20">
        <f>Rendiciones[[#This Row],[Monto Neto ]]*19%</f>
        <v>0</v>
      </c>
      <c r="O572" s="6">
        <f>+Rendiciones[[#This Row],[Monto Neto ]]+Rendiciones[[#This Row],[Monto Exento ]]+Rendiciones[[#This Row],[Iva]]</f>
        <v>3990</v>
      </c>
      <c r="Q572" s="138"/>
      <c r="R572" s="20"/>
      <c r="S572" s="20">
        <f>Rendiciones[[#This Row],[Total ]]-Rendiciones[[#This Row],[Monto ]]</f>
        <v>3990</v>
      </c>
      <c r="U572" s="72"/>
    </row>
    <row r="573" spans="2:21" x14ac:dyDescent="0.3">
      <c r="B573" s="12" t="s">
        <v>519</v>
      </c>
      <c r="C573" s="12">
        <v>17</v>
      </c>
      <c r="D573" s="138">
        <v>46239</v>
      </c>
      <c r="E573" s="12" t="s">
        <v>575</v>
      </c>
      <c r="F573" s="11" t="str">
        <f>IF(Rendiciones[[#This Row],[Fecha ]]&lt;&gt;"",TEXT(Rendiciones[[#This Row],[Fecha ]],"MMMM"),"")</f>
        <v>agosto</v>
      </c>
      <c r="G573" s="11" t="s">
        <v>428</v>
      </c>
      <c r="H573" s="12" t="s">
        <v>6</v>
      </c>
      <c r="I573" s="12" t="s">
        <v>429</v>
      </c>
      <c r="L573" s="20"/>
      <c r="M573" s="20">
        <v>9590</v>
      </c>
      <c r="N573" s="20">
        <f>Rendiciones[[#This Row],[Monto Neto ]]*19%</f>
        <v>0</v>
      </c>
      <c r="O573" s="6">
        <f>+Rendiciones[[#This Row],[Monto Neto ]]+Rendiciones[[#This Row],[Monto Exento ]]+Rendiciones[[#This Row],[Iva]]</f>
        <v>9590</v>
      </c>
      <c r="Q573" s="138"/>
      <c r="R573" s="20"/>
      <c r="S573" s="20">
        <f>Rendiciones[[#This Row],[Total ]]-Rendiciones[[#This Row],[Monto ]]</f>
        <v>9590</v>
      </c>
      <c r="U573" s="72"/>
    </row>
    <row r="574" spans="2:21" x14ac:dyDescent="0.3">
      <c r="B574" s="12" t="s">
        <v>519</v>
      </c>
      <c r="C574" s="12">
        <v>17</v>
      </c>
      <c r="D574" s="138">
        <v>46239</v>
      </c>
      <c r="E574" s="12" t="s">
        <v>575</v>
      </c>
      <c r="F574" s="11" t="str">
        <f>IF(Rendiciones[[#This Row],[Fecha ]]&lt;&gt;"",TEXT(Rendiciones[[#This Row],[Fecha ]],"MMMM"),"")</f>
        <v>agosto</v>
      </c>
      <c r="G574" s="11" t="s">
        <v>428</v>
      </c>
      <c r="H574" s="12" t="s">
        <v>6</v>
      </c>
      <c r="I574" s="12" t="s">
        <v>39</v>
      </c>
      <c r="L574" s="20"/>
      <c r="M574" s="20">
        <v>400</v>
      </c>
      <c r="N574" s="20">
        <f>Rendiciones[[#This Row],[Monto Neto ]]*19%</f>
        <v>0</v>
      </c>
      <c r="O574" s="6">
        <f>+Rendiciones[[#This Row],[Monto Neto ]]+Rendiciones[[#This Row],[Monto Exento ]]+Rendiciones[[#This Row],[Iva]]</f>
        <v>400</v>
      </c>
      <c r="Q574" s="138"/>
      <c r="R574" s="20"/>
      <c r="S574" s="20">
        <f>Rendiciones[[#This Row],[Total ]]-Rendiciones[[#This Row],[Monto ]]</f>
        <v>400</v>
      </c>
      <c r="U574" s="72"/>
    </row>
    <row r="575" spans="2:21" x14ac:dyDescent="0.3">
      <c r="B575" s="12" t="s">
        <v>519</v>
      </c>
      <c r="C575" s="12">
        <v>17</v>
      </c>
      <c r="D575" s="138">
        <v>46239</v>
      </c>
      <c r="E575" s="12" t="s">
        <v>575</v>
      </c>
      <c r="F575" s="11" t="str">
        <f>IF(Rendiciones[[#This Row],[Fecha ]]&lt;&gt;"",TEXT(Rendiciones[[#This Row],[Fecha ]],"MMMM"),"")</f>
        <v>agosto</v>
      </c>
      <c r="G575" s="11" t="s">
        <v>428</v>
      </c>
      <c r="H575" s="12" t="s">
        <v>6</v>
      </c>
      <c r="I575" s="12" t="s">
        <v>39</v>
      </c>
      <c r="L575" s="20"/>
      <c r="M575" s="20">
        <v>6933</v>
      </c>
      <c r="N575" s="20">
        <f>Rendiciones[[#This Row],[Monto Neto ]]*19%</f>
        <v>0</v>
      </c>
      <c r="O575" s="6">
        <f>+Rendiciones[[#This Row],[Monto Neto ]]+Rendiciones[[#This Row],[Monto Exento ]]+Rendiciones[[#This Row],[Iva]]</f>
        <v>6933</v>
      </c>
      <c r="Q575" s="138"/>
      <c r="R575" s="20"/>
      <c r="S575" s="20">
        <f>Rendiciones[[#This Row],[Total ]]-Rendiciones[[#This Row],[Monto ]]</f>
        <v>6933</v>
      </c>
      <c r="U575" s="72"/>
    </row>
    <row r="576" spans="2:21" x14ac:dyDescent="0.3">
      <c r="B576" s="12" t="s">
        <v>519</v>
      </c>
      <c r="C576" s="12">
        <v>17</v>
      </c>
      <c r="D576" s="138">
        <v>46240</v>
      </c>
      <c r="E576" s="12" t="s">
        <v>575</v>
      </c>
      <c r="F576" s="11" t="str">
        <f>IF(Rendiciones[[#This Row],[Fecha ]]&lt;&gt;"",TEXT(Rendiciones[[#This Row],[Fecha ]],"MMMM"),"")</f>
        <v>agosto</v>
      </c>
      <c r="G576" s="11" t="s">
        <v>428</v>
      </c>
      <c r="H576" s="12" t="s">
        <v>6</v>
      </c>
      <c r="I576" s="12" t="s">
        <v>429</v>
      </c>
      <c r="L576" s="20"/>
      <c r="M576" s="20">
        <v>11380</v>
      </c>
      <c r="N576" s="20">
        <f>Rendiciones[[#This Row],[Monto Neto ]]*19%</f>
        <v>0</v>
      </c>
      <c r="O576" s="6">
        <f>+Rendiciones[[#This Row],[Monto Neto ]]+Rendiciones[[#This Row],[Monto Exento ]]+Rendiciones[[#This Row],[Iva]]</f>
        <v>11380</v>
      </c>
      <c r="Q576" s="138"/>
      <c r="R576" s="20"/>
      <c r="S576" s="20">
        <f>Rendiciones[[#This Row],[Total ]]-Rendiciones[[#This Row],[Monto ]]</f>
        <v>11380</v>
      </c>
      <c r="U576" s="72"/>
    </row>
    <row r="577" spans="2:21" x14ac:dyDescent="0.3">
      <c r="B577" s="12" t="s">
        <v>519</v>
      </c>
      <c r="C577" s="12">
        <v>17</v>
      </c>
      <c r="D577" s="138">
        <v>46240</v>
      </c>
      <c r="E577" s="12" t="s">
        <v>575</v>
      </c>
      <c r="F577" s="11" t="str">
        <f>IF(Rendiciones[[#This Row],[Fecha ]]&lt;&gt;"",TEXT(Rendiciones[[#This Row],[Fecha ]],"MMMM"),"")</f>
        <v>agosto</v>
      </c>
      <c r="G577" s="11" t="s">
        <v>428</v>
      </c>
      <c r="H577" s="12" t="s">
        <v>6</v>
      </c>
      <c r="I577" s="12" t="s">
        <v>39</v>
      </c>
      <c r="L577" s="20"/>
      <c r="M577" s="20">
        <v>4550</v>
      </c>
      <c r="N577" s="20">
        <f>Rendiciones[[#This Row],[Monto Neto ]]*19%</f>
        <v>0</v>
      </c>
      <c r="O577" s="6">
        <f>+Rendiciones[[#This Row],[Monto Neto ]]+Rendiciones[[#This Row],[Monto Exento ]]+Rendiciones[[#This Row],[Iva]]</f>
        <v>4550</v>
      </c>
      <c r="Q577" s="138"/>
      <c r="R577" s="20"/>
      <c r="S577" s="20">
        <f>Rendiciones[[#This Row],[Total ]]-Rendiciones[[#This Row],[Monto ]]</f>
        <v>4550</v>
      </c>
      <c r="U577" s="72"/>
    </row>
    <row r="578" spans="2:21" x14ac:dyDescent="0.3">
      <c r="B578" s="12" t="s">
        <v>519</v>
      </c>
      <c r="C578" s="12">
        <v>17</v>
      </c>
      <c r="D578" s="138">
        <v>46240</v>
      </c>
      <c r="E578" s="12" t="s">
        <v>575</v>
      </c>
      <c r="F578" s="11" t="str">
        <f>IF(Rendiciones[[#This Row],[Fecha ]]&lt;&gt;"",TEXT(Rendiciones[[#This Row],[Fecha ]],"MMMM"),"")</f>
        <v>agosto</v>
      </c>
      <c r="G578" s="11" t="s">
        <v>428</v>
      </c>
      <c r="H578" s="12" t="s">
        <v>6</v>
      </c>
      <c r="I578" s="12" t="s">
        <v>429</v>
      </c>
      <c r="L578" s="20"/>
      <c r="M578" s="20">
        <v>9470</v>
      </c>
      <c r="N578" s="20">
        <f>Rendiciones[[#This Row],[Monto Neto ]]*19%</f>
        <v>0</v>
      </c>
      <c r="O578" s="6">
        <f>+Rendiciones[[#This Row],[Monto Neto ]]+Rendiciones[[#This Row],[Monto Exento ]]+Rendiciones[[#This Row],[Iva]]</f>
        <v>9470</v>
      </c>
      <c r="Q578" s="138"/>
      <c r="R578" s="20"/>
      <c r="S578" s="20">
        <f>Rendiciones[[#This Row],[Total ]]-Rendiciones[[#This Row],[Monto ]]</f>
        <v>9470</v>
      </c>
      <c r="U578" s="72"/>
    </row>
    <row r="579" spans="2:21" x14ac:dyDescent="0.3">
      <c r="B579" s="12" t="s">
        <v>519</v>
      </c>
      <c r="C579" s="12">
        <v>17</v>
      </c>
      <c r="D579" s="138">
        <v>46240</v>
      </c>
      <c r="E579" s="12" t="s">
        <v>575</v>
      </c>
      <c r="F579" s="11" t="str">
        <f>IF(Rendiciones[[#This Row],[Fecha ]]&lt;&gt;"",TEXT(Rendiciones[[#This Row],[Fecha ]],"MMMM"),"")</f>
        <v>agosto</v>
      </c>
      <c r="G579" s="11" t="s">
        <v>428</v>
      </c>
      <c r="H579" s="12" t="s">
        <v>6</v>
      </c>
      <c r="I579" s="12" t="s">
        <v>28</v>
      </c>
      <c r="K579" s="1" t="s">
        <v>81</v>
      </c>
      <c r="L579" s="20">
        <v>28161</v>
      </c>
      <c r="M579" s="20">
        <f>11449-4961</f>
        <v>6488</v>
      </c>
      <c r="N579" s="20">
        <f>Rendiciones[[#This Row],[Monto Neto ]]*19%</f>
        <v>5350.59</v>
      </c>
      <c r="O579" s="6">
        <f>+Rendiciones[[#This Row],[Monto Neto ]]+Rendiciones[[#This Row],[Monto Exento ]]+Rendiciones[[#This Row],[Iva]]</f>
        <v>39999.589999999997</v>
      </c>
      <c r="Q579" s="138"/>
      <c r="R579" s="20"/>
      <c r="S579" s="20">
        <f>Rendiciones[[#This Row],[Total ]]-Rendiciones[[#This Row],[Monto ]]</f>
        <v>39999.589999999997</v>
      </c>
      <c r="U579" s="72"/>
    </row>
    <row r="580" spans="2:21" x14ac:dyDescent="0.3">
      <c r="B580" s="12" t="s">
        <v>519</v>
      </c>
      <c r="C580" s="12">
        <v>17</v>
      </c>
      <c r="D580" s="138">
        <v>46240</v>
      </c>
      <c r="E580" s="12" t="s">
        <v>575</v>
      </c>
      <c r="F580" s="11" t="str">
        <f>IF(Rendiciones[[#This Row],[Fecha ]]&lt;&gt;"",TEXT(Rendiciones[[#This Row],[Fecha ]],"MMMM"),"")</f>
        <v>agosto</v>
      </c>
      <c r="G580" s="11" t="s">
        <v>428</v>
      </c>
      <c r="H580" s="12" t="s">
        <v>6</v>
      </c>
      <c r="I580" s="12" t="s">
        <v>429</v>
      </c>
      <c r="K580" s="1" t="s">
        <v>81</v>
      </c>
      <c r="L580" s="20">
        <v>116807</v>
      </c>
      <c r="M580" s="20">
        <v>13900</v>
      </c>
      <c r="N580" s="20">
        <f>Rendiciones[[#This Row],[Monto Neto ]]*19%</f>
        <v>22193.33</v>
      </c>
      <c r="O580" s="6">
        <f>+Rendiciones[[#This Row],[Monto Neto ]]+Rendiciones[[#This Row],[Monto Exento ]]+Rendiciones[[#This Row],[Iva]]</f>
        <v>152900.33000000002</v>
      </c>
      <c r="Q580" s="138"/>
      <c r="R580" s="20"/>
      <c r="S580" s="20">
        <f>Rendiciones[[#This Row],[Total ]]-Rendiciones[[#This Row],[Monto ]]</f>
        <v>152900.33000000002</v>
      </c>
      <c r="U580" s="72"/>
    </row>
    <row r="581" spans="2:21" x14ac:dyDescent="0.3">
      <c r="B581" s="12" t="s">
        <v>519</v>
      </c>
      <c r="C581" s="12">
        <v>17</v>
      </c>
      <c r="D581" s="138">
        <v>46240</v>
      </c>
      <c r="E581" s="12" t="s">
        <v>575</v>
      </c>
      <c r="F581" s="11" t="str">
        <f>IF(Rendiciones[[#This Row],[Fecha ]]&lt;&gt;"",TEXT(Rendiciones[[#This Row],[Fecha ]],"MMMM"),"")</f>
        <v>agosto</v>
      </c>
      <c r="G581" s="11" t="s">
        <v>428</v>
      </c>
      <c r="H581" s="12" t="s">
        <v>6</v>
      </c>
      <c r="I581" s="12" t="s">
        <v>28</v>
      </c>
      <c r="K581" s="1" t="s">
        <v>81</v>
      </c>
      <c r="L581" s="20">
        <v>41312</v>
      </c>
      <c r="M581" s="20">
        <v>10302</v>
      </c>
      <c r="N581" s="20">
        <f>Rendiciones[[#This Row],[Monto Neto ]]*19%</f>
        <v>7849.28</v>
      </c>
      <c r="O581" s="6">
        <f>+Rendiciones[[#This Row],[Monto Neto ]]+Rendiciones[[#This Row],[Monto Exento ]]+Rendiciones[[#This Row],[Iva]]</f>
        <v>59463.28</v>
      </c>
      <c r="P581" t="s">
        <v>477</v>
      </c>
      <c r="Q581" s="138">
        <v>46248</v>
      </c>
      <c r="R581" s="20">
        <v>419384.14</v>
      </c>
      <c r="S581" s="20">
        <f>Rendiciones[[#This Row],[Total ]]-Rendiciones[[#This Row],[Monto ]]</f>
        <v>-359920.86</v>
      </c>
      <c r="U581" s="72"/>
    </row>
    <row r="582" spans="2:21" x14ac:dyDescent="0.3">
      <c r="B582" s="12" t="s">
        <v>445</v>
      </c>
      <c r="C582" s="12">
        <v>27</v>
      </c>
      <c r="D582" s="138">
        <v>46241</v>
      </c>
      <c r="E582" s="12" t="s">
        <v>575</v>
      </c>
      <c r="F582" s="11" t="str">
        <f>IF(Rendiciones[[#This Row],[Fecha ]]&lt;&gt;"",TEXT(Rendiciones[[#This Row],[Fecha ]],"MMMM"),"")</f>
        <v>agosto</v>
      </c>
      <c r="G582" s="11" t="s">
        <v>428</v>
      </c>
      <c r="H582" s="12" t="s">
        <v>6</v>
      </c>
      <c r="I582" s="12" t="s">
        <v>28</v>
      </c>
      <c r="K582" s="1" t="s">
        <v>81</v>
      </c>
      <c r="L582" s="20">
        <v>59031</v>
      </c>
      <c r="M582" s="20">
        <v>-11252.89</v>
      </c>
      <c r="N582" s="20">
        <f>Rendiciones[[#This Row],[Monto Neto ]]*19%</f>
        <v>11215.89</v>
      </c>
      <c r="O582" s="6">
        <f>+Rendiciones[[#This Row],[Monto Neto ]]+Rendiciones[[#This Row],[Monto Exento ]]+Rendiciones[[#This Row],[Iva]]</f>
        <v>58994</v>
      </c>
      <c r="Q582" s="138"/>
      <c r="R582" s="20"/>
      <c r="S582" s="20">
        <f>Rendiciones[[#This Row],[Total ]]-Rendiciones[[#This Row],[Monto ]]</f>
        <v>58994</v>
      </c>
      <c r="U582" s="72"/>
    </row>
    <row r="583" spans="2:21" x14ac:dyDescent="0.3">
      <c r="B583" s="12" t="s">
        <v>580</v>
      </c>
      <c r="D583" s="138"/>
      <c r="F583" s="11" t="str">
        <f>IF(Rendiciones[[#This Row],[Fecha ]]&lt;&gt;"",TEXT(Rendiciones[[#This Row],[Fecha ]],"MMMM"),"")</f>
        <v/>
      </c>
      <c r="G583" s="11"/>
      <c r="L583" s="20"/>
      <c r="M583" s="20"/>
      <c r="N583" s="20">
        <f>Rendiciones[[#This Row],[Monto Neto ]]*19%</f>
        <v>0</v>
      </c>
      <c r="O583" s="6">
        <f>+Rendiciones[[#This Row],[Monto Neto ]]+Rendiciones[[#This Row],[Monto Exento ]]+Rendiciones[[#This Row],[Iva]]</f>
        <v>0</v>
      </c>
      <c r="P583" t="s">
        <v>477</v>
      </c>
      <c r="Q583" s="138"/>
      <c r="R583" s="20">
        <v>262889.95999999996</v>
      </c>
      <c r="S583" s="20">
        <f>Rendiciones[[#This Row],[Total ]]-Rendiciones[[#This Row],[Monto ]]</f>
        <v>-262889.95999999996</v>
      </c>
      <c r="U583" s="72"/>
    </row>
    <row r="584" spans="2:21" x14ac:dyDescent="0.3">
      <c r="B584" s="12" t="s">
        <v>519</v>
      </c>
      <c r="C584" s="12">
        <v>18</v>
      </c>
      <c r="D584" s="138">
        <v>46247</v>
      </c>
      <c r="E584" s="12" t="s">
        <v>579</v>
      </c>
      <c r="F584" s="11" t="str">
        <f>IF(Rendiciones[[#This Row],[Fecha ]]&lt;&gt;"",TEXT(Rendiciones[[#This Row],[Fecha ]],"MMMM"),"")</f>
        <v>agosto</v>
      </c>
      <c r="G584" s="11" t="s">
        <v>428</v>
      </c>
      <c r="H584" s="12" t="s">
        <v>6</v>
      </c>
      <c r="I584" s="12" t="s">
        <v>52</v>
      </c>
      <c r="K584" s="1" t="s">
        <v>81</v>
      </c>
      <c r="L584" s="20">
        <v>57983</v>
      </c>
      <c r="M584" s="20"/>
      <c r="N584" s="20">
        <f>Rendiciones[[#This Row],[Monto Neto ]]*19%</f>
        <v>11016.77</v>
      </c>
      <c r="O584" s="6">
        <f>+Rendiciones[[#This Row],[Monto Neto ]]+Rendiciones[[#This Row],[Monto Exento ]]+Rendiciones[[#This Row],[Iva]]</f>
        <v>68999.77</v>
      </c>
      <c r="Q584" s="138"/>
      <c r="R584" s="20"/>
      <c r="S584" s="20">
        <f>Rendiciones[[#This Row],[Total ]]-Rendiciones[[#This Row],[Monto ]]</f>
        <v>68999.77</v>
      </c>
      <c r="U584" s="72"/>
    </row>
    <row r="585" spans="2:21" x14ac:dyDescent="0.3">
      <c r="B585" s="12" t="s">
        <v>519</v>
      </c>
      <c r="C585" s="12">
        <v>18</v>
      </c>
      <c r="D585" s="138">
        <v>46247</v>
      </c>
      <c r="E585" s="12" t="s">
        <v>579</v>
      </c>
      <c r="F585" s="11" t="str">
        <f>IF(Rendiciones[[#This Row],[Fecha ]]&lt;&gt;"",TEXT(Rendiciones[[#This Row],[Fecha ]],"MMMM"),"")</f>
        <v>agosto</v>
      </c>
      <c r="G585" s="11" t="s">
        <v>428</v>
      </c>
      <c r="H585" s="12" t="s">
        <v>6</v>
      </c>
      <c r="I585" s="12" t="s">
        <v>28</v>
      </c>
      <c r="K585" s="1" t="s">
        <v>81</v>
      </c>
      <c r="L585" s="20">
        <v>35161</v>
      </c>
      <c r="M585" s="20">
        <f>14397-6239</f>
        <v>8158</v>
      </c>
      <c r="N585" s="20">
        <f>Rendiciones[[#This Row],[Monto Neto ]]*19%</f>
        <v>6680.59</v>
      </c>
      <c r="O585" s="6">
        <f>+Rendiciones[[#This Row],[Monto Neto ]]+Rendiciones[[#This Row],[Monto Exento ]]+Rendiciones[[#This Row],[Iva]]</f>
        <v>49999.59</v>
      </c>
      <c r="Q585" s="138"/>
      <c r="R585" s="20"/>
      <c r="S585" s="20">
        <f>Rendiciones[[#This Row],[Total ]]-Rendiciones[[#This Row],[Monto ]]</f>
        <v>49999.59</v>
      </c>
      <c r="U585" s="72"/>
    </row>
    <row r="586" spans="2:21" x14ac:dyDescent="0.3">
      <c r="B586" s="12" t="s">
        <v>519</v>
      </c>
      <c r="C586" s="12">
        <v>18</v>
      </c>
      <c r="D586" s="138">
        <v>46247</v>
      </c>
      <c r="E586" s="12" t="s">
        <v>579</v>
      </c>
      <c r="F586" s="11" t="str">
        <f>IF(Rendiciones[[#This Row],[Fecha ]]&lt;&gt;"",TEXT(Rendiciones[[#This Row],[Fecha ]],"MMMM"),"")</f>
        <v>agosto</v>
      </c>
      <c r="G586" s="11" t="s">
        <v>428</v>
      </c>
      <c r="H586" s="12" t="s">
        <v>6</v>
      </c>
      <c r="I586" s="12" t="s">
        <v>429</v>
      </c>
      <c r="L586" s="20"/>
      <c r="M586" s="20">
        <f>4490+8200</f>
        <v>12690</v>
      </c>
      <c r="N586" s="20">
        <f>Rendiciones[[#This Row],[Monto Neto ]]*19%</f>
        <v>0</v>
      </c>
      <c r="O586" s="6">
        <f>+Rendiciones[[#This Row],[Monto Neto ]]+Rendiciones[[#This Row],[Monto Exento ]]+Rendiciones[[#This Row],[Iva]]</f>
        <v>12690</v>
      </c>
      <c r="Q586" s="138"/>
      <c r="R586" s="20"/>
      <c r="S586" s="20">
        <f>Rendiciones[[#This Row],[Total ]]-Rendiciones[[#This Row],[Monto ]]</f>
        <v>12690</v>
      </c>
      <c r="U586" s="72"/>
    </row>
    <row r="587" spans="2:21" x14ac:dyDescent="0.3">
      <c r="B587" s="12" t="s">
        <v>519</v>
      </c>
      <c r="C587" s="12">
        <v>18</v>
      </c>
      <c r="D587" s="138">
        <v>46247</v>
      </c>
      <c r="E587" s="12" t="s">
        <v>579</v>
      </c>
      <c r="F587" s="11" t="str">
        <f>IF(Rendiciones[[#This Row],[Fecha ]]&lt;&gt;"",TEXT(Rendiciones[[#This Row],[Fecha ]],"MMMM"),"")</f>
        <v>agosto</v>
      </c>
      <c r="G587" s="11" t="s">
        <v>428</v>
      </c>
      <c r="H587" s="12" t="s">
        <v>6</v>
      </c>
      <c r="I587" s="12" t="s">
        <v>39</v>
      </c>
      <c r="L587" s="20"/>
      <c r="M587" s="20">
        <f>1700+8250+1500+2050+2000+2150.3</f>
        <v>17650.3</v>
      </c>
      <c r="N587" s="20">
        <f>Rendiciones[[#This Row],[Monto Neto ]]*19%</f>
        <v>0</v>
      </c>
      <c r="O587" s="6">
        <f>+Rendiciones[[#This Row],[Monto Neto ]]+Rendiciones[[#This Row],[Monto Exento ]]+Rendiciones[[#This Row],[Iva]]</f>
        <v>17650.3</v>
      </c>
      <c r="P587" t="s">
        <v>89</v>
      </c>
      <c r="Q587" s="138">
        <v>46248</v>
      </c>
      <c r="R587" s="20">
        <v>149340</v>
      </c>
      <c r="S587" s="20">
        <f>Rendiciones[[#This Row],[Total ]]-Rendiciones[[#This Row],[Monto ]]</f>
        <v>-131689.70000000001</v>
      </c>
      <c r="U587" s="72"/>
    </row>
    <row r="588" spans="2:21" x14ac:dyDescent="0.3">
      <c r="B588" s="12" t="s">
        <v>20</v>
      </c>
      <c r="C588" s="12">
        <v>20</v>
      </c>
      <c r="D588" s="138">
        <v>46255</v>
      </c>
      <c r="E588" s="12" t="s">
        <v>583</v>
      </c>
      <c r="F588" s="11" t="str">
        <f>IF(Rendiciones[[#This Row],[Fecha ]]&lt;&gt;"",TEXT(Rendiciones[[#This Row],[Fecha ]],"MMMM"),"")</f>
        <v>agosto</v>
      </c>
      <c r="G588" s="11" t="s">
        <v>428</v>
      </c>
      <c r="H588" s="12" t="s">
        <v>6</v>
      </c>
      <c r="I588" s="12" t="s">
        <v>60</v>
      </c>
      <c r="L588" s="20"/>
      <c r="M588" s="20">
        <v>45800</v>
      </c>
      <c r="N588" s="20">
        <f>Rendiciones[[#This Row],[Monto Neto ]]*19%</f>
        <v>0</v>
      </c>
      <c r="O588" s="6">
        <f>+Rendiciones[[#This Row],[Monto Neto ]]+Rendiciones[[#This Row],[Monto Exento ]]+Rendiciones[[#This Row],[Iva]]</f>
        <v>45800</v>
      </c>
      <c r="Q588" s="138"/>
      <c r="R588" s="20"/>
      <c r="S588" s="20">
        <f>Rendiciones[[#This Row],[Total ]]-Rendiciones[[#This Row],[Monto ]]</f>
        <v>45800</v>
      </c>
      <c r="U588" s="72"/>
    </row>
    <row r="589" spans="2:21" x14ac:dyDescent="0.3">
      <c r="B589" s="12" t="s">
        <v>20</v>
      </c>
      <c r="C589" s="12">
        <v>20</v>
      </c>
      <c r="D589" s="138">
        <v>46255</v>
      </c>
      <c r="E589" s="12" t="s">
        <v>583</v>
      </c>
      <c r="F589" s="11" t="str">
        <f>IF(Rendiciones[[#This Row],[Fecha ]]&lt;&gt;"",TEXT(Rendiciones[[#This Row],[Fecha ]],"MMMM"),"")</f>
        <v>agosto</v>
      </c>
      <c r="G589" s="11" t="s">
        <v>428</v>
      </c>
      <c r="H589" s="12" t="s">
        <v>6</v>
      </c>
      <c r="I589" s="12" t="s">
        <v>60</v>
      </c>
      <c r="L589" s="20"/>
      <c r="M589" s="20">
        <v>47180</v>
      </c>
      <c r="N589" s="20">
        <f>Rendiciones[[#This Row],[Monto Neto ]]*19%</f>
        <v>0</v>
      </c>
      <c r="O589" s="6">
        <f>+Rendiciones[[#This Row],[Monto Neto ]]+Rendiciones[[#This Row],[Monto Exento ]]+Rendiciones[[#This Row],[Iva]]</f>
        <v>47180</v>
      </c>
      <c r="Q589" s="138"/>
      <c r="R589" s="20"/>
      <c r="S589" s="20">
        <f>Rendiciones[[#This Row],[Total ]]-Rendiciones[[#This Row],[Monto ]]</f>
        <v>47180</v>
      </c>
      <c r="U589" s="72"/>
    </row>
    <row r="590" spans="2:21" x14ac:dyDescent="0.3">
      <c r="B590" s="12" t="s">
        <v>20</v>
      </c>
      <c r="C590" s="12">
        <v>20</v>
      </c>
      <c r="D590" s="138">
        <v>46255</v>
      </c>
      <c r="E590" s="12" t="s">
        <v>583</v>
      </c>
      <c r="F590" s="11" t="str">
        <f>IF(Rendiciones[[#This Row],[Fecha ]]&lt;&gt;"",TEXT(Rendiciones[[#This Row],[Fecha ]],"MMMM"),"")</f>
        <v>agosto</v>
      </c>
      <c r="G590" s="11" t="s">
        <v>428</v>
      </c>
      <c r="H590" s="12" t="s">
        <v>6</v>
      </c>
      <c r="I590" s="12" t="s">
        <v>31</v>
      </c>
      <c r="L590" s="20"/>
      <c r="M590" s="20">
        <v>16000</v>
      </c>
      <c r="N590" s="20">
        <f>Rendiciones[[#This Row],[Monto Neto ]]*19%</f>
        <v>0</v>
      </c>
      <c r="O590" s="6">
        <f>+Rendiciones[[#This Row],[Monto Neto ]]+Rendiciones[[#This Row],[Monto Exento ]]+Rendiciones[[#This Row],[Iva]]</f>
        <v>16000</v>
      </c>
      <c r="Q590" s="138"/>
      <c r="R590" s="20"/>
      <c r="S590" s="20">
        <f>Rendiciones[[#This Row],[Total ]]-Rendiciones[[#This Row],[Monto ]]</f>
        <v>16000</v>
      </c>
      <c r="U590" s="72"/>
    </row>
    <row r="591" spans="2:21" x14ac:dyDescent="0.3">
      <c r="B591" s="12" t="s">
        <v>20</v>
      </c>
      <c r="C591" s="12">
        <v>20</v>
      </c>
      <c r="D591" s="138">
        <v>46255</v>
      </c>
      <c r="E591" s="12" t="s">
        <v>583</v>
      </c>
      <c r="F591" s="11" t="str">
        <f>IF(Rendiciones[[#This Row],[Fecha ]]&lt;&gt;"",TEXT(Rendiciones[[#This Row],[Fecha ]],"MMMM"),"")</f>
        <v>agosto</v>
      </c>
      <c r="G591" s="11" t="s">
        <v>428</v>
      </c>
      <c r="H591" s="12" t="s">
        <v>6</v>
      </c>
      <c r="I591" s="12" t="s">
        <v>47</v>
      </c>
      <c r="L591" s="20"/>
      <c r="M591" s="20">
        <v>80000</v>
      </c>
      <c r="N591" s="20">
        <f>Rendiciones[[#This Row],[Monto Neto ]]*19%</f>
        <v>0</v>
      </c>
      <c r="O591" s="6">
        <f>+Rendiciones[[#This Row],[Monto Neto ]]+Rendiciones[[#This Row],[Monto Exento ]]+Rendiciones[[#This Row],[Iva]]</f>
        <v>80000</v>
      </c>
      <c r="Q591" s="138"/>
      <c r="R591" s="20"/>
      <c r="S591" s="20">
        <f>Rendiciones[[#This Row],[Total ]]-Rendiciones[[#This Row],[Monto ]]</f>
        <v>80000</v>
      </c>
      <c r="U591" s="72"/>
    </row>
    <row r="592" spans="2:21" x14ac:dyDescent="0.3">
      <c r="B592" s="12" t="s">
        <v>519</v>
      </c>
      <c r="C592" s="12">
        <v>19</v>
      </c>
      <c r="D592" s="138">
        <v>46248</v>
      </c>
      <c r="E592" s="12" t="s">
        <v>579</v>
      </c>
      <c r="F592" s="11" t="str">
        <f>IF(Rendiciones[[#This Row],[Fecha ]]&lt;&gt;"",TEXT(Rendiciones[[#This Row],[Fecha ]],"MMMM"),"")</f>
        <v>agosto</v>
      </c>
      <c r="G592" s="11" t="s">
        <v>428</v>
      </c>
      <c r="H592" s="12" t="s">
        <v>6</v>
      </c>
      <c r="I592" s="12" t="s">
        <v>28</v>
      </c>
      <c r="K592" s="1" t="s">
        <v>81</v>
      </c>
      <c r="L592" s="20">
        <v>45655</v>
      </c>
      <c r="M592" s="20">
        <v>15682.4</v>
      </c>
      <c r="N592" s="20">
        <f>Rendiciones[[#This Row],[Monto Neto ]]*19%</f>
        <v>8674.4500000000007</v>
      </c>
      <c r="O592" s="6">
        <f>+Rendiciones[[#This Row],[Monto Neto ]]+Rendiciones[[#This Row],[Monto Exento ]]+Rendiciones[[#This Row],[Iva]]</f>
        <v>70011.850000000006</v>
      </c>
      <c r="Q592" s="138"/>
      <c r="R592" s="20"/>
      <c r="S592" s="20">
        <f>Rendiciones[[#This Row],[Total ]]-Rendiciones[[#This Row],[Monto ]]</f>
        <v>70011.850000000006</v>
      </c>
      <c r="U592" s="72"/>
    </row>
    <row r="593" spans="2:21" x14ac:dyDescent="0.3">
      <c r="B593" s="12" t="s">
        <v>519</v>
      </c>
      <c r="C593" s="12">
        <v>19</v>
      </c>
      <c r="D593" s="138">
        <v>46254</v>
      </c>
      <c r="E593" s="12" t="s">
        <v>583</v>
      </c>
      <c r="F593" s="11" t="str">
        <f>IF(Rendiciones[[#This Row],[Fecha ]]&lt;&gt;"",TEXT(Rendiciones[[#This Row],[Fecha ]],"MMMM"),"")</f>
        <v>agosto</v>
      </c>
      <c r="G593" s="11" t="s">
        <v>428</v>
      </c>
      <c r="H593" s="12" t="s">
        <v>6</v>
      </c>
      <c r="I593" s="12" t="s">
        <v>28</v>
      </c>
      <c r="K593" s="1" t="s">
        <v>81</v>
      </c>
      <c r="L593" s="20">
        <v>40212</v>
      </c>
      <c r="M593" s="20">
        <f>18873-2409</f>
        <v>16464</v>
      </c>
      <c r="N593" s="20">
        <f>Rendiciones[[#This Row],[Monto Neto ]]*19%</f>
        <v>7640.28</v>
      </c>
      <c r="O593" s="6">
        <f>+Rendiciones[[#This Row],[Monto Neto ]]+Rendiciones[[#This Row],[Monto Exento ]]+Rendiciones[[#This Row],[Iva]]</f>
        <v>64316.28</v>
      </c>
      <c r="Q593" s="138"/>
      <c r="R593" s="20"/>
      <c r="S593" s="20">
        <f>Rendiciones[[#This Row],[Total ]]-Rendiciones[[#This Row],[Monto ]]</f>
        <v>64316.28</v>
      </c>
      <c r="U593" s="72"/>
    </row>
    <row r="594" spans="2:21" x14ac:dyDescent="0.3">
      <c r="B594" s="12" t="s">
        <v>519</v>
      </c>
      <c r="C594" s="12">
        <v>19</v>
      </c>
      <c r="D594" s="138">
        <v>46254</v>
      </c>
      <c r="E594" s="12" t="s">
        <v>583</v>
      </c>
      <c r="F594" s="11" t="str">
        <f>IF(Rendiciones[[#This Row],[Fecha ]]&lt;&gt;"",TEXT(Rendiciones[[#This Row],[Fecha ]],"MMMM"),"")</f>
        <v>agosto</v>
      </c>
      <c r="G594" s="11" t="s">
        <v>428</v>
      </c>
      <c r="H594" s="12" t="s">
        <v>6</v>
      </c>
      <c r="I594" s="12" t="s">
        <v>39</v>
      </c>
      <c r="L594" s="20"/>
      <c r="M594" s="20">
        <v>31338</v>
      </c>
      <c r="N594" s="20">
        <f>Rendiciones[[#This Row],[Monto Neto ]]*19%</f>
        <v>0</v>
      </c>
      <c r="O594" s="6">
        <f>+Rendiciones[[#This Row],[Monto Neto ]]+Rendiciones[[#This Row],[Monto Exento ]]+Rendiciones[[#This Row],[Iva]]</f>
        <v>31338</v>
      </c>
      <c r="Q594" s="138"/>
      <c r="R594" s="20"/>
      <c r="S594" s="20">
        <f>Rendiciones[[#This Row],[Total ]]-Rendiciones[[#This Row],[Monto ]]</f>
        <v>31338</v>
      </c>
      <c r="U594" s="72"/>
    </row>
    <row r="595" spans="2:21" x14ac:dyDescent="0.3">
      <c r="B595" s="12" t="s">
        <v>519</v>
      </c>
      <c r="C595" s="12">
        <v>19</v>
      </c>
      <c r="D595" s="138">
        <v>46254</v>
      </c>
      <c r="E595" s="12" t="s">
        <v>583</v>
      </c>
      <c r="F595" s="11" t="str">
        <f>IF(Rendiciones[[#This Row],[Fecha ]]&lt;&gt;"",TEXT(Rendiciones[[#This Row],[Fecha ]],"MMMM"),"")</f>
        <v>agosto</v>
      </c>
      <c r="G595" s="11" t="s">
        <v>428</v>
      </c>
      <c r="H595" s="12" t="s">
        <v>6</v>
      </c>
      <c r="I595" s="12" t="s">
        <v>429</v>
      </c>
      <c r="L595" s="20"/>
      <c r="M595" s="20">
        <f>30558+5990</f>
        <v>36548</v>
      </c>
      <c r="N595" s="20">
        <f>Rendiciones[[#This Row],[Monto Neto ]]*19%</f>
        <v>0</v>
      </c>
      <c r="O595" s="6">
        <f>+Rendiciones[[#This Row],[Monto Neto ]]+Rendiciones[[#This Row],[Monto Exento ]]+Rendiciones[[#This Row],[Iva]]</f>
        <v>36548</v>
      </c>
      <c r="Q595" s="138"/>
      <c r="R595" s="20"/>
      <c r="S595" s="20">
        <f>Rendiciones[[#This Row],[Total ]]-Rendiciones[[#This Row],[Monto ]]</f>
        <v>36548</v>
      </c>
      <c r="U595" s="72"/>
    </row>
    <row r="596" spans="2:21" x14ac:dyDescent="0.3">
      <c r="B596" s="12" t="s">
        <v>445</v>
      </c>
      <c r="C596" s="12">
        <v>27</v>
      </c>
      <c r="D596" s="138">
        <v>46241</v>
      </c>
      <c r="E596" s="12" t="s">
        <v>575</v>
      </c>
      <c r="F596" s="11" t="str">
        <f>IF(Rendiciones[[#This Row],[Fecha ]]&lt;&gt;"",TEXT(Rendiciones[[#This Row],[Fecha ]],"MMMM"),"")</f>
        <v>agosto</v>
      </c>
      <c r="G596" s="11" t="s">
        <v>428</v>
      </c>
      <c r="H596" s="12" t="s">
        <v>6</v>
      </c>
      <c r="I596" s="12" t="s">
        <v>28</v>
      </c>
      <c r="K596" s="1" t="s">
        <v>81</v>
      </c>
      <c r="L596" s="20">
        <v>39734</v>
      </c>
      <c r="M596" s="20">
        <v>-7283</v>
      </c>
      <c r="N596" s="20">
        <f>Rendiciones[[#This Row],[Monto Neto ]]*19%</f>
        <v>7549.46</v>
      </c>
      <c r="O596" s="6">
        <f>+Rendiciones[[#This Row],[Monto Neto ]]+Rendiciones[[#This Row],[Monto Exento ]]+Rendiciones[[#This Row],[Iva]]</f>
        <v>40000.46</v>
      </c>
      <c r="Q596" s="138"/>
      <c r="R596" s="20"/>
      <c r="S596" s="20">
        <f>Rendiciones[[#This Row],[Total ]]-Rendiciones[[#This Row],[Monto ]]</f>
        <v>40000.46</v>
      </c>
      <c r="U596" s="72"/>
    </row>
    <row r="597" spans="2:21" x14ac:dyDescent="0.3">
      <c r="B597" s="12" t="s">
        <v>445</v>
      </c>
      <c r="C597" s="12">
        <v>27</v>
      </c>
      <c r="D597" s="138">
        <v>46241</v>
      </c>
      <c r="E597" s="12" t="s">
        <v>575</v>
      </c>
      <c r="F597" s="11" t="str">
        <f>IF(Rendiciones[[#This Row],[Fecha ]]&lt;&gt;"",TEXT(Rendiciones[[#This Row],[Fecha ]],"MMMM"),"")</f>
        <v>agosto</v>
      </c>
      <c r="G597" s="11" t="s">
        <v>428</v>
      </c>
      <c r="H597" s="12" t="s">
        <v>5</v>
      </c>
      <c r="I597" s="12" t="s">
        <v>52</v>
      </c>
      <c r="L597" s="20"/>
      <c r="M597" s="20">
        <v>17682</v>
      </c>
      <c r="N597" s="20">
        <f>Rendiciones[[#This Row],[Monto Neto ]]*19%</f>
        <v>0</v>
      </c>
      <c r="O597" s="6">
        <f>+Rendiciones[[#This Row],[Monto Neto ]]+Rendiciones[[#This Row],[Monto Exento ]]+Rendiciones[[#This Row],[Iva]]</f>
        <v>17682</v>
      </c>
      <c r="Q597" s="138"/>
      <c r="R597" s="20"/>
      <c r="S597" s="20">
        <f>Rendiciones[[#This Row],[Total ]]-Rendiciones[[#This Row],[Monto ]]</f>
        <v>17682</v>
      </c>
      <c r="U597" s="72"/>
    </row>
    <row r="598" spans="2:21" x14ac:dyDescent="0.3">
      <c r="B598" s="12" t="s">
        <v>445</v>
      </c>
      <c r="C598" s="12">
        <v>27</v>
      </c>
      <c r="D598" s="138">
        <v>46241</v>
      </c>
      <c r="E598" s="12" t="s">
        <v>575</v>
      </c>
      <c r="F598" s="11" t="str">
        <f>IF(Rendiciones[[#This Row],[Fecha ]]&lt;&gt;"",TEXT(Rendiciones[[#This Row],[Fecha ]],"MMMM"),"")</f>
        <v>agosto</v>
      </c>
      <c r="G598" s="11" t="s">
        <v>428</v>
      </c>
      <c r="H598" s="12" t="s">
        <v>6</v>
      </c>
      <c r="I598" s="12" t="s">
        <v>429</v>
      </c>
      <c r="L598" s="20"/>
      <c r="M598" s="20">
        <v>7200</v>
      </c>
      <c r="N598" s="20">
        <f>Rendiciones[[#This Row],[Monto Neto ]]*19%</f>
        <v>0</v>
      </c>
      <c r="O598" s="6">
        <f>+Rendiciones[[#This Row],[Monto Neto ]]+Rendiciones[[#This Row],[Monto Exento ]]+Rendiciones[[#This Row],[Iva]]</f>
        <v>7200</v>
      </c>
      <c r="P598" t="s">
        <v>477</v>
      </c>
      <c r="Q598" s="138">
        <v>46247</v>
      </c>
      <c r="R598" s="20">
        <v>123876.46</v>
      </c>
      <c r="S598" s="20">
        <f>Rendiciones[[#This Row],[Total ]]-Rendiciones[[#This Row],[Monto ]]</f>
        <v>-116676.46</v>
      </c>
      <c r="U598" s="72"/>
    </row>
    <row r="599" spans="2:21" x14ac:dyDescent="0.3">
      <c r="B599" s="12" t="s">
        <v>445</v>
      </c>
      <c r="C599" s="12">
        <v>28</v>
      </c>
      <c r="D599" s="138">
        <v>46253</v>
      </c>
      <c r="E599" s="12" t="s">
        <v>583</v>
      </c>
      <c r="F599" s="11" t="str">
        <f>IF(Rendiciones[[#This Row],[Fecha ]]&lt;&gt;"",TEXT(Rendiciones[[#This Row],[Fecha ]],"MMMM"),"")</f>
        <v>agosto</v>
      </c>
      <c r="G599" s="11" t="s">
        <v>428</v>
      </c>
      <c r="H599" s="12" t="s">
        <v>6</v>
      </c>
      <c r="I599" s="12" t="s">
        <v>28</v>
      </c>
      <c r="K599" s="1" t="s">
        <v>81</v>
      </c>
      <c r="L599" s="20">
        <v>37704</v>
      </c>
      <c r="M599" s="20">
        <v>-4868</v>
      </c>
      <c r="N599" s="20">
        <f>Rendiciones[[#This Row],[Monto Neto ]]*19%</f>
        <v>7163.76</v>
      </c>
      <c r="O599" s="6">
        <f>+Rendiciones[[#This Row],[Monto Neto ]]+Rendiciones[[#This Row],[Monto Exento ]]+Rendiciones[[#This Row],[Iva]]</f>
        <v>39999.760000000002</v>
      </c>
      <c r="Q599" s="138"/>
      <c r="R599" s="20"/>
      <c r="S599" s="20">
        <f>Rendiciones[[#This Row],[Total ]]-Rendiciones[[#This Row],[Monto ]]</f>
        <v>39999.760000000002</v>
      </c>
      <c r="U599" s="72"/>
    </row>
    <row r="600" spans="2:21" x14ac:dyDescent="0.3">
      <c r="B600" s="12" t="s">
        <v>445</v>
      </c>
      <c r="C600" s="12">
        <v>28</v>
      </c>
      <c r="D600" s="138">
        <v>46253</v>
      </c>
      <c r="E600" s="12" t="s">
        <v>583</v>
      </c>
      <c r="F600" s="11" t="str">
        <f>IF(Rendiciones[[#This Row],[Fecha ]]&lt;&gt;"",TEXT(Rendiciones[[#This Row],[Fecha ]],"MMMM"),"")</f>
        <v>agosto</v>
      </c>
      <c r="G600" s="11" t="s">
        <v>428</v>
      </c>
      <c r="H600" s="12" t="s">
        <v>6</v>
      </c>
      <c r="I600" s="12" t="s">
        <v>28</v>
      </c>
      <c r="K600" s="1" t="s">
        <v>81</v>
      </c>
      <c r="L600" s="20">
        <v>28283</v>
      </c>
      <c r="M600" s="20">
        <v>-3657</v>
      </c>
      <c r="N600" s="20">
        <f>Rendiciones[[#This Row],[Monto Neto ]]*19%</f>
        <v>5373.77</v>
      </c>
      <c r="O600" s="6">
        <f>+Rendiciones[[#This Row],[Monto Neto ]]+Rendiciones[[#This Row],[Monto Exento ]]+Rendiciones[[#This Row],[Iva]]</f>
        <v>29999.77</v>
      </c>
      <c r="Q600" s="138"/>
      <c r="R600" s="20"/>
      <c r="S600" s="20">
        <f>Rendiciones[[#This Row],[Total ]]-Rendiciones[[#This Row],[Monto ]]</f>
        <v>29999.77</v>
      </c>
      <c r="U600" s="72"/>
    </row>
    <row r="601" spans="2:21" x14ac:dyDescent="0.3">
      <c r="B601" s="12" t="s">
        <v>445</v>
      </c>
      <c r="C601" s="12">
        <v>28</v>
      </c>
      <c r="D601" s="138">
        <v>46253</v>
      </c>
      <c r="E601" s="12" t="s">
        <v>583</v>
      </c>
      <c r="F601" s="11" t="str">
        <f>IF(Rendiciones[[#This Row],[Fecha ]]&lt;&gt;"",TEXT(Rendiciones[[#This Row],[Fecha ]],"MMMM"),"")</f>
        <v>agosto</v>
      </c>
      <c r="G601" s="11" t="s">
        <v>428</v>
      </c>
      <c r="H601" s="12" t="s">
        <v>6</v>
      </c>
      <c r="I601" s="12" t="s">
        <v>57</v>
      </c>
      <c r="K601" s="1" t="s">
        <v>81</v>
      </c>
      <c r="L601" s="20">
        <v>15126</v>
      </c>
      <c r="M601" s="20"/>
      <c r="N601" s="20">
        <f>Rendiciones[[#This Row],[Monto Neto ]]*19%</f>
        <v>2873.94</v>
      </c>
      <c r="O601" s="6">
        <f>+Rendiciones[[#This Row],[Monto Neto ]]+Rendiciones[[#This Row],[Monto Exento ]]+Rendiciones[[#This Row],[Iva]]</f>
        <v>17999.939999999999</v>
      </c>
      <c r="Q601" s="138"/>
      <c r="R601" s="20"/>
      <c r="S601" s="20">
        <f>Rendiciones[[#This Row],[Total ]]-Rendiciones[[#This Row],[Monto ]]</f>
        <v>17999.939999999999</v>
      </c>
      <c r="U601" s="72"/>
    </row>
    <row r="602" spans="2:21" x14ac:dyDescent="0.3">
      <c r="B602" s="12" t="s">
        <v>445</v>
      </c>
      <c r="C602" s="12">
        <v>28</v>
      </c>
      <c r="D602" s="138">
        <v>46253</v>
      </c>
      <c r="E602" s="12" t="s">
        <v>583</v>
      </c>
      <c r="F602" s="11" t="str">
        <f>IF(Rendiciones[[#This Row],[Fecha ]]&lt;&gt;"",TEXT(Rendiciones[[#This Row],[Fecha ]],"MMMM"),"")</f>
        <v>agosto</v>
      </c>
      <c r="G602" s="11" t="s">
        <v>428</v>
      </c>
      <c r="H602" s="12" t="s">
        <v>6</v>
      </c>
      <c r="I602" s="12" t="s">
        <v>39</v>
      </c>
      <c r="L602" s="20"/>
      <c r="M602" s="20">
        <f>2450+2000+800+985+2830</f>
        <v>9065</v>
      </c>
      <c r="N602" s="20">
        <f>Rendiciones[[#This Row],[Monto Neto ]]*19%</f>
        <v>0</v>
      </c>
      <c r="O602" s="6">
        <f>+Rendiciones[[#This Row],[Monto Neto ]]+Rendiciones[[#This Row],[Monto Exento ]]+Rendiciones[[#This Row],[Iva]]</f>
        <v>9065</v>
      </c>
      <c r="Q602" s="138"/>
      <c r="R602" s="20"/>
      <c r="S602" s="20">
        <f>Rendiciones[[#This Row],[Total ]]-Rendiciones[[#This Row],[Monto ]]</f>
        <v>9065</v>
      </c>
      <c r="U602" s="72"/>
    </row>
    <row r="603" spans="2:21" x14ac:dyDescent="0.3">
      <c r="B603" s="12" t="s">
        <v>445</v>
      </c>
      <c r="C603" s="12">
        <v>28</v>
      </c>
      <c r="D603" s="138">
        <v>46253</v>
      </c>
      <c r="E603" s="12" t="s">
        <v>583</v>
      </c>
      <c r="F603" s="11" t="str">
        <f>IF(Rendiciones[[#This Row],[Fecha ]]&lt;&gt;"",TEXT(Rendiciones[[#This Row],[Fecha ]],"MMMM"),"")</f>
        <v>agosto</v>
      </c>
      <c r="G603" s="11" t="s">
        <v>428</v>
      </c>
      <c r="H603" s="12" t="s">
        <v>5</v>
      </c>
      <c r="I603" s="12" t="s">
        <v>52</v>
      </c>
      <c r="L603" s="20"/>
      <c r="M603" s="20">
        <f>16657+5980</f>
        <v>22637</v>
      </c>
      <c r="N603" s="20">
        <f>Rendiciones[[#This Row],[Monto Neto ]]*19%</f>
        <v>0</v>
      </c>
      <c r="O603" s="6">
        <f>+Rendiciones[[#This Row],[Monto Neto ]]+Rendiciones[[#This Row],[Monto Exento ]]+Rendiciones[[#This Row],[Iva]]</f>
        <v>22637</v>
      </c>
      <c r="Q603" s="138"/>
      <c r="R603" s="20"/>
      <c r="S603" s="20">
        <f>Rendiciones[[#This Row],[Total ]]-Rendiciones[[#This Row],[Monto ]]</f>
        <v>22637</v>
      </c>
      <c r="U603" s="72"/>
    </row>
    <row r="604" spans="2:21" x14ac:dyDescent="0.3">
      <c r="B604" s="12" t="s">
        <v>445</v>
      </c>
      <c r="C604" s="12">
        <v>28</v>
      </c>
      <c r="D604" s="138">
        <v>46253</v>
      </c>
      <c r="E604" s="12" t="s">
        <v>583</v>
      </c>
      <c r="F604" s="11" t="str">
        <f>IF(Rendiciones[[#This Row],[Fecha ]]&lt;&gt;"",TEXT(Rendiciones[[#This Row],[Fecha ]],"MMMM"),"")</f>
        <v>agosto</v>
      </c>
      <c r="G604" s="11" t="s">
        <v>428</v>
      </c>
      <c r="H604" s="12" t="s">
        <v>6</v>
      </c>
      <c r="I604" s="12" t="s">
        <v>429</v>
      </c>
      <c r="L604" s="20"/>
      <c r="M604" s="20">
        <v>6480.03</v>
      </c>
      <c r="N604" s="20">
        <f>Rendiciones[[#This Row],[Monto Neto ]]*19%</f>
        <v>0</v>
      </c>
      <c r="O604" s="6">
        <f>+Rendiciones[[#This Row],[Monto Neto ]]+Rendiciones[[#This Row],[Monto Exento ]]+Rendiciones[[#This Row],[Iva]]</f>
        <v>6480.03</v>
      </c>
      <c r="P604" t="s">
        <v>89</v>
      </c>
      <c r="Q604" s="138">
        <v>46258</v>
      </c>
      <c r="R604" s="20">
        <v>126181.5</v>
      </c>
      <c r="S604" s="20">
        <f>Rendiciones[[#This Row],[Total ]]-Rendiciones[[#This Row],[Monto ]]</f>
        <v>-119701.47</v>
      </c>
      <c r="U604" s="72"/>
    </row>
    <row r="605" spans="2:21" x14ac:dyDescent="0.3">
      <c r="B605" s="12" t="s">
        <v>17</v>
      </c>
      <c r="C605" s="12">
        <v>33</v>
      </c>
      <c r="D605" s="138">
        <v>46248</v>
      </c>
      <c r="E605" s="12" t="s">
        <v>579</v>
      </c>
      <c r="F605" s="11" t="str">
        <f>IF(Rendiciones[[#This Row],[Fecha ]]&lt;&gt;"",TEXT(Rendiciones[[#This Row],[Fecha ]],"MMMM"),"")</f>
        <v>agosto</v>
      </c>
      <c r="G605" s="11" t="s">
        <v>428</v>
      </c>
      <c r="H605" s="12" t="s">
        <v>6</v>
      </c>
      <c r="I605" s="12" t="s">
        <v>28</v>
      </c>
      <c r="K605" s="1" t="s">
        <v>81</v>
      </c>
      <c r="L605" s="20">
        <v>28260</v>
      </c>
      <c r="M605" s="20">
        <v>-3629</v>
      </c>
      <c r="N605" s="20">
        <f>Rendiciones[[#This Row],[Monto Neto ]]*19%</f>
        <v>5369.4</v>
      </c>
      <c r="O605" s="6">
        <f>+Rendiciones[[#This Row],[Monto Neto ]]+Rendiciones[[#This Row],[Monto Exento ]]+Rendiciones[[#This Row],[Iva]]</f>
        <v>30000.400000000001</v>
      </c>
      <c r="Q605" s="138"/>
      <c r="R605" s="20"/>
      <c r="S605" s="20">
        <f>Rendiciones[[#This Row],[Total ]]-Rendiciones[[#This Row],[Monto ]]</f>
        <v>30000.400000000001</v>
      </c>
      <c r="U605" s="72"/>
    </row>
    <row r="606" spans="2:21" x14ac:dyDescent="0.3">
      <c r="B606" s="12" t="s">
        <v>20</v>
      </c>
      <c r="C606" s="12">
        <v>21</v>
      </c>
      <c r="D606" s="138">
        <v>46252</v>
      </c>
      <c r="E606" s="12" t="s">
        <v>583</v>
      </c>
      <c r="F606" s="11" t="str">
        <f>IF(Rendiciones[[#This Row],[Fecha ]]&lt;&gt;"",TEXT(Rendiciones[[#This Row],[Fecha ]],"MMMM"),"")</f>
        <v>agosto</v>
      </c>
      <c r="G606" s="11" t="s">
        <v>428</v>
      </c>
      <c r="H606" s="12" t="s">
        <v>6</v>
      </c>
      <c r="I606" s="12" t="s">
        <v>59</v>
      </c>
      <c r="L606" s="20"/>
      <c r="M606" s="20">
        <v>11678</v>
      </c>
      <c r="N606" s="20">
        <f>Rendiciones[[#This Row],[Monto Neto ]]*19%</f>
        <v>0</v>
      </c>
      <c r="O606" s="6">
        <f>+Rendiciones[[#This Row],[Monto Neto ]]+Rendiciones[[#This Row],[Monto Exento ]]+Rendiciones[[#This Row],[Iva]]</f>
        <v>11678</v>
      </c>
      <c r="Q606" s="138"/>
      <c r="R606" s="20"/>
      <c r="S606" s="20">
        <f>Rendiciones[[#This Row],[Total ]]-Rendiciones[[#This Row],[Monto ]]</f>
        <v>11678</v>
      </c>
      <c r="U606" s="72"/>
    </row>
    <row r="607" spans="2:21" x14ac:dyDescent="0.3">
      <c r="B607" s="12" t="s">
        <v>20</v>
      </c>
      <c r="C607" s="12">
        <v>21</v>
      </c>
      <c r="D607" s="138">
        <v>46252</v>
      </c>
      <c r="E607" s="12" t="s">
        <v>583</v>
      </c>
      <c r="F607" s="11" t="str">
        <f>IF(Rendiciones[[#This Row],[Fecha ]]&lt;&gt;"",TEXT(Rendiciones[[#This Row],[Fecha ]],"MMMM"),"")</f>
        <v>agosto</v>
      </c>
      <c r="G607" s="11" t="s">
        <v>428</v>
      </c>
      <c r="H607" s="12" t="s">
        <v>6</v>
      </c>
      <c r="I607" s="12" t="s">
        <v>97</v>
      </c>
      <c r="L607" s="20"/>
      <c r="M607" s="20">
        <v>12838</v>
      </c>
      <c r="N607" s="20">
        <f>Rendiciones[[#This Row],[Monto Neto ]]*19%</f>
        <v>0</v>
      </c>
      <c r="O607" s="6">
        <f>+Rendiciones[[#This Row],[Monto Neto ]]+Rendiciones[[#This Row],[Monto Exento ]]+Rendiciones[[#This Row],[Iva]]</f>
        <v>12838</v>
      </c>
      <c r="P607" t="s">
        <v>89</v>
      </c>
      <c r="Q607" s="138">
        <v>46253</v>
      </c>
      <c r="R607" s="20">
        <v>24516</v>
      </c>
      <c r="S607" s="20">
        <f>Rendiciones[[#This Row],[Total ]]-Rendiciones[[#This Row],[Monto ]]</f>
        <v>-11678</v>
      </c>
      <c r="U607" s="72"/>
    </row>
    <row r="608" spans="2:21" x14ac:dyDescent="0.3">
      <c r="B608" s="12" t="s">
        <v>499</v>
      </c>
      <c r="C608" s="12">
        <v>4</v>
      </c>
      <c r="D608" s="138">
        <v>46254</v>
      </c>
      <c r="E608" s="12" t="s">
        <v>583</v>
      </c>
      <c r="F608" s="11" t="str">
        <f>IF(Rendiciones[[#This Row],[Fecha ]]&lt;&gt;"",TEXT(Rendiciones[[#This Row],[Fecha ]],"MMMM"),"")</f>
        <v>agosto</v>
      </c>
      <c r="G608" s="11" t="s">
        <v>428</v>
      </c>
      <c r="H608" s="12" t="s">
        <v>102</v>
      </c>
      <c r="I608" s="12" t="s">
        <v>59</v>
      </c>
      <c r="K608" s="1" t="s">
        <v>81</v>
      </c>
      <c r="L608" s="20">
        <v>120689</v>
      </c>
      <c r="M608" s="20"/>
      <c r="N608" s="20">
        <f>Rendiciones[[#This Row],[Monto Neto ]]*19%</f>
        <v>22930.91</v>
      </c>
      <c r="O608" s="6">
        <f>+Rendiciones[[#This Row],[Monto Neto ]]+Rendiciones[[#This Row],[Monto Exento ]]+Rendiciones[[#This Row],[Iva]]</f>
        <v>143619.91</v>
      </c>
      <c r="P608" t="s">
        <v>89</v>
      </c>
      <c r="Q608" s="138">
        <v>46255</v>
      </c>
      <c r="R608" s="20">
        <v>529691.91</v>
      </c>
      <c r="S608" s="20">
        <f>Rendiciones[[#This Row],[Total ]]-Rendiciones[[#This Row],[Monto ]]</f>
        <v>-386072</v>
      </c>
      <c r="U608" s="72"/>
    </row>
    <row r="609" spans="2:21" x14ac:dyDescent="0.3">
      <c r="B609" s="12" t="s">
        <v>17</v>
      </c>
      <c r="C609" s="12">
        <v>33</v>
      </c>
      <c r="D609" s="138">
        <v>46248</v>
      </c>
      <c r="E609" s="12" t="s">
        <v>579</v>
      </c>
      <c r="F609" s="11" t="s">
        <v>577</v>
      </c>
      <c r="G609" s="11" t="s">
        <v>428</v>
      </c>
      <c r="H609" s="12" t="s">
        <v>6</v>
      </c>
      <c r="I609" s="12" t="s">
        <v>39</v>
      </c>
      <c r="L609" s="20"/>
      <c r="M609" s="20">
        <f>3200+1900</f>
        <v>5100</v>
      </c>
      <c r="N609" s="20">
        <f>Rendiciones[[#This Row],[Monto Neto ]]*19%</f>
        <v>0</v>
      </c>
      <c r="O609" s="6">
        <f>+Rendiciones[[#This Row],[Monto Neto ]]+Rendiciones[[#This Row],[Monto Exento ]]+Rendiciones[[#This Row],[Iva]]</f>
        <v>5100</v>
      </c>
      <c r="P609" t="s">
        <v>477</v>
      </c>
      <c r="Q609" s="138">
        <v>46254</v>
      </c>
      <c r="R609" s="20">
        <v>35100.400000000001</v>
      </c>
      <c r="S609" s="20">
        <f>Rendiciones[[#This Row],[Total ]]-Rendiciones[[#This Row],[Monto ]]</f>
        <v>-30000.400000000001</v>
      </c>
      <c r="U609" s="72"/>
    </row>
    <row r="610" spans="2:21" x14ac:dyDescent="0.3">
      <c r="B610" s="12" t="s">
        <v>17</v>
      </c>
      <c r="C610" s="12">
        <v>34</v>
      </c>
      <c r="D610" s="138">
        <v>46253</v>
      </c>
      <c r="E610" s="12" t="s">
        <v>583</v>
      </c>
      <c r="F610" s="11" t="s">
        <v>577</v>
      </c>
      <c r="G610" s="11" t="s">
        <v>428</v>
      </c>
      <c r="H610" s="12" t="s">
        <v>6</v>
      </c>
      <c r="I610" s="12" t="s">
        <v>98</v>
      </c>
      <c r="K610" s="1" t="s">
        <v>81</v>
      </c>
      <c r="L610" s="20"/>
      <c r="M610" s="20">
        <v>70389</v>
      </c>
      <c r="N610" s="20">
        <f>Rendiciones[[#This Row],[Monto Neto ]]*19%</f>
        <v>0</v>
      </c>
      <c r="O610" s="6">
        <f>+Rendiciones[[#This Row],[Monto Neto ]]+Rendiciones[[#This Row],[Monto Exento ]]+Rendiciones[[#This Row],[Iva]]</f>
        <v>70389</v>
      </c>
      <c r="P610" t="s">
        <v>477</v>
      </c>
      <c r="Q610" s="138">
        <v>46254</v>
      </c>
      <c r="R610" s="20">
        <v>70389</v>
      </c>
      <c r="S610" s="20">
        <f>Rendiciones[[#This Row],[Total ]]-Rendiciones[[#This Row],[Monto ]]</f>
        <v>0</v>
      </c>
      <c r="U610" s="72"/>
    </row>
    <row r="611" spans="2:21" x14ac:dyDescent="0.3">
      <c r="B611" s="12" t="s">
        <v>17</v>
      </c>
      <c r="C611" s="12">
        <v>35</v>
      </c>
      <c r="D611" s="138">
        <v>46255</v>
      </c>
      <c r="E611" s="12" t="s">
        <v>583</v>
      </c>
      <c r="F611" s="11" t="s">
        <v>577</v>
      </c>
      <c r="G611" s="11" t="s">
        <v>428</v>
      </c>
      <c r="H611" s="12" t="s">
        <v>6</v>
      </c>
      <c r="I611" s="12" t="s">
        <v>98</v>
      </c>
      <c r="K611" s="1" t="s">
        <v>81</v>
      </c>
      <c r="L611" s="20"/>
      <c r="M611" s="20">
        <v>70389</v>
      </c>
      <c r="N611" s="20">
        <f>Rendiciones[[#This Row],[Monto Neto ]]*19%</f>
        <v>0</v>
      </c>
      <c r="O611" s="6">
        <f>+Rendiciones[[#This Row],[Monto Neto ]]+Rendiciones[[#This Row],[Monto Exento ]]+Rendiciones[[#This Row],[Iva]]</f>
        <v>70389</v>
      </c>
      <c r="P611" t="s">
        <v>477</v>
      </c>
      <c r="Q611" s="138"/>
      <c r="R611" s="20">
        <v>70389</v>
      </c>
      <c r="S611" s="20">
        <f>Rendiciones[[#This Row],[Total ]]-Rendiciones[[#This Row],[Monto ]]</f>
        <v>0</v>
      </c>
      <c r="U611" s="72"/>
    </row>
    <row r="612" spans="2:21" x14ac:dyDescent="0.3">
      <c r="B612" s="12" t="s">
        <v>445</v>
      </c>
      <c r="C612" s="12">
        <v>29</v>
      </c>
      <c r="D612" s="138">
        <v>46262</v>
      </c>
      <c r="E612" s="12" t="s">
        <v>584</v>
      </c>
      <c r="F612" s="11" t="str">
        <f>IF(Rendiciones[[#This Row],[Fecha ]]&lt;&gt;"",TEXT(Rendiciones[[#This Row],[Fecha ]],"MMMM"),"")</f>
        <v>agosto</v>
      </c>
      <c r="G612" s="11" t="s">
        <v>428</v>
      </c>
      <c r="H612" s="12" t="s">
        <v>6</v>
      </c>
      <c r="I612" s="12" t="s">
        <v>28</v>
      </c>
      <c r="K612" s="1" t="s">
        <v>81</v>
      </c>
      <c r="L612" s="20">
        <v>37325</v>
      </c>
      <c r="M612" s="20">
        <v>-4417</v>
      </c>
      <c r="N612" s="20">
        <f>Rendiciones[[#This Row],[Monto Neto ]]*19%</f>
        <v>7091.75</v>
      </c>
      <c r="O612" s="6">
        <f>+Rendiciones[[#This Row],[Monto Neto ]]+Rendiciones[[#This Row],[Monto Exento ]]+Rendiciones[[#This Row],[Iva]]</f>
        <v>39999.75</v>
      </c>
      <c r="Q612" s="138"/>
      <c r="R612" s="20"/>
      <c r="S612" s="20">
        <f>Rendiciones[[#This Row],[Total ]]-Rendiciones[[#This Row],[Monto ]]</f>
        <v>39999.75</v>
      </c>
      <c r="U612" s="72"/>
    </row>
    <row r="613" spans="2:21" x14ac:dyDescent="0.3">
      <c r="B613" s="12" t="s">
        <v>445</v>
      </c>
      <c r="C613" s="12">
        <v>29</v>
      </c>
      <c r="D613" s="138">
        <v>46262</v>
      </c>
      <c r="E613" s="12" t="s">
        <v>584</v>
      </c>
      <c r="F613" s="11" t="str">
        <f>IF(Rendiciones[[#This Row],[Fecha ]]&lt;&gt;"",TEXT(Rendiciones[[#This Row],[Fecha ]],"MMMM"),"")</f>
        <v>agosto</v>
      </c>
      <c r="G613" s="11" t="s">
        <v>428</v>
      </c>
      <c r="H613" s="12" t="s">
        <v>6</v>
      </c>
      <c r="I613" s="12" t="s">
        <v>504</v>
      </c>
      <c r="K613" s="1" t="s">
        <v>81</v>
      </c>
      <c r="L613" s="20">
        <v>50403</v>
      </c>
      <c r="M613" s="20"/>
      <c r="N613" s="20">
        <f>Rendiciones[[#This Row],[Monto Neto ]]*19%</f>
        <v>9576.57</v>
      </c>
      <c r="O613" s="6">
        <f>+Rendiciones[[#This Row],[Monto Neto ]]+Rendiciones[[#This Row],[Monto Exento ]]+Rendiciones[[#This Row],[Iva]]</f>
        <v>59979.57</v>
      </c>
      <c r="Q613" s="138"/>
      <c r="R613" s="20"/>
      <c r="S613" s="20">
        <f>Rendiciones[[#This Row],[Total ]]-Rendiciones[[#This Row],[Monto ]]</f>
        <v>59979.57</v>
      </c>
      <c r="U613" s="72"/>
    </row>
    <row r="614" spans="2:21" x14ac:dyDescent="0.3">
      <c r="B614" s="12" t="s">
        <v>445</v>
      </c>
      <c r="C614" s="12">
        <v>29</v>
      </c>
      <c r="D614" s="138">
        <v>46262</v>
      </c>
      <c r="E614" s="12" t="s">
        <v>584</v>
      </c>
      <c r="F614" s="11" t="str">
        <f>IF(Rendiciones[[#This Row],[Fecha ]]&lt;&gt;"",TEXT(Rendiciones[[#This Row],[Fecha ]],"MMMM"),"")</f>
        <v>agosto</v>
      </c>
      <c r="G614" s="11" t="s">
        <v>428</v>
      </c>
      <c r="H614" s="12" t="s">
        <v>6</v>
      </c>
      <c r="I614" s="12" t="s">
        <v>28</v>
      </c>
      <c r="K614" s="1" t="s">
        <v>81</v>
      </c>
      <c r="L614" s="20">
        <v>56998</v>
      </c>
      <c r="M614" s="20">
        <v>-2817</v>
      </c>
      <c r="N614" s="20">
        <f>Rendiciones[[#This Row],[Monto Neto ]]*19%</f>
        <v>10829.62</v>
      </c>
      <c r="O614" s="6">
        <f>+Rendiciones[[#This Row],[Monto Neto ]]+Rendiciones[[#This Row],[Monto Exento ]]+Rendiciones[[#This Row],[Iva]]</f>
        <v>65010.62</v>
      </c>
      <c r="Q614" s="138"/>
      <c r="R614" s="20"/>
      <c r="S614" s="20">
        <f>Rendiciones[[#This Row],[Total ]]-Rendiciones[[#This Row],[Monto ]]</f>
        <v>65010.62</v>
      </c>
      <c r="U614" s="72"/>
    </row>
    <row r="615" spans="2:21" x14ac:dyDescent="0.3">
      <c r="B615" s="12" t="s">
        <v>445</v>
      </c>
      <c r="C615" s="12">
        <v>29</v>
      </c>
      <c r="D615" s="138">
        <v>46262</v>
      </c>
      <c r="E615" s="12" t="s">
        <v>584</v>
      </c>
      <c r="F615" s="11" t="str">
        <f>IF(Rendiciones[[#This Row],[Fecha ]]&lt;&gt;"",TEXT(Rendiciones[[#This Row],[Fecha ]],"MMMM"),"")</f>
        <v>agosto</v>
      </c>
      <c r="G615" s="11" t="s">
        <v>428</v>
      </c>
      <c r="H615" s="12" t="s">
        <v>5</v>
      </c>
      <c r="I615" s="12" t="s">
        <v>52</v>
      </c>
      <c r="L615" s="20"/>
      <c r="M615" s="20">
        <v>17082</v>
      </c>
      <c r="N615" s="20">
        <f>Rendiciones[[#This Row],[Monto Neto ]]*19%</f>
        <v>0</v>
      </c>
      <c r="O615" s="6">
        <f>+Rendiciones[[#This Row],[Monto Neto ]]+Rendiciones[[#This Row],[Monto Exento ]]+Rendiciones[[#This Row],[Iva]]</f>
        <v>17082</v>
      </c>
      <c r="Q615" s="138"/>
      <c r="R615" s="20"/>
      <c r="S615" s="20">
        <f>Rendiciones[[#This Row],[Total ]]-Rendiciones[[#This Row],[Monto ]]</f>
        <v>17082</v>
      </c>
      <c r="U615" s="72"/>
    </row>
    <row r="616" spans="2:21" x14ac:dyDescent="0.3">
      <c r="B616" s="12" t="s">
        <v>445</v>
      </c>
      <c r="C616" s="12">
        <v>29</v>
      </c>
      <c r="D616" s="138">
        <v>46262</v>
      </c>
      <c r="E616" s="12" t="s">
        <v>584</v>
      </c>
      <c r="F616" s="11" t="str">
        <f>IF(Rendiciones[[#This Row],[Fecha ]]&lt;&gt;"",TEXT(Rendiciones[[#This Row],[Fecha ]],"MMMM"),"")</f>
        <v>agosto</v>
      </c>
      <c r="G616" s="11" t="s">
        <v>428</v>
      </c>
      <c r="H616" s="12" t="s">
        <v>5</v>
      </c>
      <c r="I616" s="12" t="s">
        <v>52</v>
      </c>
      <c r="L616" s="20"/>
      <c r="M616" s="20">
        <v>10600</v>
      </c>
      <c r="N616" s="20">
        <f>Rendiciones[[#This Row],[Monto Neto ]]*19%</f>
        <v>0</v>
      </c>
      <c r="O616" s="6">
        <f>+Rendiciones[[#This Row],[Monto Neto ]]+Rendiciones[[#This Row],[Monto Exento ]]+Rendiciones[[#This Row],[Iva]]</f>
        <v>10600</v>
      </c>
      <c r="Q616" s="138"/>
      <c r="R616" s="20"/>
      <c r="S616" s="20">
        <f>Rendiciones[[#This Row],[Total ]]-Rendiciones[[#This Row],[Monto ]]</f>
        <v>10600</v>
      </c>
      <c r="U616" s="72"/>
    </row>
    <row r="617" spans="2:21" x14ac:dyDescent="0.3">
      <c r="B617" s="12" t="s">
        <v>445</v>
      </c>
      <c r="C617" s="12">
        <v>29</v>
      </c>
      <c r="D617" s="138">
        <v>46262</v>
      </c>
      <c r="E617" s="12" t="s">
        <v>584</v>
      </c>
      <c r="F617" s="11" t="str">
        <f>IF(Rendiciones[[#This Row],[Fecha ]]&lt;&gt;"",TEXT(Rendiciones[[#This Row],[Fecha ]],"MMMM"),"")</f>
        <v>agosto</v>
      </c>
      <c r="G617" s="11" t="s">
        <v>428</v>
      </c>
      <c r="H617" s="12" t="s">
        <v>6</v>
      </c>
      <c r="I617" s="12" t="s">
        <v>29</v>
      </c>
      <c r="L617" s="20"/>
      <c r="M617" s="20">
        <v>2420</v>
      </c>
      <c r="N617" s="20">
        <f>Rendiciones[[#This Row],[Monto Neto ]]*19%</f>
        <v>0</v>
      </c>
      <c r="O617" s="6">
        <f>+Rendiciones[[#This Row],[Monto Neto ]]+Rendiciones[[#This Row],[Monto Exento ]]+Rendiciones[[#This Row],[Iva]]</f>
        <v>2420</v>
      </c>
      <c r="P617" t="s">
        <v>89</v>
      </c>
      <c r="Q617" s="138">
        <v>46265</v>
      </c>
      <c r="R617" s="20">
        <v>195092.5</v>
      </c>
      <c r="S617" s="20">
        <f>Rendiciones[[#This Row],[Total ]]-Rendiciones[[#This Row],[Monto ]]</f>
        <v>-192672.5</v>
      </c>
      <c r="U617" s="72"/>
    </row>
    <row r="618" spans="2:21" x14ac:dyDescent="0.3">
      <c r="B618" s="12" t="s">
        <v>445</v>
      </c>
      <c r="C618" s="12">
        <v>30</v>
      </c>
      <c r="D618" s="138">
        <v>46273</v>
      </c>
      <c r="E618" s="12" t="s">
        <v>585</v>
      </c>
      <c r="F618" s="11" t="str">
        <f>IF(Rendiciones[[#This Row],[Fecha ]]&lt;&gt;"",TEXT(Rendiciones[[#This Row],[Fecha ]],"MMMM"),"")</f>
        <v>septiembre</v>
      </c>
      <c r="G618" s="11" t="s">
        <v>428</v>
      </c>
      <c r="H618" s="12" t="s">
        <v>6</v>
      </c>
      <c r="I618" s="12" t="s">
        <v>28</v>
      </c>
      <c r="K618" s="1" t="s">
        <v>81</v>
      </c>
      <c r="L618" s="20">
        <v>27928</v>
      </c>
      <c r="M618" s="20">
        <v>-3234</v>
      </c>
      <c r="N618" s="20">
        <f>Rendiciones[[#This Row],[Monto Neto ]]*19%</f>
        <v>5306.32</v>
      </c>
      <c r="O618" s="6">
        <f>+Rendiciones[[#This Row],[Monto Neto ]]+Rendiciones[[#This Row],[Monto Exento ]]+Rendiciones[[#This Row],[Iva]]</f>
        <v>30000.32</v>
      </c>
      <c r="Q618" s="138"/>
      <c r="R618" s="20"/>
      <c r="S618" s="20">
        <f>Rendiciones[[#This Row],[Total ]]-Rendiciones[[#This Row],[Monto ]]</f>
        <v>30000.32</v>
      </c>
      <c r="U618" s="72"/>
    </row>
    <row r="619" spans="2:21" x14ac:dyDescent="0.3">
      <c r="B619" s="12" t="s">
        <v>445</v>
      </c>
      <c r="C619" s="12">
        <v>30</v>
      </c>
      <c r="D619" s="138">
        <v>46273</v>
      </c>
      <c r="E619" s="12" t="s">
        <v>585</v>
      </c>
      <c r="F619" s="11" t="str">
        <f>IF(Rendiciones[[#This Row],[Fecha ]]&lt;&gt;"",TEXT(Rendiciones[[#This Row],[Fecha ]],"MMMM"),"")</f>
        <v>septiembre</v>
      </c>
      <c r="G619" s="11" t="s">
        <v>428</v>
      </c>
      <c r="H619" s="12" t="s">
        <v>6</v>
      </c>
      <c r="I619" s="12" t="s">
        <v>59</v>
      </c>
      <c r="K619" s="1" t="s">
        <v>81</v>
      </c>
      <c r="L619" s="20">
        <v>5605</v>
      </c>
      <c r="M619" s="20"/>
      <c r="N619" s="20">
        <f>Rendiciones[[#This Row],[Monto Neto ]]*19%</f>
        <v>1064.95</v>
      </c>
      <c r="O619" s="6">
        <f>+Rendiciones[[#This Row],[Monto Neto ]]+Rendiciones[[#This Row],[Monto Exento ]]+Rendiciones[[#This Row],[Iva]]</f>
        <v>6669.95</v>
      </c>
      <c r="Q619" s="138"/>
      <c r="R619" s="20"/>
      <c r="S619" s="20">
        <f>Rendiciones[[#This Row],[Total ]]-Rendiciones[[#This Row],[Monto ]]</f>
        <v>6669.95</v>
      </c>
      <c r="U619" s="72"/>
    </row>
    <row r="620" spans="2:21" x14ac:dyDescent="0.3">
      <c r="B620" s="12" t="s">
        <v>445</v>
      </c>
      <c r="C620" s="12">
        <v>30</v>
      </c>
      <c r="D620" s="138">
        <v>46273</v>
      </c>
      <c r="E620" s="12" t="s">
        <v>585</v>
      </c>
      <c r="F620" s="11" t="str">
        <f>IF(Rendiciones[[#This Row],[Fecha ]]&lt;&gt;"",TEXT(Rendiciones[[#This Row],[Fecha ]],"MMMM"),"")</f>
        <v>septiembre</v>
      </c>
      <c r="G620" s="11" t="s">
        <v>428</v>
      </c>
      <c r="H620" s="12" t="s">
        <v>6</v>
      </c>
      <c r="I620" s="12" t="s">
        <v>57</v>
      </c>
      <c r="K620" s="1" t="s">
        <v>81</v>
      </c>
      <c r="L620" s="20"/>
      <c r="M620" s="20">
        <v>18000</v>
      </c>
      <c r="N620" s="20">
        <f>Rendiciones[[#This Row],[Monto Neto ]]*19%</f>
        <v>0</v>
      </c>
      <c r="O620" s="6">
        <f>+Rendiciones[[#This Row],[Monto Neto ]]+Rendiciones[[#This Row],[Monto Exento ]]+Rendiciones[[#This Row],[Iva]]</f>
        <v>18000</v>
      </c>
      <c r="Q620" s="138"/>
      <c r="R620" s="20"/>
      <c r="S620" s="20">
        <f>Rendiciones[[#This Row],[Total ]]-Rendiciones[[#This Row],[Monto ]]</f>
        <v>18000</v>
      </c>
      <c r="U620" s="72"/>
    </row>
    <row r="621" spans="2:21" x14ac:dyDescent="0.3">
      <c r="B621" s="12" t="s">
        <v>445</v>
      </c>
      <c r="C621" s="12">
        <v>30</v>
      </c>
      <c r="D621" s="138">
        <v>46273</v>
      </c>
      <c r="E621" s="12" t="s">
        <v>585</v>
      </c>
      <c r="F621" s="11" t="str">
        <f>IF(Rendiciones[[#This Row],[Fecha ]]&lt;&gt;"",TEXT(Rendiciones[[#This Row],[Fecha ]],"MMMM"),"")</f>
        <v>septiembre</v>
      </c>
      <c r="G621" s="11" t="s">
        <v>428</v>
      </c>
      <c r="H621" s="12" t="s">
        <v>6</v>
      </c>
      <c r="I621" s="12" t="s">
        <v>39</v>
      </c>
      <c r="L621" s="20"/>
      <c r="M621" s="20">
        <f>1600+1500+1650</f>
        <v>4750</v>
      </c>
      <c r="N621" s="20">
        <f>Rendiciones[[#This Row],[Monto Neto ]]*19%</f>
        <v>0</v>
      </c>
      <c r="O621" s="6">
        <f>+Rendiciones[[#This Row],[Monto Neto ]]+Rendiciones[[#This Row],[Monto Exento ]]+Rendiciones[[#This Row],[Iva]]</f>
        <v>4750</v>
      </c>
      <c r="Q621" s="138"/>
      <c r="R621" s="20"/>
      <c r="S621" s="20">
        <f>Rendiciones[[#This Row],[Total ]]-Rendiciones[[#This Row],[Monto ]]</f>
        <v>4750</v>
      </c>
      <c r="U621" s="72"/>
    </row>
    <row r="622" spans="2:21" x14ac:dyDescent="0.3">
      <c r="B622" s="12" t="s">
        <v>445</v>
      </c>
      <c r="C622" s="12">
        <v>30</v>
      </c>
      <c r="D622" s="138">
        <v>46273</v>
      </c>
      <c r="E622" s="12" t="s">
        <v>585</v>
      </c>
      <c r="F622" s="11" t="str">
        <f>IF(Rendiciones[[#This Row],[Fecha ]]&lt;&gt;"",TEXT(Rendiciones[[#This Row],[Fecha ]],"MMMM"),"")</f>
        <v>septiembre</v>
      </c>
      <c r="G622" s="11" t="s">
        <v>428</v>
      </c>
      <c r="H622" s="12" t="s">
        <v>5</v>
      </c>
      <c r="I622" s="12" t="s">
        <v>52</v>
      </c>
      <c r="L622" s="20"/>
      <c r="M622" s="20">
        <v>19627</v>
      </c>
      <c r="N622" s="20">
        <f>Rendiciones[[#This Row],[Monto Neto ]]*19%</f>
        <v>0</v>
      </c>
      <c r="O622" s="6">
        <f>+Rendiciones[[#This Row],[Monto Neto ]]+Rendiciones[[#This Row],[Monto Exento ]]+Rendiciones[[#This Row],[Iva]]</f>
        <v>19627</v>
      </c>
      <c r="Q622" s="138"/>
      <c r="R622" s="20"/>
      <c r="S622" s="20">
        <f>Rendiciones[[#This Row],[Total ]]-Rendiciones[[#This Row],[Monto ]]</f>
        <v>19627</v>
      </c>
      <c r="U622" s="72"/>
    </row>
    <row r="623" spans="2:21" x14ac:dyDescent="0.3">
      <c r="B623" s="12" t="s">
        <v>445</v>
      </c>
      <c r="C623" s="12">
        <v>30</v>
      </c>
      <c r="D623" s="138">
        <v>46273</v>
      </c>
      <c r="E623" s="12" t="s">
        <v>585</v>
      </c>
      <c r="F623" s="11" t="str">
        <f>IF(Rendiciones[[#This Row],[Fecha ]]&lt;&gt;"",TEXT(Rendiciones[[#This Row],[Fecha ]],"MMMM"),"")</f>
        <v>septiembre</v>
      </c>
      <c r="G623" s="11" t="s">
        <v>428</v>
      </c>
      <c r="H623" s="12" t="s">
        <v>6</v>
      </c>
      <c r="I623" s="12" t="s">
        <v>429</v>
      </c>
      <c r="L623" s="20"/>
      <c r="M623" s="20">
        <v>8700</v>
      </c>
      <c r="N623" s="20">
        <f>Rendiciones[[#This Row],[Monto Neto ]]*19%</f>
        <v>0</v>
      </c>
      <c r="O623" s="6">
        <f>+Rendiciones[[#This Row],[Monto Neto ]]+Rendiciones[[#This Row],[Monto Exento ]]+Rendiciones[[#This Row],[Iva]]</f>
        <v>8700</v>
      </c>
      <c r="P623" t="s">
        <v>89</v>
      </c>
      <c r="Q623" s="138">
        <v>46274</v>
      </c>
      <c r="R623" s="20">
        <v>87746.71</v>
      </c>
      <c r="S623" s="20">
        <f>Rendiciones[[#This Row],[Total ]]-Rendiciones[[#This Row],[Monto ]]</f>
        <v>-79046.710000000006</v>
      </c>
      <c r="U623" s="72"/>
    </row>
    <row r="624" spans="2:21" x14ac:dyDescent="0.3">
      <c r="B624" s="219" t="s">
        <v>445</v>
      </c>
      <c r="C624" s="219">
        <v>31</v>
      </c>
      <c r="D624" s="220">
        <v>46288</v>
      </c>
      <c r="E624" s="219"/>
      <c r="F624" s="221" t="str">
        <f>IF(Rendiciones[[#This Row],[Fecha ]]&lt;&gt;"",TEXT(Rendiciones[[#This Row],[Fecha ]],"MMMM"),"")</f>
        <v>septiembre</v>
      </c>
      <c r="G624" s="221"/>
      <c r="H624" s="219"/>
      <c r="I624" s="219"/>
      <c r="J624" s="222" t="s">
        <v>586</v>
      </c>
      <c r="K624" s="222"/>
      <c r="L624" s="223"/>
      <c r="M624" s="223">
        <v>123310</v>
      </c>
      <c r="N624" s="223">
        <f>Rendiciones[[#This Row],[Monto Neto ]]*19%</f>
        <v>0</v>
      </c>
      <c r="O624" s="224">
        <f>+Rendiciones[[#This Row],[Monto Neto ]]+Rendiciones[[#This Row],[Monto Exento ]]+Rendiciones[[#This Row],[Iva]]</f>
        <v>123310</v>
      </c>
      <c r="P624" s="225" t="s">
        <v>89</v>
      </c>
      <c r="Q624" s="220">
        <v>46288</v>
      </c>
      <c r="R624" s="223">
        <v>123310</v>
      </c>
      <c r="S624" s="223">
        <f>Rendiciones[[#This Row],[Total ]]-Rendiciones[[#This Row],[Monto ]]</f>
        <v>0</v>
      </c>
      <c r="U624" s="72"/>
    </row>
    <row r="625" spans="2:21" x14ac:dyDescent="0.3">
      <c r="B625" s="12" t="s">
        <v>445</v>
      </c>
      <c r="C625" s="12">
        <v>32</v>
      </c>
      <c r="D625" s="138">
        <v>46295</v>
      </c>
      <c r="E625" s="12" t="s">
        <v>587</v>
      </c>
      <c r="F625" s="11" t="str">
        <f>IF(Rendiciones[[#This Row],[Fecha ]]&lt;&gt;"",TEXT(Rendiciones[[#This Row],[Fecha ]],"MMMM"),"")</f>
        <v>septiembre</v>
      </c>
      <c r="G625" s="11" t="s">
        <v>428</v>
      </c>
      <c r="H625" s="12" t="s">
        <v>6</v>
      </c>
      <c r="I625" s="12" t="s">
        <v>28</v>
      </c>
      <c r="K625" s="1" t="s">
        <v>81</v>
      </c>
      <c r="L625" s="20">
        <v>38352</v>
      </c>
      <c r="M625" s="20">
        <v>-5639</v>
      </c>
      <c r="N625" s="20">
        <f>Rendiciones[[#This Row],[Monto Neto ]]*19%</f>
        <v>7286.88</v>
      </c>
      <c r="O625" s="6">
        <f>+Rendiciones[[#This Row],[Monto Neto ]]+Rendiciones[[#This Row],[Monto Exento ]]+Rendiciones[[#This Row],[Iva]]</f>
        <v>39999.879999999997</v>
      </c>
      <c r="Q625" s="138"/>
      <c r="R625" s="20"/>
      <c r="S625" s="20">
        <f>Rendiciones[[#This Row],[Total ]]-Rendiciones[[#This Row],[Monto ]]</f>
        <v>39999.879999999997</v>
      </c>
      <c r="U625" s="72"/>
    </row>
    <row r="626" spans="2:21" x14ac:dyDescent="0.3">
      <c r="B626" s="12" t="s">
        <v>445</v>
      </c>
      <c r="C626" s="12">
        <v>32</v>
      </c>
      <c r="D626" s="138">
        <v>46295</v>
      </c>
      <c r="E626" s="12" t="s">
        <v>587</v>
      </c>
      <c r="F626" s="11" t="str">
        <f>IF(Rendiciones[[#This Row],[Fecha ]]&lt;&gt;"",TEXT(Rendiciones[[#This Row],[Fecha ]],"MMMM"),"")</f>
        <v>septiembre</v>
      </c>
      <c r="G626" s="11" t="s">
        <v>428</v>
      </c>
      <c r="H626" s="12" t="s">
        <v>6</v>
      </c>
      <c r="I626" s="12" t="s">
        <v>28</v>
      </c>
      <c r="K626" s="1" t="s">
        <v>81</v>
      </c>
      <c r="L626" s="20">
        <v>41239</v>
      </c>
      <c r="M626" s="20">
        <v>-9074</v>
      </c>
      <c r="N626" s="20">
        <f>Rendiciones[[#This Row],[Monto Neto ]]*19%</f>
        <v>7835.41</v>
      </c>
      <c r="O626" s="6">
        <f>+Rendiciones[[#This Row],[Monto Neto ]]+Rendiciones[[#This Row],[Monto Exento ]]+Rendiciones[[#This Row],[Iva]]</f>
        <v>40000.410000000003</v>
      </c>
      <c r="Q626" s="138"/>
      <c r="R626" s="20"/>
      <c r="S626" s="20">
        <f>Rendiciones[[#This Row],[Total ]]-Rendiciones[[#This Row],[Monto ]]</f>
        <v>40000.410000000003</v>
      </c>
      <c r="U626" s="72"/>
    </row>
    <row r="627" spans="2:21" x14ac:dyDescent="0.3">
      <c r="B627" s="12" t="s">
        <v>445</v>
      </c>
      <c r="C627" s="12">
        <v>32</v>
      </c>
      <c r="D627" s="138">
        <v>46295</v>
      </c>
      <c r="E627" s="12" t="s">
        <v>587</v>
      </c>
      <c r="F627" s="11" t="str">
        <f>IF(Rendiciones[[#This Row],[Fecha ]]&lt;&gt;"",TEXT(Rendiciones[[#This Row],[Fecha ]],"MMMM"),"")</f>
        <v>septiembre</v>
      </c>
      <c r="G627" s="11" t="s">
        <v>428</v>
      </c>
      <c r="H627" s="12" t="s">
        <v>6</v>
      </c>
      <c r="I627" s="12" t="s">
        <v>429</v>
      </c>
      <c r="L627" s="20"/>
      <c r="M627" s="20">
        <f>3000+8700+8700+9490+8600</f>
        <v>38490</v>
      </c>
      <c r="N627" s="20">
        <f>Rendiciones[[#This Row],[Monto Neto ]]*19%</f>
        <v>0</v>
      </c>
      <c r="O627" s="6">
        <f>+Rendiciones[[#This Row],[Monto Neto ]]+Rendiciones[[#This Row],[Monto Exento ]]+Rendiciones[[#This Row],[Iva]]</f>
        <v>38490</v>
      </c>
      <c r="Q627" s="138"/>
      <c r="R627" s="20"/>
      <c r="S627" s="20">
        <f>Rendiciones[[#This Row],[Total ]]-Rendiciones[[#This Row],[Monto ]]</f>
        <v>38490</v>
      </c>
      <c r="U627" s="72"/>
    </row>
    <row r="628" spans="2:21" x14ac:dyDescent="0.3">
      <c r="B628" s="12" t="s">
        <v>445</v>
      </c>
      <c r="C628" s="12">
        <v>32</v>
      </c>
      <c r="D628" s="138">
        <v>46295</v>
      </c>
      <c r="E628" s="12" t="s">
        <v>587</v>
      </c>
      <c r="F628" s="11" t="str">
        <f>IF(Rendiciones[[#This Row],[Fecha ]]&lt;&gt;"",TEXT(Rendiciones[[#This Row],[Fecha ]],"MMMM"),"")</f>
        <v>septiembre</v>
      </c>
      <c r="G628" s="11" t="s">
        <v>428</v>
      </c>
      <c r="H628" s="12" t="s">
        <v>6</v>
      </c>
      <c r="I628" s="12" t="s">
        <v>39</v>
      </c>
      <c r="L628" s="20"/>
      <c r="M628" s="20">
        <f>1400+750+1850+700+700+680+450+3500</f>
        <v>10030</v>
      </c>
      <c r="N628" s="20">
        <f>Rendiciones[[#This Row],[Monto Neto ]]*19%</f>
        <v>0</v>
      </c>
      <c r="O628" s="6">
        <f>+Rendiciones[[#This Row],[Monto Neto ]]+Rendiciones[[#This Row],[Monto Exento ]]+Rendiciones[[#This Row],[Iva]]</f>
        <v>10030</v>
      </c>
      <c r="Q628" s="138"/>
      <c r="R628" s="20"/>
      <c r="S628" s="20">
        <f>Rendiciones[[#This Row],[Total ]]-Rendiciones[[#This Row],[Monto ]]</f>
        <v>10030</v>
      </c>
      <c r="U628" s="72"/>
    </row>
    <row r="629" spans="2:21" x14ac:dyDescent="0.3">
      <c r="B629" s="12" t="s">
        <v>445</v>
      </c>
      <c r="C629" s="12">
        <v>32</v>
      </c>
      <c r="D629" s="138">
        <v>46295</v>
      </c>
      <c r="E629" s="12" t="s">
        <v>587</v>
      </c>
      <c r="F629" s="11" t="str">
        <f>IF(Rendiciones[[#This Row],[Fecha ]]&lt;&gt;"",TEXT(Rendiciones[[#This Row],[Fecha ]],"MMMM"),"")</f>
        <v>septiembre</v>
      </c>
      <c r="G629" s="11" t="s">
        <v>428</v>
      </c>
      <c r="H629" s="12" t="s">
        <v>6</v>
      </c>
      <c r="I629" s="12" t="s">
        <v>57</v>
      </c>
      <c r="L629" s="20"/>
      <c r="M629" s="20">
        <v>8000</v>
      </c>
      <c r="N629" s="20">
        <f>Rendiciones[[#This Row],[Monto Neto ]]*19%</f>
        <v>0</v>
      </c>
      <c r="O629" s="6">
        <f>+Rendiciones[[#This Row],[Monto Neto ]]+Rendiciones[[#This Row],[Monto Exento ]]+Rendiciones[[#This Row],[Iva]]</f>
        <v>8000</v>
      </c>
      <c r="P629" t="s">
        <v>89</v>
      </c>
      <c r="Q629" s="138">
        <v>46296</v>
      </c>
      <c r="R629" s="20">
        <v>136520.29</v>
      </c>
      <c r="S629" s="20">
        <f>Rendiciones[[#This Row],[Total ]]-Rendiciones[[#This Row],[Monto ]]</f>
        <v>-128520.29000000001</v>
      </c>
      <c r="U629" s="72"/>
    </row>
    <row r="630" spans="2:21" x14ac:dyDescent="0.3">
      <c r="B630" s="12" t="s">
        <v>445</v>
      </c>
      <c r="C630" s="12">
        <v>33</v>
      </c>
      <c r="D630" s="138">
        <v>46304</v>
      </c>
      <c r="E630" s="12" t="s">
        <v>472</v>
      </c>
      <c r="F630" s="11" t="str">
        <f>IF(Rendiciones[[#This Row],[Fecha ]]&lt;&gt;"",TEXT(Rendiciones[[#This Row],[Fecha ]],"MMMM"),"")</f>
        <v>octubre</v>
      </c>
      <c r="G630" s="11" t="s">
        <v>428</v>
      </c>
      <c r="H630" s="12" t="s">
        <v>6</v>
      </c>
      <c r="I630" s="12" t="s">
        <v>28</v>
      </c>
      <c r="K630" s="1" t="s">
        <v>81</v>
      </c>
      <c r="L630" s="20">
        <v>28265</v>
      </c>
      <c r="M630" s="20">
        <v>-3635</v>
      </c>
      <c r="N630" s="20">
        <f>Rendiciones[[#This Row],[Monto Neto ]]*19%</f>
        <v>5370.35</v>
      </c>
      <c r="O630" s="6">
        <f>+Rendiciones[[#This Row],[Monto Neto ]]+Rendiciones[[#This Row],[Monto Exento ]]+Rendiciones[[#This Row],[Iva]]</f>
        <v>30000.35</v>
      </c>
      <c r="Q630" s="138"/>
      <c r="R630" s="20"/>
      <c r="S630" s="20">
        <f>Rendiciones[[#This Row],[Total ]]-Rendiciones[[#This Row],[Monto ]]</f>
        <v>30000.35</v>
      </c>
      <c r="U630" s="72"/>
    </row>
    <row r="631" spans="2:21" x14ac:dyDescent="0.3">
      <c r="B631" s="12" t="s">
        <v>445</v>
      </c>
      <c r="C631" s="12">
        <v>33</v>
      </c>
      <c r="D631" s="138">
        <v>46304</v>
      </c>
      <c r="E631" s="12" t="s">
        <v>472</v>
      </c>
      <c r="F631" s="11" t="str">
        <f>IF(Rendiciones[[#This Row],[Fecha ]]&lt;&gt;"",TEXT(Rendiciones[[#This Row],[Fecha ]],"MMMM"),"")</f>
        <v>octubre</v>
      </c>
      <c r="G631" s="11" t="s">
        <v>428</v>
      </c>
      <c r="H631" s="12" t="s">
        <v>6</v>
      </c>
      <c r="I631" s="12" t="s">
        <v>28</v>
      </c>
      <c r="K631" s="1" t="s">
        <v>81</v>
      </c>
      <c r="L631" s="20">
        <v>28604</v>
      </c>
      <c r="M631" s="20">
        <v>-4039</v>
      </c>
      <c r="N631" s="20">
        <f>Rendiciones[[#This Row],[Monto Neto ]]*19%</f>
        <v>5434.76</v>
      </c>
      <c r="O631" s="6">
        <f>+Rendiciones[[#This Row],[Monto Neto ]]+Rendiciones[[#This Row],[Monto Exento ]]+Rendiciones[[#This Row],[Iva]]</f>
        <v>29999.760000000002</v>
      </c>
      <c r="Q631" s="138"/>
      <c r="R631" s="20"/>
      <c r="S631" s="20">
        <f>Rendiciones[[#This Row],[Total ]]-Rendiciones[[#This Row],[Monto ]]</f>
        <v>29999.760000000002</v>
      </c>
      <c r="U631" s="72"/>
    </row>
    <row r="632" spans="2:21" x14ac:dyDescent="0.3">
      <c r="B632" s="12" t="s">
        <v>445</v>
      </c>
      <c r="C632" s="12">
        <v>33</v>
      </c>
      <c r="D632" s="138">
        <v>46304</v>
      </c>
      <c r="E632" s="12" t="s">
        <v>472</v>
      </c>
      <c r="F632" s="11" t="str">
        <f>IF(Rendiciones[[#This Row],[Fecha ]]&lt;&gt;"",TEXT(Rendiciones[[#This Row],[Fecha ]],"MMMM"),"")</f>
        <v>octubre</v>
      </c>
      <c r="G632" s="11" t="s">
        <v>428</v>
      </c>
      <c r="H632" s="12" t="s">
        <v>5</v>
      </c>
      <c r="I632" s="12" t="s">
        <v>52</v>
      </c>
      <c r="K632" s="1" t="s">
        <v>81</v>
      </c>
      <c r="L632" s="20">
        <v>27049</v>
      </c>
      <c r="M632" s="20">
        <v>2</v>
      </c>
      <c r="N632" s="20">
        <f>Rendiciones[[#This Row],[Monto Neto ]]*19%</f>
        <v>5139.3100000000004</v>
      </c>
      <c r="O632" s="6">
        <f>+Rendiciones[[#This Row],[Monto Neto ]]+Rendiciones[[#This Row],[Monto Exento ]]+Rendiciones[[#This Row],[Iva]]</f>
        <v>32190.31</v>
      </c>
      <c r="Q632" s="138"/>
      <c r="R632" s="20"/>
      <c r="S632" s="20">
        <f>Rendiciones[[#This Row],[Total ]]-Rendiciones[[#This Row],[Monto ]]</f>
        <v>32190.31</v>
      </c>
      <c r="U632" s="72"/>
    </row>
    <row r="633" spans="2:21" x14ac:dyDescent="0.3">
      <c r="B633" s="12" t="s">
        <v>445</v>
      </c>
      <c r="C633" s="12">
        <v>33</v>
      </c>
      <c r="D633" s="138">
        <v>46304</v>
      </c>
      <c r="E633" s="12" t="s">
        <v>472</v>
      </c>
      <c r="F633" s="11" t="str">
        <f>IF(Rendiciones[[#This Row],[Fecha ]]&lt;&gt;"",TEXT(Rendiciones[[#This Row],[Fecha ]],"MMMM"),"")</f>
        <v>octubre</v>
      </c>
      <c r="G633" s="11" t="s">
        <v>428</v>
      </c>
      <c r="H633" s="12" t="s">
        <v>6</v>
      </c>
      <c r="I633" s="12" t="s">
        <v>39</v>
      </c>
      <c r="L633" s="20"/>
      <c r="M633" s="20">
        <f>1450+570+400</f>
        <v>2420</v>
      </c>
      <c r="N633" s="20">
        <f>Rendiciones[[#This Row],[Monto Neto ]]*19%</f>
        <v>0</v>
      </c>
      <c r="O633" s="6">
        <f>+Rendiciones[[#This Row],[Monto Neto ]]+Rendiciones[[#This Row],[Monto Exento ]]+Rendiciones[[#This Row],[Iva]]</f>
        <v>2420</v>
      </c>
      <c r="Q633" s="138"/>
      <c r="R633" s="20"/>
      <c r="S633" s="20">
        <f>Rendiciones[[#This Row],[Total ]]-Rendiciones[[#This Row],[Monto ]]</f>
        <v>2420</v>
      </c>
      <c r="U633" s="72"/>
    </row>
    <row r="634" spans="2:21" x14ac:dyDescent="0.3">
      <c r="B634" s="12" t="s">
        <v>445</v>
      </c>
      <c r="C634" s="12">
        <v>33</v>
      </c>
      <c r="D634" s="138">
        <v>46304</v>
      </c>
      <c r="E634" s="12" t="s">
        <v>472</v>
      </c>
      <c r="F634" s="11" t="str">
        <f>IF(Rendiciones[[#This Row],[Fecha ]]&lt;&gt;"",TEXT(Rendiciones[[#This Row],[Fecha ]],"MMMM"),"")</f>
        <v>octubre</v>
      </c>
      <c r="G634" s="11" t="s">
        <v>428</v>
      </c>
      <c r="H634" s="12" t="s">
        <v>6</v>
      </c>
      <c r="I634" s="12" t="s">
        <v>429</v>
      </c>
      <c r="L634" s="20"/>
      <c r="M634" s="20">
        <f>8700+8000+7990</f>
        <v>24690</v>
      </c>
      <c r="N634" s="20">
        <f>Rendiciones[[#This Row],[Monto Neto ]]*19%</f>
        <v>0</v>
      </c>
      <c r="O634" s="6">
        <f>+Rendiciones[[#This Row],[Monto Neto ]]+Rendiciones[[#This Row],[Monto Exento ]]+Rendiciones[[#This Row],[Iva]]</f>
        <v>24690</v>
      </c>
      <c r="P634" t="s">
        <v>89</v>
      </c>
      <c r="Q634" s="138">
        <v>46304</v>
      </c>
      <c r="R634" s="20">
        <v>136520</v>
      </c>
      <c r="S634" s="20">
        <f>Rendiciones[[#This Row],[Total ]]-Rendiciones[[#This Row],[Monto ]]</f>
        <v>-111830</v>
      </c>
      <c r="U634" s="72"/>
    </row>
    <row r="635" spans="2:21" x14ac:dyDescent="0.3">
      <c r="D635" s="138"/>
      <c r="F635" s="11" t="str">
        <f>IF(Rendiciones[[#This Row],[Fecha ]]&lt;&gt;"",TEXT(Rendiciones[[#This Row],[Fecha ]],"MMMM"),"")</f>
        <v/>
      </c>
      <c r="G635" s="11"/>
      <c r="L635" s="20"/>
      <c r="M635" s="20">
        <v>107130</v>
      </c>
      <c r="N635" s="20">
        <f>Rendiciones[[#This Row],[Monto Neto ]]*19%</f>
        <v>0</v>
      </c>
      <c r="O635" s="6">
        <f>+Rendiciones[[#This Row],[Monto Neto ]]+Rendiciones[[#This Row],[Monto Exento ]]+Rendiciones[[#This Row],[Iva]]</f>
        <v>107130</v>
      </c>
      <c r="Q635" s="138"/>
      <c r="R635" s="20"/>
      <c r="S635" s="20">
        <f>Rendiciones[[#This Row],[Total ]]-Rendiciones[[#This Row],[Monto ]]</f>
        <v>107130</v>
      </c>
      <c r="U635" s="72"/>
    </row>
    <row r="636" spans="2:21" x14ac:dyDescent="0.3">
      <c r="D636" s="138"/>
      <c r="F636" s="11" t="str">
        <f>IF(Rendiciones[[#This Row],[Fecha ]]&lt;&gt;"",TEXT(Rendiciones[[#This Row],[Fecha ]],"MMMM"),"")</f>
        <v/>
      </c>
      <c r="G636" s="11"/>
      <c r="L636" s="20"/>
      <c r="M636" s="20"/>
      <c r="N636" s="20">
        <f>Rendiciones[[#This Row],[Monto Neto ]]*19%</f>
        <v>0</v>
      </c>
      <c r="O636" s="6">
        <f>+Rendiciones[[#This Row],[Monto Neto ]]+Rendiciones[[#This Row],[Monto Exento ]]+Rendiciones[[#This Row],[Iva]]</f>
        <v>0</v>
      </c>
      <c r="Q636" s="138"/>
      <c r="R636" s="20"/>
      <c r="S636" s="20">
        <f>Rendiciones[[#This Row],[Total ]]-Rendiciones[[#This Row],[Monto ]]</f>
        <v>0</v>
      </c>
      <c r="U636" s="72"/>
    </row>
    <row r="637" spans="2:21" x14ac:dyDescent="0.3">
      <c r="D637" s="138"/>
      <c r="F637" s="11" t="str">
        <f>IF(Rendiciones[[#This Row],[Fecha ]]&lt;&gt;"",TEXT(Rendiciones[[#This Row],[Fecha ]],"MMMM"),"")</f>
        <v/>
      </c>
      <c r="G637" s="11"/>
      <c r="L637" s="20"/>
      <c r="M637" s="20"/>
      <c r="N637" s="20">
        <f>Rendiciones[[#This Row],[Monto Neto ]]*19%</f>
        <v>0</v>
      </c>
      <c r="O637" s="6">
        <f>+Rendiciones[[#This Row],[Monto Neto ]]+Rendiciones[[#This Row],[Monto Exento ]]+Rendiciones[[#This Row],[Iva]]</f>
        <v>0</v>
      </c>
      <c r="Q637" s="138"/>
      <c r="R637" s="20"/>
      <c r="S637" s="20">
        <f>Rendiciones[[#This Row],[Total ]]-Rendiciones[[#This Row],[Monto ]]</f>
        <v>0</v>
      </c>
      <c r="U637" s="72"/>
    </row>
    <row r="638" spans="2:21" x14ac:dyDescent="0.3">
      <c r="D638" s="138"/>
      <c r="F638" s="11" t="str">
        <f>IF(Rendiciones[[#This Row],[Fecha ]]&lt;&gt;"",TEXT(Rendiciones[[#This Row],[Fecha ]],"MMMM"),"")</f>
        <v/>
      </c>
      <c r="G638" s="11"/>
      <c r="L638" s="20"/>
      <c r="M638" s="20"/>
      <c r="N638" s="20">
        <f>Rendiciones[[#This Row],[Monto Neto ]]*19%</f>
        <v>0</v>
      </c>
      <c r="O638" s="6">
        <f>+Rendiciones[[#This Row],[Monto Neto ]]+Rendiciones[[#This Row],[Monto Exento ]]+Rendiciones[[#This Row],[Iva]]</f>
        <v>0</v>
      </c>
      <c r="Q638" s="138"/>
      <c r="R638" s="20"/>
      <c r="S638" s="20">
        <f>Rendiciones[[#This Row],[Total ]]-Rendiciones[[#This Row],[Monto ]]</f>
        <v>0</v>
      </c>
      <c r="U638" s="72"/>
    </row>
    <row r="639" spans="2:21" x14ac:dyDescent="0.3">
      <c r="D639" s="138"/>
      <c r="F639" s="11" t="str">
        <f>IF(Rendiciones[[#This Row],[Fecha ]]&lt;&gt;"",TEXT(Rendiciones[[#This Row],[Fecha ]],"MMMM"),"")</f>
        <v/>
      </c>
      <c r="G639" s="11"/>
      <c r="L639" s="20"/>
      <c r="M639" s="20"/>
      <c r="N639" s="20">
        <f>Rendiciones[[#This Row],[Monto Neto ]]*19%</f>
        <v>0</v>
      </c>
      <c r="O639" s="6">
        <f>+Rendiciones[[#This Row],[Monto Neto ]]+Rendiciones[[#This Row],[Monto Exento ]]+Rendiciones[[#This Row],[Iva]]</f>
        <v>0</v>
      </c>
      <c r="Q639" s="138"/>
      <c r="R639" s="20"/>
      <c r="S639" s="20">
        <f>Rendiciones[[#This Row],[Total ]]-Rendiciones[[#This Row],[Monto ]]</f>
        <v>0</v>
      </c>
      <c r="U639" s="72"/>
    </row>
    <row r="640" spans="2:21" x14ac:dyDescent="0.3">
      <c r="D640" s="138"/>
      <c r="F640" s="11" t="str">
        <f>IF(Rendiciones[[#This Row],[Fecha ]]&lt;&gt;"",TEXT(Rendiciones[[#This Row],[Fecha ]],"MMMM"),"")</f>
        <v/>
      </c>
      <c r="G640" s="11"/>
      <c r="L640" s="20"/>
      <c r="M640" s="20"/>
      <c r="N640" s="20">
        <f>Rendiciones[[#This Row],[Monto Neto ]]*19%</f>
        <v>0</v>
      </c>
      <c r="O640" s="6">
        <f>+Rendiciones[[#This Row],[Monto Neto ]]+Rendiciones[[#This Row],[Monto Exento ]]+Rendiciones[[#This Row],[Iva]]</f>
        <v>0</v>
      </c>
      <c r="Q640" s="138"/>
      <c r="R640" s="20"/>
      <c r="S640" s="20">
        <f>Rendiciones[[#This Row],[Total ]]-Rendiciones[[#This Row],[Monto ]]</f>
        <v>0</v>
      </c>
      <c r="U640" s="72"/>
    </row>
    <row r="641" spans="4:21" x14ac:dyDescent="0.3">
      <c r="D641" s="138"/>
      <c r="F641" s="11" t="str">
        <f>IF(Rendiciones[[#This Row],[Fecha ]]&lt;&gt;"",TEXT(Rendiciones[[#This Row],[Fecha ]],"MMMM"),"")</f>
        <v/>
      </c>
      <c r="G641" s="11"/>
      <c r="L641" s="20"/>
      <c r="M641" s="20"/>
      <c r="N641" s="20">
        <f>Rendiciones[[#This Row],[Monto Neto ]]*19%</f>
        <v>0</v>
      </c>
      <c r="O641" s="6">
        <f>+Rendiciones[[#This Row],[Monto Neto ]]+Rendiciones[[#This Row],[Monto Exento ]]+Rendiciones[[#This Row],[Iva]]</f>
        <v>0</v>
      </c>
      <c r="Q641" s="138"/>
      <c r="R641" s="20"/>
      <c r="S641" s="20">
        <f>Rendiciones[[#This Row],[Total ]]-Rendiciones[[#This Row],[Monto ]]</f>
        <v>0</v>
      </c>
      <c r="U641" s="72"/>
    </row>
    <row r="642" spans="4:21" x14ac:dyDescent="0.3">
      <c r="D642" s="138"/>
      <c r="F642" s="11" t="str">
        <f>IF(Rendiciones[[#This Row],[Fecha ]]&lt;&gt;"",TEXT(Rendiciones[[#This Row],[Fecha ]],"MMMM"),"")</f>
        <v/>
      </c>
      <c r="G642" s="11"/>
      <c r="L642" s="20"/>
      <c r="M642" s="20"/>
      <c r="N642" s="20">
        <f>Rendiciones[[#This Row],[Monto Neto ]]*19%</f>
        <v>0</v>
      </c>
      <c r="O642" s="6">
        <f>+Rendiciones[[#This Row],[Monto Neto ]]+Rendiciones[[#This Row],[Monto Exento ]]+Rendiciones[[#This Row],[Iva]]</f>
        <v>0</v>
      </c>
      <c r="Q642" s="138"/>
      <c r="R642" s="20"/>
      <c r="S642" s="20">
        <f>Rendiciones[[#This Row],[Total ]]-Rendiciones[[#This Row],[Monto ]]</f>
        <v>0</v>
      </c>
      <c r="U642" s="72"/>
    </row>
    <row r="643" spans="4:21" x14ac:dyDescent="0.3">
      <c r="D643" s="138"/>
      <c r="F643" s="11" t="str">
        <f>IF(Rendiciones[[#This Row],[Fecha ]]&lt;&gt;"",TEXT(Rendiciones[[#This Row],[Fecha ]],"MMMM"),"")</f>
        <v/>
      </c>
      <c r="G643" s="11"/>
      <c r="L643" s="20"/>
      <c r="M643" s="20"/>
      <c r="N643" s="20">
        <f>Rendiciones[[#This Row],[Monto Neto ]]*19%</f>
        <v>0</v>
      </c>
      <c r="O643" s="6">
        <f>+Rendiciones[[#This Row],[Monto Neto ]]+Rendiciones[[#This Row],[Monto Exento ]]+Rendiciones[[#This Row],[Iva]]</f>
        <v>0</v>
      </c>
      <c r="Q643" s="138"/>
      <c r="R643" s="20"/>
      <c r="S643" s="20">
        <f>Rendiciones[[#This Row],[Total ]]-Rendiciones[[#This Row],[Monto ]]</f>
        <v>0</v>
      </c>
      <c r="U643" s="72"/>
    </row>
    <row r="644" spans="4:21" x14ac:dyDescent="0.3">
      <c r="D644" s="138"/>
      <c r="F644" s="11" t="str">
        <f>IF(Rendiciones[[#This Row],[Fecha ]]&lt;&gt;"",TEXT(Rendiciones[[#This Row],[Fecha ]],"MMMM"),"")</f>
        <v/>
      </c>
      <c r="G644" s="11"/>
      <c r="L644" s="20"/>
      <c r="M644" s="20"/>
      <c r="N644" s="20">
        <f>Rendiciones[[#This Row],[Monto Neto ]]*19%</f>
        <v>0</v>
      </c>
      <c r="O644" s="6">
        <f>+Rendiciones[[#This Row],[Monto Neto ]]+Rendiciones[[#This Row],[Monto Exento ]]+Rendiciones[[#This Row],[Iva]]</f>
        <v>0</v>
      </c>
      <c r="Q644" s="138"/>
      <c r="R644" s="20"/>
      <c r="S644" s="20">
        <f>Rendiciones[[#This Row],[Total ]]-Rendiciones[[#This Row],[Monto ]]</f>
        <v>0</v>
      </c>
      <c r="U644" s="72"/>
    </row>
    <row r="645" spans="4:21" x14ac:dyDescent="0.3">
      <c r="D645" s="138"/>
      <c r="F645" s="11" t="str">
        <f>IF(Rendiciones[[#This Row],[Fecha ]]&lt;&gt;"",TEXT(Rendiciones[[#This Row],[Fecha ]],"MMMM"),"")</f>
        <v/>
      </c>
      <c r="G645" s="11"/>
      <c r="L645" s="20"/>
      <c r="M645" s="20"/>
      <c r="N645" s="20">
        <f>Rendiciones[[#This Row],[Monto Neto ]]*19%</f>
        <v>0</v>
      </c>
      <c r="O645" s="6">
        <f>+Rendiciones[[#This Row],[Monto Neto ]]+Rendiciones[[#This Row],[Monto Exento ]]+Rendiciones[[#This Row],[Iva]]</f>
        <v>0</v>
      </c>
      <c r="Q645" s="138"/>
      <c r="R645" s="20"/>
      <c r="S645" s="20">
        <f>Rendiciones[[#This Row],[Total ]]-Rendiciones[[#This Row],[Monto ]]</f>
        <v>0</v>
      </c>
      <c r="U645" s="72"/>
    </row>
    <row r="646" spans="4:21" x14ac:dyDescent="0.3">
      <c r="D646" s="138"/>
      <c r="F646" s="11" t="str">
        <f>IF(Rendiciones[[#This Row],[Fecha ]]&lt;&gt;"",TEXT(Rendiciones[[#This Row],[Fecha ]],"MMMM"),"")</f>
        <v/>
      </c>
      <c r="G646" s="11"/>
      <c r="L646" s="20"/>
      <c r="M646" s="20"/>
      <c r="N646" s="20">
        <f>Rendiciones[[#This Row],[Monto Neto ]]*19%</f>
        <v>0</v>
      </c>
      <c r="O646" s="6">
        <f>+Rendiciones[[#This Row],[Monto Neto ]]+Rendiciones[[#This Row],[Monto Exento ]]+Rendiciones[[#This Row],[Iva]]</f>
        <v>0</v>
      </c>
      <c r="Q646" s="138"/>
      <c r="R646" s="20"/>
      <c r="S646" s="20">
        <f>Rendiciones[[#This Row],[Total ]]-Rendiciones[[#This Row],[Monto ]]</f>
        <v>0</v>
      </c>
      <c r="U646" s="72"/>
    </row>
    <row r="647" spans="4:21" x14ac:dyDescent="0.3">
      <c r="D647" s="138"/>
      <c r="F647" s="11" t="str">
        <f>IF(Rendiciones[[#This Row],[Fecha ]]&lt;&gt;"",TEXT(Rendiciones[[#This Row],[Fecha ]],"MMMM"),"")</f>
        <v/>
      </c>
      <c r="G647" s="11"/>
      <c r="L647" s="20"/>
      <c r="M647" s="20"/>
      <c r="N647" s="20">
        <f>Rendiciones[[#This Row],[Monto Neto ]]*19%</f>
        <v>0</v>
      </c>
      <c r="O647" s="6">
        <f>+Rendiciones[[#This Row],[Monto Neto ]]+Rendiciones[[#This Row],[Monto Exento ]]+Rendiciones[[#This Row],[Iva]]</f>
        <v>0</v>
      </c>
      <c r="Q647" s="138"/>
      <c r="R647" s="20"/>
      <c r="S647" s="20">
        <f>Rendiciones[[#This Row],[Total ]]-Rendiciones[[#This Row],[Monto ]]</f>
        <v>0</v>
      </c>
      <c r="U647" s="72"/>
    </row>
    <row r="648" spans="4:21" x14ac:dyDescent="0.3">
      <c r="D648" s="138"/>
      <c r="F648" s="11" t="str">
        <f>IF(Rendiciones[[#This Row],[Fecha ]]&lt;&gt;"",TEXT(Rendiciones[[#This Row],[Fecha ]],"MMMM"),"")</f>
        <v/>
      </c>
      <c r="G648" s="11"/>
      <c r="L648" s="20"/>
      <c r="M648" s="20"/>
      <c r="N648" s="20">
        <f>Rendiciones[[#This Row],[Monto Neto ]]*19%</f>
        <v>0</v>
      </c>
      <c r="O648" s="6">
        <f>+Rendiciones[[#This Row],[Monto Neto ]]+Rendiciones[[#This Row],[Monto Exento ]]+Rendiciones[[#This Row],[Iva]]</f>
        <v>0</v>
      </c>
      <c r="Q648" s="138"/>
      <c r="R648" s="20"/>
      <c r="S648" s="20">
        <f>Rendiciones[[#This Row],[Total ]]-Rendiciones[[#This Row],[Monto ]]</f>
        <v>0</v>
      </c>
      <c r="U648" s="72"/>
    </row>
    <row r="649" spans="4:21" x14ac:dyDescent="0.3">
      <c r="D649" s="138"/>
      <c r="F649" s="11" t="str">
        <f>IF(Rendiciones[[#This Row],[Fecha ]]&lt;&gt;"",TEXT(Rendiciones[[#This Row],[Fecha ]],"MMMM"),"")</f>
        <v/>
      </c>
      <c r="G649" s="11"/>
      <c r="L649" s="20"/>
      <c r="M649" s="20"/>
      <c r="N649" s="20">
        <f>Rendiciones[[#This Row],[Monto Neto ]]*19%</f>
        <v>0</v>
      </c>
      <c r="O649" s="6">
        <f>+Rendiciones[[#This Row],[Monto Neto ]]+Rendiciones[[#This Row],[Monto Exento ]]+Rendiciones[[#This Row],[Iva]]</f>
        <v>0</v>
      </c>
      <c r="Q649" s="138"/>
      <c r="R649" s="20"/>
      <c r="S649" s="20">
        <f>Rendiciones[[#This Row],[Total ]]-Rendiciones[[#This Row],[Monto ]]</f>
        <v>0</v>
      </c>
      <c r="U649" s="72"/>
    </row>
    <row r="650" spans="4:21" x14ac:dyDescent="0.3">
      <c r="D650" s="138"/>
      <c r="F650" s="11" t="str">
        <f>IF(Rendiciones[[#This Row],[Fecha ]]&lt;&gt;"",TEXT(Rendiciones[[#This Row],[Fecha ]],"MMMM"),"")</f>
        <v/>
      </c>
      <c r="G650" s="11"/>
      <c r="L650" s="20"/>
      <c r="M650" s="20"/>
      <c r="N650" s="20">
        <f>Rendiciones[[#This Row],[Monto Neto ]]*19%</f>
        <v>0</v>
      </c>
      <c r="O650" s="6">
        <f>+Rendiciones[[#This Row],[Monto Neto ]]+Rendiciones[[#This Row],[Monto Exento ]]+Rendiciones[[#This Row],[Iva]]</f>
        <v>0</v>
      </c>
      <c r="Q650" s="138"/>
      <c r="R650" s="20"/>
      <c r="S650" s="20">
        <f>Rendiciones[[#This Row],[Total ]]-Rendiciones[[#This Row],[Monto ]]</f>
        <v>0</v>
      </c>
      <c r="U650" s="72"/>
    </row>
    <row r="651" spans="4:21" x14ac:dyDescent="0.3">
      <c r="D651" s="138"/>
      <c r="F651" s="11" t="str">
        <f>IF(Rendiciones[[#This Row],[Fecha ]]&lt;&gt;"",TEXT(Rendiciones[[#This Row],[Fecha ]],"MMMM"),"")</f>
        <v/>
      </c>
      <c r="G651" s="11"/>
      <c r="L651" s="20"/>
      <c r="M651" s="20"/>
      <c r="N651" s="20">
        <f>Rendiciones[[#This Row],[Monto Neto ]]*19%</f>
        <v>0</v>
      </c>
      <c r="O651" s="6">
        <f>+Rendiciones[[#This Row],[Monto Neto ]]+Rendiciones[[#This Row],[Monto Exento ]]+Rendiciones[[#This Row],[Iva]]</f>
        <v>0</v>
      </c>
      <c r="Q651" s="138"/>
      <c r="R651" s="20"/>
      <c r="S651" s="20">
        <f>Rendiciones[[#This Row],[Total ]]-Rendiciones[[#This Row],[Monto ]]</f>
        <v>0</v>
      </c>
      <c r="U651" s="72"/>
    </row>
    <row r="652" spans="4:21" x14ac:dyDescent="0.3">
      <c r="D652" s="138"/>
      <c r="F652" s="11" t="str">
        <f>IF(Rendiciones[[#This Row],[Fecha ]]&lt;&gt;"",TEXT(Rendiciones[[#This Row],[Fecha ]],"MMMM"),"")</f>
        <v/>
      </c>
      <c r="G652" s="11"/>
      <c r="L652" s="20"/>
      <c r="M652" s="20"/>
      <c r="N652" s="20">
        <f>Rendiciones[[#This Row],[Monto Neto ]]*19%</f>
        <v>0</v>
      </c>
      <c r="O652" s="6">
        <f>+Rendiciones[[#This Row],[Monto Neto ]]+Rendiciones[[#This Row],[Monto Exento ]]+Rendiciones[[#This Row],[Iva]]</f>
        <v>0</v>
      </c>
      <c r="Q652" s="138"/>
      <c r="R652" s="20"/>
      <c r="S652" s="20">
        <f>Rendiciones[[#This Row],[Total ]]-Rendiciones[[#This Row],[Monto ]]</f>
        <v>0</v>
      </c>
      <c r="U652" s="72"/>
    </row>
    <row r="653" spans="4:21" x14ac:dyDescent="0.3">
      <c r="D653" s="138"/>
      <c r="F653" s="11" t="str">
        <f>IF(Rendiciones[[#This Row],[Fecha ]]&lt;&gt;"",TEXT(Rendiciones[[#This Row],[Fecha ]],"MMMM"),"")</f>
        <v/>
      </c>
      <c r="G653" s="11"/>
      <c r="L653" s="20"/>
      <c r="M653" s="20"/>
      <c r="N653" s="20">
        <f>Rendiciones[[#This Row],[Monto Neto ]]*19%</f>
        <v>0</v>
      </c>
      <c r="O653" s="6">
        <f>+Rendiciones[[#This Row],[Monto Neto ]]+Rendiciones[[#This Row],[Monto Exento ]]+Rendiciones[[#This Row],[Iva]]</f>
        <v>0</v>
      </c>
      <c r="Q653" s="138"/>
      <c r="R653" s="20"/>
      <c r="S653" s="20">
        <f>Rendiciones[[#This Row],[Total ]]-Rendiciones[[#This Row],[Monto ]]</f>
        <v>0</v>
      </c>
      <c r="U653" s="72"/>
    </row>
    <row r="654" spans="4:21" x14ac:dyDescent="0.3">
      <c r="D654" s="138"/>
      <c r="F654" s="11" t="str">
        <f>IF(Rendiciones[[#This Row],[Fecha ]]&lt;&gt;"",TEXT(Rendiciones[[#This Row],[Fecha ]],"MMMM"),"")</f>
        <v/>
      </c>
      <c r="G654" s="11"/>
      <c r="L654" s="20"/>
      <c r="M654" s="20"/>
      <c r="N654" s="20">
        <f>Rendiciones[[#This Row],[Monto Neto ]]*19%</f>
        <v>0</v>
      </c>
      <c r="O654" s="6">
        <f>+Rendiciones[[#This Row],[Monto Neto ]]+Rendiciones[[#This Row],[Monto Exento ]]+Rendiciones[[#This Row],[Iva]]</f>
        <v>0</v>
      </c>
      <c r="Q654" s="138"/>
      <c r="R654" s="20"/>
      <c r="S654" s="20">
        <f>Rendiciones[[#This Row],[Total ]]-Rendiciones[[#This Row],[Monto ]]</f>
        <v>0</v>
      </c>
      <c r="U654" s="72"/>
    </row>
    <row r="655" spans="4:21" x14ac:dyDescent="0.3">
      <c r="D655" s="138"/>
      <c r="F655" s="11" t="str">
        <f>IF(Rendiciones[[#This Row],[Fecha ]]&lt;&gt;"",TEXT(Rendiciones[[#This Row],[Fecha ]],"MMMM"),"")</f>
        <v/>
      </c>
      <c r="G655" s="11"/>
      <c r="L655" s="20"/>
      <c r="M655" s="20"/>
      <c r="N655" s="20">
        <f>Rendiciones[[#This Row],[Monto Neto ]]*19%</f>
        <v>0</v>
      </c>
      <c r="O655" s="6">
        <f>+Rendiciones[[#This Row],[Monto Neto ]]+Rendiciones[[#This Row],[Monto Exento ]]+Rendiciones[[#This Row],[Iva]]</f>
        <v>0</v>
      </c>
      <c r="Q655" s="138"/>
      <c r="R655" s="20"/>
      <c r="S655" s="20">
        <f>Rendiciones[[#This Row],[Total ]]-Rendiciones[[#This Row],[Monto ]]</f>
        <v>0</v>
      </c>
      <c r="U655" s="72"/>
    </row>
    <row r="656" spans="4:21" x14ac:dyDescent="0.3">
      <c r="D656" s="138"/>
      <c r="F656" s="11" t="str">
        <f>IF(Rendiciones[[#This Row],[Fecha ]]&lt;&gt;"",TEXT(Rendiciones[[#This Row],[Fecha ]],"MMMM"),"")</f>
        <v/>
      </c>
      <c r="G656" s="11"/>
      <c r="L656" s="20"/>
      <c r="M656" s="20"/>
      <c r="N656" s="20">
        <f>Rendiciones[[#This Row],[Monto Neto ]]*19%</f>
        <v>0</v>
      </c>
      <c r="O656" s="6">
        <f>+Rendiciones[[#This Row],[Monto Neto ]]+Rendiciones[[#This Row],[Monto Exento ]]+Rendiciones[[#This Row],[Iva]]</f>
        <v>0</v>
      </c>
      <c r="Q656" s="138"/>
      <c r="R656" s="20"/>
      <c r="S656" s="20">
        <f>Rendiciones[[#This Row],[Total ]]-Rendiciones[[#This Row],[Monto ]]</f>
        <v>0</v>
      </c>
      <c r="U656" s="72"/>
    </row>
    <row r="657" spans="1:21" x14ac:dyDescent="0.3">
      <c r="D657" s="138"/>
      <c r="F657" s="11" t="str">
        <f>IF(Rendiciones[[#This Row],[Fecha ]]&lt;&gt;"",TEXT(Rendiciones[[#This Row],[Fecha ]],"MMMM"),"")</f>
        <v/>
      </c>
      <c r="G657" s="11"/>
      <c r="L657" s="20"/>
      <c r="M657" s="20"/>
      <c r="N657" s="20">
        <f>Rendiciones[[#This Row],[Monto Neto ]]*19%</f>
        <v>0</v>
      </c>
      <c r="O657" s="6">
        <f>+Rendiciones[[#This Row],[Monto Neto ]]+Rendiciones[[#This Row],[Monto Exento ]]+Rendiciones[[#This Row],[Iva]]</f>
        <v>0</v>
      </c>
      <c r="Q657" s="138"/>
      <c r="R657" s="20"/>
      <c r="S657" s="20">
        <f>Rendiciones[[#This Row],[Total ]]-Rendiciones[[#This Row],[Monto ]]</f>
        <v>0</v>
      </c>
      <c r="U657" s="72"/>
    </row>
    <row r="658" spans="1:21" x14ac:dyDescent="0.3">
      <c r="D658" s="138"/>
      <c r="F658" s="11" t="str">
        <f>IF(Rendiciones[[#This Row],[Fecha ]]&lt;&gt;"",TEXT(Rendiciones[[#This Row],[Fecha ]],"MMMM"),"")</f>
        <v/>
      </c>
      <c r="G658" s="11"/>
      <c r="L658" s="20"/>
      <c r="M658" s="20"/>
      <c r="N658" s="20">
        <f>Rendiciones[[#This Row],[Monto Neto ]]*19%</f>
        <v>0</v>
      </c>
      <c r="O658" s="6">
        <f>+Rendiciones[[#This Row],[Monto Neto ]]+Rendiciones[[#This Row],[Monto Exento ]]+Rendiciones[[#This Row],[Iva]]</f>
        <v>0</v>
      </c>
      <c r="Q658" s="138"/>
      <c r="R658" s="20"/>
      <c r="S658" s="20">
        <f>Rendiciones[[#This Row],[Total ]]-Rendiciones[[#This Row],[Monto ]]</f>
        <v>0</v>
      </c>
      <c r="U658" s="72"/>
    </row>
    <row r="659" spans="1:21" x14ac:dyDescent="0.3">
      <c r="D659" s="138"/>
      <c r="F659" s="11" t="str">
        <f>IF(Rendiciones[[#This Row],[Fecha ]]&lt;&gt;"",TEXT(Rendiciones[[#This Row],[Fecha ]],"MMMM"),"")</f>
        <v/>
      </c>
      <c r="G659" s="11"/>
      <c r="L659" s="20"/>
      <c r="M659" s="20"/>
      <c r="N659" s="20">
        <f>Rendiciones[[#This Row],[Monto Neto ]]*19%</f>
        <v>0</v>
      </c>
      <c r="O659" s="6">
        <f>+Rendiciones[[#This Row],[Monto Neto ]]+Rendiciones[[#This Row],[Monto Exento ]]+Rendiciones[[#This Row],[Iva]]</f>
        <v>0</v>
      </c>
      <c r="Q659" s="138"/>
      <c r="R659" s="20"/>
      <c r="S659" s="20">
        <f>Rendiciones[[#This Row],[Total ]]-Rendiciones[[#This Row],[Monto ]]</f>
        <v>0</v>
      </c>
      <c r="U659" s="72"/>
    </row>
    <row r="660" spans="1:21" ht="20.5" thickBot="1" x14ac:dyDescent="0.45">
      <c r="B660" s="13"/>
      <c r="C660" s="13"/>
      <c r="D660" s="14"/>
      <c r="E660" s="13"/>
      <c r="F660" s="15"/>
      <c r="G660" s="16"/>
      <c r="H660" s="13"/>
      <c r="I660" s="13"/>
      <c r="J660" s="18"/>
      <c r="K660" s="18"/>
      <c r="L660" s="17"/>
      <c r="M660" s="17"/>
      <c r="N660" s="17"/>
      <c r="O660" s="19">
        <f>SUBTOTAL(109,Rendiciones[[Total ]])</f>
        <v>45131303.890500009</v>
      </c>
      <c r="P660" s="14"/>
      <c r="Q660" s="14"/>
      <c r="R660" s="19" t="s">
        <v>111</v>
      </c>
      <c r="S660" s="21">
        <f>SUBTOTAL(109,Rendiciones[[Saldo Fondo ]])</f>
        <v>14185.202999999965</v>
      </c>
      <c r="T660" s="108"/>
    </row>
    <row r="661" spans="1:21" ht="14.5" thickTop="1" x14ac:dyDescent="0.3">
      <c r="H661" s="12" t="s">
        <v>87</v>
      </c>
    </row>
    <row r="662" spans="1:21" x14ac:dyDescent="0.3">
      <c r="I662" s="12" t="s">
        <v>430</v>
      </c>
      <c r="M662" s="5" t="s">
        <v>87</v>
      </c>
      <c r="O662" s="217"/>
    </row>
    <row r="663" spans="1:21" x14ac:dyDescent="0.3">
      <c r="A663" t="s">
        <v>87</v>
      </c>
      <c r="B663" s="164"/>
      <c r="C663" s="12" t="s">
        <v>87</v>
      </c>
      <c r="I663" s="12" t="s">
        <v>87</v>
      </c>
      <c r="O663" s="6"/>
      <c r="R663" s="5">
        <v>354697</v>
      </c>
    </row>
    <row r="664" spans="1:21" x14ac:dyDescent="0.3">
      <c r="B664" s="141"/>
      <c r="I664" s="12" t="s">
        <v>87</v>
      </c>
      <c r="O664" s="6" t="s">
        <v>87</v>
      </c>
      <c r="R664" s="5">
        <f>+R663-R516</f>
        <v>-36991</v>
      </c>
    </row>
    <row r="665" spans="1:21" x14ac:dyDescent="0.3">
      <c r="I665" s="12" t="s">
        <v>87</v>
      </c>
      <c r="N665" s="5" t="s">
        <v>87</v>
      </c>
      <c r="O665" s="6"/>
      <c r="R665" s="5">
        <f>+R664-R512</f>
        <v>-471991</v>
      </c>
    </row>
    <row r="666" spans="1:21" x14ac:dyDescent="0.3">
      <c r="L666" s="5" t="s">
        <v>87</v>
      </c>
      <c r="O666" s="6"/>
    </row>
    <row r="667" spans="1:21" x14ac:dyDescent="0.3">
      <c r="I667" s="12" t="s">
        <v>357</v>
      </c>
      <c r="M667" s="5" t="s">
        <v>87</v>
      </c>
      <c r="P667" t="s">
        <v>87</v>
      </c>
    </row>
    <row r="668" spans="1:21" x14ac:dyDescent="0.3">
      <c r="O668" s="6"/>
      <c r="P668" t="s">
        <v>87</v>
      </c>
    </row>
    <row r="669" spans="1:21" x14ac:dyDescent="0.3">
      <c r="M669" s="5" t="s">
        <v>87</v>
      </c>
    </row>
    <row r="670" spans="1:21" x14ac:dyDescent="0.3">
      <c r="L670" s="5" t="s">
        <v>87</v>
      </c>
      <c r="O670" s="6"/>
    </row>
    <row r="672" spans="1:21" x14ac:dyDescent="0.3">
      <c r="O672" s="6"/>
    </row>
  </sheetData>
  <phoneticPr fontId="3" type="noConversion"/>
  <conditionalFormatting sqref="O660">
    <cfRule type="duplicateValues" dxfId="121" priority="1"/>
  </conditionalFormatting>
  <conditionalFormatting sqref="R1:R581 R583:R595 R599:R1048576">
    <cfRule type="duplicateValues" dxfId="120" priority="5"/>
  </conditionalFormatting>
  <conditionalFormatting sqref="S1:S1048576">
    <cfRule type="cellIs" dxfId="119" priority="4" operator="lessThan">
      <formula>0</formula>
    </cfRule>
  </conditionalFormatting>
  <pageMargins left="0.25" right="0.25" top="0.75" bottom="0.75" header="0.3" footer="0.3"/>
  <pageSetup scale="38" fitToHeight="0" orientation="landscape" horizontalDpi="1200" verticalDpi="1200" r:id="rId1"/>
  <ignoredErrors>
    <ignoredError sqref="M19:M30 J147:J152" calculatedColumn="1"/>
  </ignoredErrors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93CEE59E-BDF9-435C-97AB-3F58140F4AFD}">
          <x14:formula1>
            <xm:f>Listas!$F$4:$F$65</xm:f>
          </x14:formula1>
          <xm:sqref>I7:I8</xm:sqref>
        </x14:dataValidation>
        <x14:dataValidation type="list" allowBlank="1" showInputMessage="1" showErrorMessage="1" xr:uid="{816B23B4-0FBC-488E-8398-CE996CED3F78}">
          <x14:formula1>
            <xm:f>Listas!$F$4:$F$63</xm:f>
          </x14:formula1>
          <xm:sqref>I9:I12</xm:sqref>
        </x14:dataValidation>
        <x14:dataValidation type="list" allowBlank="1" showInputMessage="1" showErrorMessage="1" xr:uid="{3153E908-56E6-400D-B03D-DF65BA764E4F}">
          <x14:formula1>
            <xm:f>Listas!$F$4:$F$70</xm:f>
          </x14:formula1>
          <xm:sqref>I13:I659</xm:sqref>
        </x14:dataValidation>
        <x14:dataValidation type="list" allowBlank="1" showInputMessage="1" showErrorMessage="1" xr:uid="{ECBF961A-9C84-429B-91D1-128801CC95B5}">
          <x14:formula1>
            <xm:f>Listas!$E$4:$E$13</xm:f>
          </x14:formula1>
          <xm:sqref>H5:H659</xm:sqref>
        </x14:dataValidation>
        <x14:dataValidation type="list" allowBlank="1" showInputMessage="1" showErrorMessage="1" xr:uid="{492874F6-0B4A-4216-A46C-507462AF6235}">
          <x14:formula1>
            <xm:f>Listas!$I$3:$I$14</xm:f>
          </x14:formula1>
          <xm:sqref>P5:P659</xm:sqref>
        </x14:dataValidation>
        <x14:dataValidation type="list" allowBlank="1" showInputMessage="1" showErrorMessage="1" xr:uid="{8638E1BF-262E-499D-BA85-988B473D6832}">
          <x14:formula1>
            <xm:f>Listas!$D$4:$D$14</xm:f>
          </x14:formula1>
          <xm:sqref>G5:G659</xm:sqref>
        </x14:dataValidation>
        <x14:dataValidation type="list" allowBlank="1" showInputMessage="1" showErrorMessage="1" xr:uid="{58E3274F-9925-44E4-9176-77727BBBDFB6}">
          <x14:formula1>
            <xm:f>Listas!$B$4:$B$36</xm:f>
          </x14:formula1>
          <xm:sqref>B5:B659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AD9F7-3784-4822-B88C-9E73A9007FC4}">
  <sheetPr codeName="Hoja11"/>
  <dimension ref="B2:P65"/>
  <sheetViews>
    <sheetView showGridLines="0" zoomScale="85" zoomScaleNormal="85" workbookViewId="0">
      <selection activeCell="B30" sqref="B30"/>
    </sheetView>
  </sheetViews>
  <sheetFormatPr baseColWidth="10" defaultRowHeight="14" x14ac:dyDescent="0.3"/>
  <cols>
    <col min="2" max="2" width="26.4140625" customWidth="1"/>
    <col min="3" max="3" width="5.4140625" customWidth="1"/>
    <col min="4" max="4" width="13.6640625" customWidth="1"/>
    <col min="5" max="5" width="26.4140625" customWidth="1"/>
    <col min="6" max="6" width="29.1640625" customWidth="1"/>
    <col min="7" max="7" width="18.6640625" style="12" customWidth="1"/>
    <col min="8" max="8" width="30.08203125" customWidth="1"/>
    <col min="9" max="9" width="21.6640625" style="1" customWidth="1"/>
    <col min="13" max="13" width="14.6640625" customWidth="1"/>
    <col min="14" max="14" width="11.58203125" customWidth="1"/>
    <col min="16" max="16" width="27.5" bestFit="1" customWidth="1"/>
  </cols>
  <sheetData>
    <row r="2" spans="2:16" x14ac:dyDescent="0.3">
      <c r="K2" t="s">
        <v>361</v>
      </c>
      <c r="L2" t="s">
        <v>362</v>
      </c>
      <c r="M2" t="s">
        <v>363</v>
      </c>
      <c r="N2" t="s">
        <v>367</v>
      </c>
    </row>
    <row r="3" spans="2:16" x14ac:dyDescent="0.3">
      <c r="B3" s="3" t="s">
        <v>90</v>
      </c>
      <c r="C3" s="4"/>
      <c r="D3" s="3" t="s">
        <v>103</v>
      </c>
      <c r="E3" s="3" t="s">
        <v>3</v>
      </c>
      <c r="F3" s="3" t="s">
        <v>4</v>
      </c>
      <c r="G3" s="3" t="s">
        <v>72</v>
      </c>
      <c r="H3" s="3" t="s">
        <v>77</v>
      </c>
      <c r="I3" s="3" t="s">
        <v>79</v>
      </c>
    </row>
    <row r="4" spans="2:16" x14ac:dyDescent="0.3">
      <c r="B4" t="s">
        <v>18</v>
      </c>
      <c r="D4" t="s">
        <v>427</v>
      </c>
      <c r="E4" t="s">
        <v>5</v>
      </c>
      <c r="F4" t="s">
        <v>25</v>
      </c>
      <c r="G4" s="12" t="s">
        <v>68</v>
      </c>
      <c r="H4" t="s">
        <v>73</v>
      </c>
      <c r="I4" s="1" t="s">
        <v>376</v>
      </c>
    </row>
    <row r="5" spans="2:16" x14ac:dyDescent="0.3">
      <c r="B5" t="s">
        <v>19</v>
      </c>
      <c r="D5" t="s">
        <v>503</v>
      </c>
      <c r="E5" t="s">
        <v>6</v>
      </c>
      <c r="F5" t="s">
        <v>502</v>
      </c>
      <c r="G5" s="12" t="s">
        <v>69</v>
      </c>
      <c r="H5" t="s">
        <v>74</v>
      </c>
      <c r="I5" s="1" t="s">
        <v>89</v>
      </c>
      <c r="P5" s="172" t="s">
        <v>260</v>
      </c>
    </row>
    <row r="6" spans="2:16" x14ac:dyDescent="0.3">
      <c r="B6" t="s">
        <v>20</v>
      </c>
      <c r="D6" t="s">
        <v>428</v>
      </c>
      <c r="E6" t="s">
        <v>7</v>
      </c>
      <c r="F6" t="s">
        <v>54</v>
      </c>
      <c r="G6" s="12" t="s">
        <v>70</v>
      </c>
      <c r="H6" t="s">
        <v>75</v>
      </c>
      <c r="I6" s="1" t="s">
        <v>110</v>
      </c>
      <c r="P6" s="172" t="s">
        <v>448</v>
      </c>
    </row>
    <row r="7" spans="2:16" x14ac:dyDescent="0.3">
      <c r="B7" t="s">
        <v>67</v>
      </c>
      <c r="D7" t="s">
        <v>104</v>
      </c>
      <c r="E7" t="s">
        <v>8</v>
      </c>
      <c r="F7" t="s">
        <v>26</v>
      </c>
      <c r="G7" s="12" t="s">
        <v>71</v>
      </c>
      <c r="H7" t="s">
        <v>76</v>
      </c>
      <c r="I7" s="1" t="s">
        <v>112</v>
      </c>
      <c r="P7" s="172" t="s">
        <v>262</v>
      </c>
    </row>
    <row r="8" spans="2:16" x14ac:dyDescent="0.3">
      <c r="B8" t="s">
        <v>21</v>
      </c>
      <c r="D8" t="s">
        <v>105</v>
      </c>
      <c r="E8" t="s">
        <v>9</v>
      </c>
      <c r="F8" t="s">
        <v>27</v>
      </c>
      <c r="I8" s="1" t="s">
        <v>444</v>
      </c>
      <c r="P8" s="172" t="s">
        <v>7</v>
      </c>
    </row>
    <row r="9" spans="2:16" x14ac:dyDescent="0.3">
      <c r="B9" t="s">
        <v>113</v>
      </c>
      <c r="D9" t="s">
        <v>106</v>
      </c>
      <c r="E9" t="s">
        <v>10</v>
      </c>
      <c r="F9" t="s">
        <v>55</v>
      </c>
      <c r="I9" s="1" t="s">
        <v>477</v>
      </c>
      <c r="P9" s="172" t="s">
        <v>266</v>
      </c>
    </row>
    <row r="10" spans="2:16" x14ac:dyDescent="0.3">
      <c r="B10" t="s">
        <v>16</v>
      </c>
      <c r="D10" t="s">
        <v>107</v>
      </c>
      <c r="E10" t="s">
        <v>11</v>
      </c>
      <c r="F10" t="s">
        <v>56</v>
      </c>
      <c r="P10" s="172" t="s">
        <v>93</v>
      </c>
    </row>
    <row r="11" spans="2:16" x14ac:dyDescent="0.3">
      <c r="B11" t="s">
        <v>17</v>
      </c>
      <c r="D11" t="s">
        <v>108</v>
      </c>
      <c r="E11" t="s">
        <v>93</v>
      </c>
      <c r="F11" t="s">
        <v>28</v>
      </c>
      <c r="P11" s="172" t="s">
        <v>446</v>
      </c>
    </row>
    <row r="12" spans="2:16" x14ac:dyDescent="0.3">
      <c r="B12" t="s">
        <v>94</v>
      </c>
      <c r="D12" t="s">
        <v>559</v>
      </c>
      <c r="E12" t="s">
        <v>102</v>
      </c>
      <c r="F12" t="s">
        <v>29</v>
      </c>
      <c r="P12" s="172" t="s">
        <v>265</v>
      </c>
    </row>
    <row r="13" spans="2:16" x14ac:dyDescent="0.3">
      <c r="B13" t="s">
        <v>96</v>
      </c>
      <c r="E13" t="s">
        <v>458</v>
      </c>
      <c r="F13" t="s">
        <v>436</v>
      </c>
      <c r="P13" s="172" t="s">
        <v>449</v>
      </c>
    </row>
    <row r="14" spans="2:16" ht="14.5" thickBot="1" x14ac:dyDescent="0.35">
      <c r="B14" t="s">
        <v>100</v>
      </c>
      <c r="E14" t="s">
        <v>476</v>
      </c>
      <c r="F14" t="s">
        <v>30</v>
      </c>
      <c r="P14" s="174"/>
    </row>
    <row r="15" spans="2:16" x14ac:dyDescent="0.3">
      <c r="B15" t="s">
        <v>117</v>
      </c>
      <c r="F15" t="s">
        <v>31</v>
      </c>
      <c r="P15" s="1"/>
    </row>
    <row r="16" spans="2:16" x14ac:dyDescent="0.3">
      <c r="B16" t="s">
        <v>403</v>
      </c>
      <c r="F16" t="s">
        <v>32</v>
      </c>
      <c r="P16" s="1"/>
    </row>
    <row r="17" spans="2:16" x14ac:dyDescent="0.3">
      <c r="B17" t="s">
        <v>435</v>
      </c>
      <c r="F17" t="s">
        <v>429</v>
      </c>
      <c r="P17" s="168"/>
    </row>
    <row r="18" spans="2:16" x14ac:dyDescent="0.3">
      <c r="B18" t="s">
        <v>445</v>
      </c>
      <c r="F18" t="s">
        <v>57</v>
      </c>
      <c r="P18" s="1"/>
    </row>
    <row r="19" spans="2:16" x14ac:dyDescent="0.3">
      <c r="B19" t="s">
        <v>241</v>
      </c>
      <c r="F19" t="s">
        <v>500</v>
      </c>
      <c r="P19" s="1"/>
    </row>
    <row r="20" spans="2:16" x14ac:dyDescent="0.3">
      <c r="B20" t="s">
        <v>467</v>
      </c>
      <c r="F20" t="s">
        <v>52</v>
      </c>
      <c r="P20" s="1"/>
    </row>
    <row r="21" spans="2:16" x14ac:dyDescent="0.3">
      <c r="B21" t="s">
        <v>468</v>
      </c>
      <c r="F21" t="s">
        <v>375</v>
      </c>
      <c r="P21" s="1"/>
    </row>
    <row r="22" spans="2:16" x14ac:dyDescent="0.3">
      <c r="B22" t="s">
        <v>473</v>
      </c>
      <c r="F22" t="s">
        <v>33</v>
      </c>
      <c r="P22" s="168"/>
    </row>
    <row r="23" spans="2:16" x14ac:dyDescent="0.3">
      <c r="B23" t="s">
        <v>499</v>
      </c>
      <c r="F23" t="s">
        <v>34</v>
      </c>
      <c r="P23" s="1"/>
    </row>
    <row r="24" spans="2:16" x14ac:dyDescent="0.3">
      <c r="B24" t="s">
        <v>501</v>
      </c>
      <c r="F24" t="s">
        <v>58</v>
      </c>
    </row>
    <row r="25" spans="2:16" x14ac:dyDescent="0.3">
      <c r="B25" t="s">
        <v>509</v>
      </c>
      <c r="F25" t="s">
        <v>35</v>
      </c>
    </row>
    <row r="26" spans="2:16" x14ac:dyDescent="0.3">
      <c r="B26" t="s">
        <v>519</v>
      </c>
      <c r="F26" t="s">
        <v>59</v>
      </c>
    </row>
    <row r="27" spans="2:16" x14ac:dyDescent="0.3">
      <c r="B27" t="s">
        <v>557</v>
      </c>
      <c r="F27" t="s">
        <v>36</v>
      </c>
    </row>
    <row r="28" spans="2:16" x14ac:dyDescent="0.3">
      <c r="B28" t="s">
        <v>566</v>
      </c>
      <c r="F28" t="s">
        <v>37</v>
      </c>
    </row>
    <row r="29" spans="2:16" x14ac:dyDescent="0.3">
      <c r="B29" t="s">
        <v>578</v>
      </c>
      <c r="F29" t="s">
        <v>520</v>
      </c>
    </row>
    <row r="30" spans="2:16" x14ac:dyDescent="0.3">
      <c r="B30" t="s">
        <v>580</v>
      </c>
      <c r="F30" t="s">
        <v>38</v>
      </c>
    </row>
    <row r="31" spans="2:16" x14ac:dyDescent="0.3">
      <c r="F31" t="s">
        <v>39</v>
      </c>
    </row>
    <row r="32" spans="2:16" x14ac:dyDescent="0.3">
      <c r="F32" t="s">
        <v>40</v>
      </c>
    </row>
    <row r="33" spans="6:6" x14ac:dyDescent="0.3">
      <c r="F33" t="s">
        <v>41</v>
      </c>
    </row>
    <row r="34" spans="6:6" x14ac:dyDescent="0.3">
      <c r="F34" t="s">
        <v>60</v>
      </c>
    </row>
    <row r="35" spans="6:6" x14ac:dyDescent="0.3">
      <c r="F35" t="s">
        <v>42</v>
      </c>
    </row>
    <row r="36" spans="6:6" x14ac:dyDescent="0.3">
      <c r="F36" t="s">
        <v>61</v>
      </c>
    </row>
    <row r="37" spans="6:6" x14ac:dyDescent="0.3">
      <c r="F37" t="s">
        <v>62</v>
      </c>
    </row>
    <row r="38" spans="6:6" x14ac:dyDescent="0.3">
      <c r="F38" t="s">
        <v>43</v>
      </c>
    </row>
    <row r="39" spans="6:6" x14ac:dyDescent="0.3">
      <c r="F39" t="s">
        <v>63</v>
      </c>
    </row>
    <row r="40" spans="6:6" x14ac:dyDescent="0.3">
      <c r="F40" t="s">
        <v>44</v>
      </c>
    </row>
    <row r="41" spans="6:6" x14ac:dyDescent="0.3">
      <c r="F41" t="s">
        <v>45</v>
      </c>
    </row>
    <row r="42" spans="6:6" x14ac:dyDescent="0.3">
      <c r="F42" t="s">
        <v>46</v>
      </c>
    </row>
    <row r="43" spans="6:6" x14ac:dyDescent="0.3">
      <c r="F43" t="s">
        <v>98</v>
      </c>
    </row>
    <row r="44" spans="6:6" x14ac:dyDescent="0.3">
      <c r="F44" t="s">
        <v>47</v>
      </c>
    </row>
    <row r="45" spans="6:6" x14ac:dyDescent="0.3">
      <c r="F45" t="s">
        <v>48</v>
      </c>
    </row>
    <row r="46" spans="6:6" x14ac:dyDescent="0.3">
      <c r="F46" t="s">
        <v>49</v>
      </c>
    </row>
    <row r="47" spans="6:6" x14ac:dyDescent="0.3">
      <c r="F47" t="s">
        <v>50</v>
      </c>
    </row>
    <row r="48" spans="6:6" x14ac:dyDescent="0.3">
      <c r="F48" t="s">
        <v>64</v>
      </c>
    </row>
    <row r="49" spans="6:6" x14ac:dyDescent="0.3">
      <c r="F49" t="s">
        <v>65</v>
      </c>
    </row>
    <row r="50" spans="6:6" x14ac:dyDescent="0.3">
      <c r="F50" t="s">
        <v>66</v>
      </c>
    </row>
    <row r="51" spans="6:6" x14ac:dyDescent="0.3">
      <c r="F51" t="s">
        <v>51</v>
      </c>
    </row>
    <row r="52" spans="6:6" x14ac:dyDescent="0.3">
      <c r="F52" t="s">
        <v>53</v>
      </c>
    </row>
    <row r="53" spans="6:6" x14ac:dyDescent="0.3">
      <c r="F53" t="s">
        <v>91</v>
      </c>
    </row>
    <row r="54" spans="6:6" x14ac:dyDescent="0.3">
      <c r="F54" t="s">
        <v>92</v>
      </c>
    </row>
    <row r="55" spans="6:6" x14ac:dyDescent="0.3">
      <c r="F55" t="s">
        <v>95</v>
      </c>
    </row>
    <row r="56" spans="6:6" x14ac:dyDescent="0.3">
      <c r="F56" t="s">
        <v>97</v>
      </c>
    </row>
    <row r="57" spans="6:6" x14ac:dyDescent="0.3">
      <c r="F57" t="s">
        <v>101</v>
      </c>
    </row>
    <row r="58" spans="6:6" x14ac:dyDescent="0.3">
      <c r="F58" t="s">
        <v>109</v>
      </c>
    </row>
    <row r="59" spans="6:6" x14ac:dyDescent="0.3">
      <c r="F59" t="s">
        <v>404</v>
      </c>
    </row>
    <row r="60" spans="6:6" x14ac:dyDescent="0.3">
      <c r="F60" t="s">
        <v>434</v>
      </c>
    </row>
    <row r="61" spans="6:6" x14ac:dyDescent="0.3">
      <c r="F61" t="s">
        <v>459</v>
      </c>
    </row>
    <row r="62" spans="6:6" x14ac:dyDescent="0.3">
      <c r="F62" t="s">
        <v>475</v>
      </c>
    </row>
    <row r="63" spans="6:6" x14ac:dyDescent="0.3">
      <c r="F63" t="s">
        <v>504</v>
      </c>
    </row>
    <row r="64" spans="6:6" x14ac:dyDescent="0.3">
      <c r="F64" t="s">
        <v>505</v>
      </c>
    </row>
    <row r="65" spans="6:6" x14ac:dyDescent="0.3">
      <c r="F65" t="s">
        <v>563</v>
      </c>
    </row>
  </sheetData>
  <conditionalFormatting sqref="B1:B9 B35:B1048576 B12:B30">
    <cfRule type="duplicateValues" dxfId="118" priority="104"/>
  </conditionalFormatting>
  <conditionalFormatting sqref="B10:B12">
    <cfRule type="duplicateValues" dxfId="117" priority="102"/>
  </conditionalFormatting>
  <conditionalFormatting sqref="D3">
    <cfRule type="duplicateValues" dxfId="116" priority="2"/>
  </conditionalFormatting>
  <conditionalFormatting sqref="D4 D6:D12">
    <cfRule type="duplicateValues" dxfId="115" priority="1"/>
  </conditionalFormatting>
  <conditionalFormatting sqref="E1:E1048576">
    <cfRule type="duplicateValues" dxfId="114" priority="6"/>
  </conditionalFormatting>
  <conditionalFormatting sqref="F72:F1048576 G4:H7 I4 F1:F65">
    <cfRule type="duplicateValues" dxfId="113" priority="11"/>
  </conditionalFormatting>
  <conditionalFormatting sqref="G3:I3">
    <cfRule type="duplicateValues" dxfId="112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61727-730F-4658-95B8-D2CFEE84EE46}">
  <sheetPr codeName="Hoja12">
    <pageSetUpPr fitToPage="1"/>
  </sheetPr>
  <dimension ref="B1:T121"/>
  <sheetViews>
    <sheetView showGridLines="0" zoomScale="80" zoomScaleNormal="80" workbookViewId="0">
      <selection activeCell="Q19" sqref="Q19"/>
    </sheetView>
  </sheetViews>
  <sheetFormatPr baseColWidth="10" defaultRowHeight="14" x14ac:dyDescent="0.3"/>
  <cols>
    <col min="1" max="1" width="1.08203125" customWidth="1"/>
    <col min="2" max="2" width="21.58203125" bestFit="1" customWidth="1"/>
    <col min="3" max="6" width="11.33203125" bestFit="1" customWidth="1"/>
    <col min="7" max="7" width="4.1640625" customWidth="1"/>
    <col min="8" max="8" width="5.9140625" customWidth="1"/>
    <col min="9" max="9" width="8.08203125" customWidth="1"/>
    <col min="10" max="10" width="14.6640625" customWidth="1"/>
    <col min="11" max="13" width="12.08203125" bestFit="1" customWidth="1"/>
    <col min="14" max="14" width="13.58203125" bestFit="1" customWidth="1"/>
    <col min="15" max="15" width="7.1640625" customWidth="1"/>
    <col min="16" max="16" width="8.1640625" customWidth="1"/>
    <col min="17" max="17" width="10.9140625" bestFit="1" customWidth="1"/>
    <col min="18" max="18" width="5.6640625" customWidth="1"/>
    <col min="19" max="20" width="10.9140625" bestFit="1" customWidth="1"/>
  </cols>
  <sheetData>
    <row r="1" spans="2:20" ht="9.6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20" x14ac:dyDescent="0.3">
      <c r="B2" s="238" t="s">
        <v>354</v>
      </c>
      <c r="C2" s="238"/>
      <c r="D2" s="238"/>
      <c r="E2" s="238"/>
      <c r="F2" s="238"/>
      <c r="G2" s="238"/>
      <c r="H2" s="238"/>
      <c r="I2" s="1"/>
      <c r="J2" s="168"/>
      <c r="K2" s="168"/>
      <c r="L2" s="168"/>
      <c r="M2" s="168"/>
      <c r="N2" s="168"/>
      <c r="O2" s="168"/>
      <c r="P2" s="168"/>
      <c r="Q2" s="1"/>
      <c r="R2" s="1"/>
      <c r="S2" s="1"/>
      <c r="T2" s="1"/>
    </row>
    <row r="3" spans="2:20" x14ac:dyDescent="0.3">
      <c r="B3" s="238" t="s">
        <v>355</v>
      </c>
      <c r="C3" s="238"/>
      <c r="D3" s="238"/>
      <c r="E3" s="238"/>
      <c r="F3" s="238"/>
      <c r="G3" s="238"/>
      <c r="H3" s="238"/>
      <c r="I3" s="1"/>
      <c r="J3" s="168"/>
      <c r="K3" s="168"/>
      <c r="L3" s="168"/>
      <c r="M3" s="168"/>
      <c r="N3" s="168"/>
      <c r="O3" s="168"/>
      <c r="P3" s="168"/>
      <c r="Q3" s="1"/>
      <c r="R3" s="1"/>
      <c r="S3" s="1"/>
      <c r="T3" s="1"/>
    </row>
    <row r="4" spans="2:20" x14ac:dyDescent="0.3">
      <c r="B4" s="1"/>
      <c r="C4" s="1"/>
      <c r="D4" s="1"/>
      <c r="E4" s="1"/>
      <c r="F4" s="1"/>
      <c r="G4" s="1"/>
      <c r="H4" s="1"/>
      <c r="I4" s="1"/>
      <c r="J4" s="1"/>
      <c r="K4" s="169"/>
      <c r="L4" s="1"/>
      <c r="M4" s="1"/>
      <c r="N4" s="1"/>
      <c r="O4" s="1"/>
      <c r="P4" s="1"/>
      <c r="Q4" s="1"/>
      <c r="R4" s="1"/>
      <c r="S4" s="1"/>
      <c r="T4" s="1"/>
    </row>
    <row r="5" spans="2:20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0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2:20" ht="23" x14ac:dyDescent="0.3">
      <c r="B7" s="170" t="s">
        <v>450</v>
      </c>
      <c r="C7" s="200" t="e">
        <f>+C19/GETPIVOTDATA("Cuarter 1 ",$B$25)-1</f>
        <v>#REF!</v>
      </c>
      <c r="D7" s="200" t="e">
        <f>+D19/GETPIVOTDATA("Cuarter 2 ",$B$25)-1</f>
        <v>#REF!</v>
      </c>
      <c r="E7" s="200" t="e">
        <f>+E19/GETPIVOTDATA("Cuarter 3 ",$B$25)-1</f>
        <v>#REF!</v>
      </c>
      <c r="F7" s="200" t="e">
        <f>+F19/GETPIVOTDATA("Cuarter 4 ",$B$25)-1</f>
        <v>#REF!</v>
      </c>
      <c r="G7" s="1"/>
      <c r="H7" s="1"/>
      <c r="I7" s="170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2:20" ht="14.5" thickBot="1" x14ac:dyDescent="0.35">
      <c r="B8" s="168">
        <v>2024</v>
      </c>
      <c r="C8" s="1"/>
      <c r="D8" s="1"/>
      <c r="E8" s="1"/>
      <c r="F8" s="1"/>
      <c r="G8" s="1"/>
      <c r="H8" s="1"/>
      <c r="O8" s="1"/>
    </row>
    <row r="9" spans="2:20" ht="27" customHeight="1" x14ac:dyDescent="0.3">
      <c r="B9" s="189" t="s">
        <v>451</v>
      </c>
      <c r="C9" s="189" t="s">
        <v>351</v>
      </c>
      <c r="D9" s="189" t="s">
        <v>352</v>
      </c>
      <c r="E9" s="189" t="s">
        <v>353</v>
      </c>
      <c r="F9" s="189" t="s">
        <v>378</v>
      </c>
      <c r="G9" s="1"/>
      <c r="H9" s="1"/>
      <c r="I9" s="165" t="s">
        <v>452</v>
      </c>
      <c r="J9" s="165" t="s">
        <v>351</v>
      </c>
      <c r="K9" s="179" t="s">
        <v>352</v>
      </c>
      <c r="L9" s="179" t="s">
        <v>353</v>
      </c>
      <c r="M9" s="180" t="s">
        <v>378</v>
      </c>
      <c r="N9" s="180" t="s">
        <v>461</v>
      </c>
      <c r="O9" s="1"/>
    </row>
    <row r="10" spans="2:20" ht="20" customHeight="1" x14ac:dyDescent="0.3">
      <c r="B10" s="172" t="s">
        <v>260</v>
      </c>
      <c r="C10" s="191" t="e">
        <f>+GETPIVOTDATA("Monto ",'[1]TD Cuarter'!$B$5,"Cuenta","Gastos de Oficina ")</f>
        <v>#REF!</v>
      </c>
      <c r="D10" s="191" t="e">
        <f>+GETPIVOTDATA("Monto ",'[1]TD Cuarter'!$S$5,"Cuenta","Gastos de Oficina ")</f>
        <v>#REF!</v>
      </c>
      <c r="E10" s="191" t="e">
        <f>+GETPIVOTDATA("Monto ",'[1]TD Cuarter'!$AG$5,"Cuenta","Gastos de Oficina ")</f>
        <v>#REF!</v>
      </c>
      <c r="F10" s="191" t="e">
        <f>+GETPIVOTDATA("Monto ",'[1]TD Cuarter'!$AN$5,"Cuenta","Gastos de Oficina ")</f>
        <v>#REF!</v>
      </c>
      <c r="G10" s="173"/>
      <c r="H10" s="1"/>
      <c r="I10" s="166">
        <v>2024</v>
      </c>
      <c r="J10" s="185" t="e">
        <f>+C19</f>
        <v>#REF!</v>
      </c>
      <c r="K10" s="185" t="e">
        <f>+D19</f>
        <v>#REF!</v>
      </c>
      <c r="L10" s="185" t="e">
        <f>+E19</f>
        <v>#REF!</v>
      </c>
      <c r="M10" s="187" t="e">
        <f>+F19</f>
        <v>#REF!</v>
      </c>
      <c r="N10" s="187" t="e">
        <f>SUM(J10:M10)</f>
        <v>#REF!</v>
      </c>
      <c r="O10" s="177" t="e">
        <f>+N10/N11-1</f>
        <v>#REF!</v>
      </c>
      <c r="P10" s="73" t="e">
        <f>+N10/N12-1</f>
        <v>#REF!</v>
      </c>
    </row>
    <row r="11" spans="2:20" ht="20" customHeight="1" x14ac:dyDescent="0.3">
      <c r="B11" s="172" t="s">
        <v>448</v>
      </c>
      <c r="C11" s="191" t="e">
        <f>+GETPIVOTDATA("Monto ",'[1]TD Cuarter'!$B$5,"Cuenta","Gastos Operacionales ")</f>
        <v>#REF!</v>
      </c>
      <c r="D11" s="191" t="e">
        <f>+GETPIVOTDATA("Monto ",'[1]TD Cuarter'!$S$5,"Cuenta","Gastos Operacionales ")</f>
        <v>#REF!</v>
      </c>
      <c r="E11" s="191" t="e">
        <f>+GETPIVOTDATA("Monto ",'[1]TD Cuarter'!$AG$5,"Cuenta","Gastos Operacionales ")</f>
        <v>#REF!</v>
      </c>
      <c r="F11" s="191" t="e">
        <f>+GETPIVOTDATA("Monto ",'[1]TD Cuarter'!$AN$5,"Cuenta","Gastos Operacionales ")</f>
        <v>#REF!</v>
      </c>
      <c r="G11" s="173"/>
      <c r="H11" s="1"/>
      <c r="I11" s="166">
        <v>2023</v>
      </c>
      <c r="J11" s="185">
        <f>+GETPIVOTDATA("Cuarter 1 ",$B$25)</f>
        <v>293724032.63789201</v>
      </c>
      <c r="K11" s="185">
        <f>+GETPIVOTDATA("Cuarter 2 ",$B$25)</f>
        <v>325378242.89011943</v>
      </c>
      <c r="L11" s="185">
        <f>+GETPIVOTDATA("Cuarter 3 ",$B$25)</f>
        <v>316243036.133968</v>
      </c>
      <c r="M11" s="187">
        <f>+GETPIVOTDATA("Cuarter 4 ",$B$25)</f>
        <v>306979301.90308797</v>
      </c>
      <c r="N11" s="187">
        <f>SUM(J11:M11)</f>
        <v>1242324613.5650673</v>
      </c>
      <c r="O11" s="177">
        <f>+N11/N12-1</f>
        <v>7.2363844668648758E-2</v>
      </c>
    </row>
    <row r="12" spans="2:20" ht="20" customHeight="1" x14ac:dyDescent="0.3">
      <c r="B12" s="172" t="s">
        <v>262</v>
      </c>
      <c r="C12" s="191">
        <v>0</v>
      </c>
      <c r="D12" s="191" t="e">
        <f>+GETPIVOTDATA("Monto ",'[1]TD Cuarter'!$S$5,"Cuenta","Gastos de Viaje ")</f>
        <v>#REF!</v>
      </c>
      <c r="E12" s="191" t="e">
        <f>+GETPIVOTDATA("Monto ",'[1]TD Cuarter'!$AG$5,"Cuenta","Gastos de Viaje ")</f>
        <v>#REF!</v>
      </c>
      <c r="F12" s="191">
        <v>0</v>
      </c>
      <c r="G12" s="173"/>
      <c r="H12" s="1"/>
      <c r="I12" s="167">
        <v>2022</v>
      </c>
      <c r="J12" s="186">
        <f>+GETPIVOTDATA("Cuarter 1 ",$B$40)</f>
        <v>268380806.08078825</v>
      </c>
      <c r="K12" s="186">
        <f>+GETPIVOTDATA("Cuarter 2 ",$B$40)</f>
        <v>316174777.68635929</v>
      </c>
      <c r="L12" s="186">
        <f>+GETPIVOTDATA("Cuarter 3 ",$B$40)</f>
        <v>239239301.19999999</v>
      </c>
      <c r="M12" s="188">
        <f>+GETPIVOTDATA(" cuarter 4",$B$40)</f>
        <v>334696815.16000003</v>
      </c>
      <c r="N12" s="188">
        <f>SUM(J12:M12)</f>
        <v>1158491700.1271477</v>
      </c>
      <c r="O12" s="1"/>
    </row>
    <row r="13" spans="2:20" x14ac:dyDescent="0.3">
      <c r="B13" s="172" t="s">
        <v>7</v>
      </c>
      <c r="C13" s="191" t="e">
        <f>+GETPIVOTDATA("Monto ",'[1]TD Cuarter'!$B$5,"Cuenta","Siga Sonriendo ")</f>
        <v>#REF!</v>
      </c>
      <c r="D13" s="191" t="e">
        <f>+GETPIVOTDATA("Monto ",'[1]TD Cuarter'!$S$5,"Cuenta","Siga Sonriendo ")</f>
        <v>#REF!</v>
      </c>
      <c r="E13" s="191" t="e">
        <f>+GETPIVOTDATA("Monto ",'[1]TD Cuarter'!$AG$5,"Cuenta","Siga Sonriendo ")</f>
        <v>#REF!</v>
      </c>
      <c r="F13" s="191" t="e">
        <f>+GETPIVOTDATA("Monto ",'[1]TD Cuarter'!$AN$5,"Cuenta","Siga Sonriendo ")</f>
        <v>#REF!</v>
      </c>
      <c r="G13" s="173"/>
      <c r="H13" s="1"/>
      <c r="I13" s="1"/>
      <c r="J13" s="1"/>
      <c r="K13" s="1"/>
      <c r="L13" s="1"/>
      <c r="M13" s="1"/>
      <c r="O13" s="1"/>
    </row>
    <row r="14" spans="2:20" x14ac:dyDescent="0.3">
      <c r="B14" s="172" t="s">
        <v>447</v>
      </c>
      <c r="C14" s="191" t="e">
        <f>+GETPIVOTDATA("Monto ",'[1]TD Cuarter'!$B$5,"Cuenta","Gastos Financieros")</f>
        <v>#REF!</v>
      </c>
      <c r="D14" s="191" t="e">
        <f>+GETPIVOTDATA("Monto ",'[1]TD Cuarter'!$S$5,"Cuenta","Gastos Financieros")</f>
        <v>#REF!</v>
      </c>
      <c r="E14" s="191" t="e">
        <f>+GETPIVOTDATA("Monto ",'[1]TD Cuarter'!$AG$5,"Cuenta","Gastos Financieros")</f>
        <v>#REF!</v>
      </c>
      <c r="F14" s="191" t="e">
        <f>+GETPIVOTDATA("Monto ",'[1]TD Cuarter'!$AN$5,"Cuenta","Gastos Financieros")</f>
        <v>#REF!</v>
      </c>
      <c r="G14" s="173"/>
      <c r="H14" s="1"/>
      <c r="O14" s="1"/>
    </row>
    <row r="15" spans="2:20" x14ac:dyDescent="0.3">
      <c r="B15" s="172" t="s">
        <v>93</v>
      </c>
      <c r="C15" s="191" t="e">
        <f>+GETPIVOTDATA("Monto ",'[1]TD Cuarter'!$B$5,"Cuenta","Gastos de Personal ")</f>
        <v>#REF!</v>
      </c>
      <c r="D15" s="191" t="e">
        <f>+GETPIVOTDATA("Monto ",'[1]TD Cuarter'!$S$5,"Cuenta","Gastos de Personal ")</f>
        <v>#REF!</v>
      </c>
      <c r="E15" s="191" t="e">
        <f>+GETPIVOTDATA("Monto ",'[1]TD Cuarter'!$AG$5,"Cuenta","Gastos de Personal ")</f>
        <v>#REF!</v>
      </c>
      <c r="F15" s="191" t="e">
        <f>+GETPIVOTDATA("Monto ",'[1]TD Cuarter'!$AN$5,"Cuenta","Gastos de Personal ")</f>
        <v>#REF!</v>
      </c>
      <c r="G15" s="173"/>
      <c r="H15" s="1"/>
      <c r="O15" s="1"/>
    </row>
    <row r="16" spans="2:20" x14ac:dyDescent="0.3">
      <c r="B16" s="172" t="s">
        <v>446</v>
      </c>
      <c r="C16" s="191" t="e">
        <f>+GETPIVOTDATA("Monto ",'[1]TD Cuarter'!$B$5,"Cuenta","Gastos de Marketing y Publicidad ")</f>
        <v>#REF!</v>
      </c>
      <c r="D16" s="191" t="e">
        <f>+GETPIVOTDATA("Monto ",'[1]TD Cuarter'!$S$5,"Cuenta","Gastos de Marketing y Publicidad ")</f>
        <v>#REF!</v>
      </c>
      <c r="E16" s="191" t="e">
        <f>+GETPIVOTDATA("Monto ",'[1]TD Cuarter'!$AG$5,"Cuenta","Gastos de Marketing y Publicidad ")</f>
        <v>#REF!</v>
      </c>
      <c r="F16" s="191">
        <v>0</v>
      </c>
      <c r="G16" s="173"/>
      <c r="H16" s="1"/>
      <c r="I16" t="s">
        <v>456</v>
      </c>
      <c r="O16" s="1"/>
    </row>
    <row r="17" spans="2:20" x14ac:dyDescent="0.3">
      <c r="B17" s="172" t="s">
        <v>265</v>
      </c>
      <c r="C17" s="191"/>
      <c r="D17" s="191"/>
      <c r="E17" s="191"/>
      <c r="F17" s="191"/>
      <c r="G17" s="173"/>
      <c r="H17" s="1"/>
      <c r="I17" s="182" t="e">
        <f>+O10</f>
        <v>#REF!</v>
      </c>
      <c r="J17" s="184" t="s">
        <v>462</v>
      </c>
      <c r="K17" s="1"/>
      <c r="L17" s="1"/>
      <c r="O17" s="1"/>
    </row>
    <row r="18" spans="2:20" x14ac:dyDescent="0.3">
      <c r="B18" s="172" t="s">
        <v>449</v>
      </c>
      <c r="C18" s="191" t="e">
        <f>+GETPIVOTDATA("Monto ",'[1]TD Cuarter'!$B$5,"Cuenta","Gastos Tax Ingenieria ")</f>
        <v>#REF!</v>
      </c>
      <c r="D18" s="191" t="e">
        <f>+GETPIVOTDATA("Monto ",'[1]TD Cuarter'!$S$5,"Cuenta","Gastos Tax Ingenieria ")</f>
        <v>#REF!</v>
      </c>
      <c r="E18" s="191" t="e">
        <f>+GETPIVOTDATA("Monto ",'[1]TD Cuarter'!$AG$5,"Cuenta","Gastos Tax Ingenieria ")</f>
        <v>#REF!</v>
      </c>
      <c r="F18" s="191" t="e">
        <f>+GETPIVOTDATA("Monto ",'[1]TD Cuarter'!$AN$5,"Cuenta","Gastos Tax Ingenieria ")</f>
        <v>#REF!</v>
      </c>
      <c r="G18" s="173"/>
      <c r="H18" s="1"/>
      <c r="I18" s="1"/>
      <c r="K18" s="1"/>
      <c r="L18" s="1"/>
      <c r="O18" s="1"/>
    </row>
    <row r="19" spans="2:20" ht="14.5" thickBot="1" x14ac:dyDescent="0.35">
      <c r="B19" s="174" t="s">
        <v>85</v>
      </c>
      <c r="C19" s="192" t="e">
        <f>SUM(C10:C18)</f>
        <v>#REF!</v>
      </c>
      <c r="D19" s="192" t="e">
        <f>SUM(D10:D18)</f>
        <v>#REF!</v>
      </c>
      <c r="E19" s="192" t="e">
        <f>SUM(E10:E18)</f>
        <v>#REF!</v>
      </c>
      <c r="F19" s="175" t="e">
        <f>SUM(F10:F18)</f>
        <v>#REF!</v>
      </c>
      <c r="G19" s="173"/>
      <c r="H19" s="1"/>
      <c r="I19" s="183" t="s">
        <v>460</v>
      </c>
      <c r="J19" s="1"/>
      <c r="K19" s="1"/>
      <c r="L19" s="1"/>
      <c r="O19" s="1"/>
    </row>
    <row r="20" spans="2:20" ht="13.25" customHeight="1" x14ac:dyDescent="0.3">
      <c r="B20" s="1"/>
      <c r="C20" s="1"/>
      <c r="D20" s="1"/>
      <c r="E20" s="1"/>
      <c r="F20" s="1"/>
      <c r="G20" s="1"/>
      <c r="H20" s="1"/>
      <c r="I20" s="181" t="e">
        <f>+P10</f>
        <v>#REF!</v>
      </c>
      <c r="J20" s="1" t="s">
        <v>457</v>
      </c>
      <c r="K20" s="1"/>
      <c r="L20" s="1"/>
      <c r="O20" s="1"/>
    </row>
    <row r="21" spans="2:20" s="73" customFormat="1" x14ac:dyDescent="0.3">
      <c r="B21" s="1" t="s">
        <v>453</v>
      </c>
      <c r="C21" s="198" t="e">
        <f>+C19/GETPIVOTDATA("Cuarter 4 ",$B$25)-1</f>
        <v>#REF!</v>
      </c>
      <c r="D21" s="198" t="e">
        <f>+D19/C19-1</f>
        <v>#REF!</v>
      </c>
      <c r="E21" s="198" t="e">
        <f>+E19/D19-1</f>
        <v>#REF!</v>
      </c>
      <c r="F21" s="198" t="e">
        <f>+F19/E19-1</f>
        <v>#REF!</v>
      </c>
      <c r="G21" s="177"/>
      <c r="H21" s="177"/>
      <c r="I21" s="1"/>
      <c r="J21" s="1"/>
      <c r="K21" s="1"/>
      <c r="L21" s="1"/>
      <c r="O21" s="177"/>
    </row>
    <row r="22" spans="2:20" s="73" customFormat="1" x14ac:dyDescent="0.3">
      <c r="B22" s="1"/>
      <c r="C22" s="177"/>
      <c r="D22" s="177"/>
      <c r="E22" s="177"/>
      <c r="F22" s="177"/>
      <c r="G22" s="177"/>
      <c r="H22" s="177"/>
      <c r="I22" s="1"/>
      <c r="K22" s="1"/>
      <c r="L22" s="1"/>
      <c r="O22" s="177"/>
      <c r="P22" s="1"/>
      <c r="Q22" s="177"/>
      <c r="R22" s="177"/>
      <c r="S22" s="177"/>
      <c r="T22" s="177"/>
    </row>
    <row r="23" spans="2:20" s="73" customFormat="1" x14ac:dyDescent="0.3">
      <c r="B23" s="1"/>
      <c r="C23" s="177"/>
      <c r="D23" s="177"/>
      <c r="E23" s="177"/>
      <c r="F23" s="177"/>
      <c r="G23" s="177"/>
      <c r="H23" s="177"/>
      <c r="I23" s="184"/>
      <c r="J23" s="1"/>
      <c r="K23" s="1"/>
      <c r="L23" s="1"/>
      <c r="M23" s="177"/>
      <c r="N23" s="177"/>
      <c r="O23" s="177"/>
      <c r="P23" s="1"/>
      <c r="Q23" s="177"/>
      <c r="R23" s="177"/>
      <c r="S23" s="177"/>
      <c r="T23" s="177"/>
    </row>
    <row r="24" spans="2:20" s="73" customFormat="1" x14ac:dyDescent="0.3">
      <c r="B24" s="168">
        <v>2023</v>
      </c>
      <c r="C24" s="1"/>
      <c r="D24" s="1"/>
      <c r="E24" s="1"/>
      <c r="F24" s="1"/>
      <c r="G24" s="1"/>
      <c r="H24" s="177"/>
      <c r="I24" s="1"/>
      <c r="J24" s="1"/>
      <c r="K24" s="1"/>
      <c r="L24" s="1"/>
      <c r="M24" s="177"/>
      <c r="N24" s="177"/>
      <c r="O24" s="177"/>
      <c r="P24" s="1"/>
      <c r="Q24" s="177"/>
      <c r="R24" s="177"/>
      <c r="S24" s="177"/>
      <c r="T24" s="177"/>
    </row>
    <row r="25" spans="2:20" s="73" customFormat="1" x14ac:dyDescent="0.3">
      <c r="B25" s="171" t="s">
        <v>454</v>
      </c>
      <c r="C25" s="1" t="s">
        <v>351</v>
      </c>
      <c r="D25" s="1" t="s">
        <v>352</v>
      </c>
      <c r="E25" s="1" t="s">
        <v>353</v>
      </c>
      <c r="F25" s="1" t="s">
        <v>378</v>
      </c>
      <c r="G25" s="1"/>
      <c r="H25" s="177"/>
      <c r="I25" s="1"/>
      <c r="J25" s="177"/>
      <c r="K25" s="177"/>
      <c r="L25" s="177"/>
      <c r="M25" s="177"/>
      <c r="N25" s="177"/>
      <c r="O25" s="177"/>
      <c r="P25" s="1"/>
      <c r="Q25" s="177"/>
      <c r="R25" s="177"/>
      <c r="S25" s="177"/>
      <c r="T25" s="177"/>
    </row>
    <row r="26" spans="2:20" s="73" customFormat="1" x14ac:dyDescent="0.3">
      <c r="B26" s="1" t="s">
        <v>260</v>
      </c>
      <c r="C26" s="190">
        <v>25923832</v>
      </c>
      <c r="D26" s="190">
        <v>31550234.965793412</v>
      </c>
      <c r="E26" s="190">
        <v>37764131.780000001</v>
      </c>
      <c r="F26" s="190">
        <v>34622949.549999997</v>
      </c>
      <c r="G26" s="173"/>
      <c r="H26" s="177"/>
      <c r="I26" s="1"/>
      <c r="J26" s="177"/>
      <c r="K26" s="177"/>
      <c r="L26" s="177"/>
      <c r="M26" s="177"/>
      <c r="N26" s="177"/>
      <c r="O26" s="177"/>
      <c r="P26" s="1"/>
      <c r="Q26" s="177"/>
      <c r="R26" s="177"/>
      <c r="S26" s="177"/>
      <c r="T26" s="177"/>
    </row>
    <row r="27" spans="2:20" s="73" customFormat="1" x14ac:dyDescent="0.3">
      <c r="B27" s="1" t="s">
        <v>261</v>
      </c>
      <c r="C27" s="190">
        <v>57771765</v>
      </c>
      <c r="D27" s="190">
        <v>60692034</v>
      </c>
      <c r="E27" s="190">
        <v>58744192.479999997</v>
      </c>
      <c r="F27" s="190">
        <v>47009436.809999995</v>
      </c>
      <c r="G27" s="173"/>
      <c r="H27" s="177"/>
      <c r="I27" s="1"/>
      <c r="J27" s="177"/>
      <c r="K27" s="177"/>
      <c r="L27" s="177"/>
      <c r="M27" s="177"/>
      <c r="N27" s="177"/>
      <c r="O27" s="177"/>
      <c r="P27" s="1"/>
      <c r="Q27" s="177"/>
      <c r="R27" s="177"/>
      <c r="S27" s="177"/>
      <c r="T27" s="177"/>
    </row>
    <row r="28" spans="2:20" s="73" customFormat="1" x14ac:dyDescent="0.3">
      <c r="B28" s="1" t="s">
        <v>262</v>
      </c>
      <c r="C28" s="190">
        <v>557138</v>
      </c>
      <c r="D28" s="190">
        <v>3849235</v>
      </c>
      <c r="E28" s="190">
        <v>1447983</v>
      </c>
      <c r="F28" s="190">
        <v>548602</v>
      </c>
      <c r="G28" s="173"/>
      <c r="H28" s="177"/>
      <c r="I28" s="1"/>
      <c r="J28" s="177"/>
      <c r="K28" s="177"/>
      <c r="L28" s="177"/>
      <c r="M28" s="177"/>
      <c r="N28" s="177"/>
      <c r="O28" s="177"/>
      <c r="P28" s="1"/>
      <c r="Q28" s="177"/>
      <c r="R28" s="177"/>
      <c r="S28" s="177"/>
      <c r="T28" s="177"/>
    </row>
    <row r="29" spans="2:20" s="73" customFormat="1" x14ac:dyDescent="0.3">
      <c r="B29" s="1" t="s">
        <v>7</v>
      </c>
      <c r="C29" s="190">
        <v>9799265</v>
      </c>
      <c r="D29" s="190">
        <v>4404905</v>
      </c>
      <c r="E29" s="190">
        <v>4094372</v>
      </c>
      <c r="F29" s="190">
        <v>4415570</v>
      </c>
      <c r="G29" s="173"/>
      <c r="H29" s="177"/>
      <c r="I29" s="1"/>
      <c r="J29" s="177"/>
      <c r="K29" s="177"/>
      <c r="L29" s="177"/>
      <c r="M29" s="177"/>
      <c r="N29" s="177"/>
      <c r="O29" s="177"/>
      <c r="P29" s="1"/>
      <c r="Q29" s="177"/>
      <c r="R29" s="177"/>
      <c r="S29" s="177"/>
      <c r="T29" s="177"/>
    </row>
    <row r="30" spans="2:20" s="73" customFormat="1" x14ac:dyDescent="0.3">
      <c r="B30" s="1" t="s">
        <v>266</v>
      </c>
      <c r="C30" s="190">
        <v>58632692</v>
      </c>
      <c r="D30" s="190">
        <v>74596765</v>
      </c>
      <c r="E30" s="190">
        <v>69111531</v>
      </c>
      <c r="F30" s="190">
        <v>76094471</v>
      </c>
      <c r="G30" s="173"/>
      <c r="H30" s="177"/>
      <c r="I30" s="1"/>
      <c r="J30" s="177"/>
      <c r="K30" s="177"/>
      <c r="L30" s="177"/>
      <c r="M30" s="177"/>
      <c r="N30" s="177"/>
      <c r="O30" s="177"/>
      <c r="P30" s="1"/>
      <c r="Q30" s="177"/>
      <c r="R30" s="177"/>
      <c r="S30" s="177"/>
      <c r="T30" s="177"/>
    </row>
    <row r="31" spans="2:20" s="73" customFormat="1" x14ac:dyDescent="0.3">
      <c r="B31" s="1" t="s">
        <v>93</v>
      </c>
      <c r="C31" s="190">
        <v>105763825.63789199</v>
      </c>
      <c r="D31" s="190">
        <v>108431862.924326</v>
      </c>
      <c r="E31" s="190">
        <v>104841644.87396801</v>
      </c>
      <c r="F31" s="190">
        <v>102021481.54308802</v>
      </c>
      <c r="G31" s="173"/>
      <c r="H31" s="177"/>
      <c r="I31" s="1"/>
      <c r="J31" s="177"/>
      <c r="K31" s="177"/>
      <c r="L31" s="177"/>
      <c r="M31" s="177"/>
      <c r="N31" s="177"/>
      <c r="O31" s="177"/>
      <c r="P31" s="1"/>
      <c r="Q31" s="177"/>
      <c r="R31" s="177"/>
      <c r="S31" s="177"/>
      <c r="T31" s="177"/>
    </row>
    <row r="32" spans="2:20" s="73" customFormat="1" x14ac:dyDescent="0.3">
      <c r="B32" s="1" t="s">
        <v>356</v>
      </c>
      <c r="C32" s="190">
        <v>35275515</v>
      </c>
      <c r="D32" s="190">
        <v>41853206</v>
      </c>
      <c r="E32" s="190">
        <v>40239181</v>
      </c>
      <c r="F32" s="190">
        <v>42266791</v>
      </c>
      <c r="G32" s="173"/>
      <c r="H32" s="177"/>
      <c r="I32" s="1"/>
      <c r="J32" s="177"/>
      <c r="K32" s="177"/>
      <c r="L32" s="177"/>
      <c r="M32" s="177"/>
      <c r="N32" s="177"/>
      <c r="O32" s="177"/>
      <c r="P32" s="1"/>
      <c r="Q32" s="177"/>
      <c r="R32" s="177"/>
      <c r="S32" s="177"/>
      <c r="T32" s="177"/>
    </row>
    <row r="33" spans="2:20" s="73" customFormat="1" x14ac:dyDescent="0.3">
      <c r="B33" s="1" t="s">
        <v>85</v>
      </c>
      <c r="C33" s="190">
        <v>293724032.63789201</v>
      </c>
      <c r="D33" s="190">
        <v>325378242.89011943</v>
      </c>
      <c r="E33" s="190">
        <v>316243036.133968</v>
      </c>
      <c r="F33" s="190">
        <v>306979301.90308797</v>
      </c>
      <c r="G33" s="173"/>
      <c r="H33" s="177"/>
      <c r="I33" s="1"/>
      <c r="J33" s="177"/>
      <c r="K33" s="177"/>
      <c r="L33" s="177"/>
      <c r="M33" s="177"/>
      <c r="N33" s="177"/>
      <c r="O33" s="177"/>
      <c r="P33" s="1"/>
      <c r="Q33" s="177"/>
      <c r="R33" s="177"/>
      <c r="S33" s="177"/>
      <c r="T33" s="177"/>
    </row>
    <row r="34" spans="2:20" s="73" customFormat="1" x14ac:dyDescent="0.3">
      <c r="B34"/>
      <c r="C34"/>
      <c r="D34"/>
      <c r="E34"/>
      <c r="F34"/>
      <c r="G34" s="173"/>
      <c r="H34" s="177"/>
      <c r="I34" s="1"/>
      <c r="J34" s="177"/>
      <c r="K34" s="177"/>
      <c r="L34" s="177"/>
      <c r="M34" s="177"/>
      <c r="N34" s="177"/>
      <c r="O34" s="177"/>
      <c r="P34" s="1"/>
      <c r="Q34" s="177"/>
      <c r="R34" s="177"/>
      <c r="S34" s="177"/>
      <c r="T34" s="177"/>
    </row>
    <row r="35" spans="2:20" s="73" customFormat="1" x14ac:dyDescent="0.3">
      <c r="B35" s="1"/>
      <c r="C35" s="173"/>
      <c r="D35" s="173"/>
      <c r="E35" s="173"/>
      <c r="F35" s="173"/>
      <c r="G35" s="1"/>
      <c r="H35" s="177"/>
      <c r="I35" s="1"/>
      <c r="J35" s="177"/>
      <c r="K35" s="177"/>
      <c r="L35" s="177"/>
      <c r="M35" s="177"/>
      <c r="N35" s="177"/>
      <c r="O35" s="177"/>
      <c r="P35" s="1"/>
      <c r="Q35" s="177"/>
      <c r="R35" s="177"/>
      <c r="S35" s="177"/>
      <c r="T35" s="177"/>
    </row>
    <row r="36" spans="2:20" s="73" customFormat="1" x14ac:dyDescent="0.3">
      <c r="B36" s="1" t="s">
        <v>453</v>
      </c>
      <c r="C36" s="198">
        <f>GETPIVOTDATA("Cuarter 1 ",$B$25)/GETPIVOTDATA(" cuarter 4",$B$40)-1</f>
        <v>-0.12241760502716825</v>
      </c>
      <c r="D36" s="198">
        <f>GETPIVOTDATA("Cuarter 2 ",$B$25)/GETPIVOTDATA("Cuarter 1 ",$B$25)-1</f>
        <v>0.10776854031297911</v>
      </c>
      <c r="E36" s="198">
        <f>GETPIVOTDATA("Cuarter 3 ",$B$25)/GETPIVOTDATA("Cuarter 2 ",$B$25)-1</f>
        <v>-2.807565335349238E-2</v>
      </c>
      <c r="F36" s="198">
        <f>GETPIVOTDATA("Cuarter 4 ",$B$25)/GETPIVOTDATA("Cuarter 3 ",$B$25)-1</f>
        <v>-2.9293085293285892E-2</v>
      </c>
      <c r="G36" s="177"/>
      <c r="H36" s="177"/>
      <c r="I36" s="1"/>
      <c r="J36" s="177"/>
      <c r="K36" s="177"/>
      <c r="L36" s="177"/>
      <c r="M36" s="177"/>
      <c r="N36" s="177"/>
      <c r="O36" s="177"/>
      <c r="P36" s="1"/>
      <c r="Q36" s="177"/>
      <c r="R36" s="177"/>
      <c r="S36" s="177"/>
      <c r="T36" s="177"/>
    </row>
    <row r="37" spans="2:20" s="73" customFormat="1" x14ac:dyDescent="0.3">
      <c r="B37" s="1"/>
      <c r="C37" s="177"/>
      <c r="D37" s="198"/>
      <c r="E37" s="198"/>
      <c r="F37" s="198"/>
      <c r="G37" s="177"/>
      <c r="H37" s="177"/>
      <c r="I37" s="1"/>
      <c r="J37" s="177"/>
      <c r="K37" s="177"/>
      <c r="L37" s="177"/>
      <c r="M37" s="177"/>
      <c r="N37" s="177"/>
      <c r="O37" s="177"/>
      <c r="P37" s="1"/>
      <c r="Q37" s="177"/>
      <c r="R37" s="177"/>
      <c r="S37" s="177"/>
      <c r="T37" s="177"/>
    </row>
    <row r="38" spans="2:20" s="73" customFormat="1" x14ac:dyDescent="0.3">
      <c r="B38" s="1"/>
      <c r="C38" s="177"/>
      <c r="D38" s="177"/>
      <c r="E38" s="177"/>
      <c r="F38" s="177"/>
      <c r="G38" s="177"/>
      <c r="H38" s="177"/>
      <c r="I38" s="1"/>
      <c r="J38" s="177"/>
      <c r="K38" s="177"/>
      <c r="L38" s="177"/>
      <c r="M38" s="177"/>
      <c r="N38" s="177"/>
      <c r="O38" s="177"/>
      <c r="P38" s="1"/>
      <c r="Q38" s="177"/>
      <c r="R38" s="177"/>
      <c r="S38" s="177"/>
      <c r="T38" s="177"/>
    </row>
    <row r="39" spans="2:20" s="73" customFormat="1" x14ac:dyDescent="0.3">
      <c r="B39" s="168">
        <v>2022</v>
      </c>
      <c r="C39" s="1"/>
      <c r="D39" s="1"/>
      <c r="E39" s="1"/>
      <c r="F39" s="1"/>
      <c r="G39" s="177"/>
      <c r="H39" s="177"/>
      <c r="I39" s="1"/>
      <c r="J39" s="177"/>
      <c r="K39" s="177"/>
      <c r="L39" s="177"/>
      <c r="M39" s="177"/>
      <c r="N39" s="177"/>
      <c r="O39" s="177"/>
      <c r="P39" s="1"/>
      <c r="Q39" s="177"/>
      <c r="R39" s="177"/>
      <c r="S39" s="177"/>
      <c r="T39" s="177"/>
    </row>
    <row r="40" spans="2:20" s="73" customFormat="1" x14ac:dyDescent="0.3">
      <c r="B40" s="171" t="s">
        <v>455</v>
      </c>
      <c r="C40" s="1" t="s">
        <v>351</v>
      </c>
      <c r="D40" s="1" t="s">
        <v>352</v>
      </c>
      <c r="E40" s="1" t="s">
        <v>353</v>
      </c>
      <c r="F40" s="1" t="s">
        <v>377</v>
      </c>
      <c r="G40" s="177"/>
      <c r="H40" s="177"/>
      <c r="I40" s="1"/>
      <c r="J40" s="177"/>
      <c r="K40" s="177"/>
      <c r="L40" s="177"/>
      <c r="M40" s="177"/>
      <c r="N40" s="177"/>
      <c r="O40" s="177"/>
      <c r="P40" s="1"/>
      <c r="Q40" s="177"/>
      <c r="R40" s="177"/>
      <c r="S40" s="177"/>
      <c r="T40" s="177"/>
    </row>
    <row r="41" spans="2:20" s="73" customFormat="1" x14ac:dyDescent="0.3">
      <c r="B41" s="1" t="s">
        <v>260</v>
      </c>
      <c r="C41" s="190">
        <v>31878058.399999999</v>
      </c>
      <c r="D41" s="190">
        <v>41617779.5</v>
      </c>
      <c r="E41" s="190">
        <v>28667274</v>
      </c>
      <c r="F41" s="190">
        <v>32296785.5</v>
      </c>
      <c r="G41" s="177"/>
      <c r="H41" s="177"/>
      <c r="I41" s="1"/>
      <c r="J41" s="177"/>
      <c r="K41" s="177"/>
      <c r="L41" s="177"/>
      <c r="M41" s="177"/>
      <c r="N41" s="177"/>
      <c r="O41" s="177"/>
      <c r="P41" s="1"/>
      <c r="Q41" s="177"/>
      <c r="R41" s="177"/>
      <c r="S41" s="177"/>
      <c r="T41" s="177"/>
    </row>
    <row r="42" spans="2:20" s="73" customFormat="1" x14ac:dyDescent="0.3">
      <c r="B42" s="1" t="s">
        <v>261</v>
      </c>
      <c r="C42" s="190">
        <v>18498122</v>
      </c>
      <c r="D42" s="190">
        <v>32614841</v>
      </c>
      <c r="E42" s="190">
        <v>31407638</v>
      </c>
      <c r="F42" s="190">
        <v>41457713</v>
      </c>
      <c r="G42" s="177"/>
      <c r="H42" s="177"/>
      <c r="I42" s="1"/>
      <c r="J42" s="177"/>
      <c r="K42" s="177"/>
      <c r="L42" s="177"/>
      <c r="M42" s="177"/>
      <c r="N42" s="177"/>
      <c r="O42" s="177"/>
      <c r="P42" s="1"/>
      <c r="Q42" s="177"/>
      <c r="R42" s="177"/>
      <c r="S42" s="177"/>
      <c r="T42" s="177"/>
    </row>
    <row r="43" spans="2:20" s="73" customFormat="1" x14ac:dyDescent="0.3">
      <c r="B43" s="1" t="s">
        <v>262</v>
      </c>
      <c r="C43" s="190">
        <v>589436</v>
      </c>
      <c r="D43" s="190">
        <v>911167</v>
      </c>
      <c r="E43" s="190">
        <v>668827</v>
      </c>
      <c r="F43" s="190">
        <v>247775</v>
      </c>
      <c r="G43" s="177"/>
      <c r="H43" s="177"/>
      <c r="I43" s="1"/>
      <c r="J43" s="177"/>
      <c r="K43" s="177"/>
      <c r="L43" s="177"/>
      <c r="M43" s="177"/>
      <c r="N43" s="177"/>
      <c r="O43" s="177"/>
      <c r="P43" s="1"/>
      <c r="Q43" s="177"/>
      <c r="R43" s="177"/>
      <c r="S43" s="177"/>
      <c r="T43" s="177"/>
    </row>
    <row r="44" spans="2:20" s="73" customFormat="1" x14ac:dyDescent="0.3">
      <c r="B44" s="1" t="s">
        <v>7</v>
      </c>
      <c r="C44" s="190">
        <v>46073406.209321924</v>
      </c>
      <c r="D44" s="190">
        <v>59560197.201399997</v>
      </c>
      <c r="E44" s="190">
        <v>36824033</v>
      </c>
      <c r="F44" s="190">
        <v>40349454</v>
      </c>
      <c r="G44" s="177"/>
      <c r="H44" s="177"/>
      <c r="I44" s="1"/>
      <c r="J44" s="177"/>
      <c r="K44" s="177"/>
      <c r="L44" s="177"/>
      <c r="M44" s="177"/>
      <c r="N44" s="177"/>
      <c r="O44" s="177"/>
      <c r="P44" s="1"/>
      <c r="Q44" s="177"/>
      <c r="R44" s="177"/>
      <c r="S44" s="177"/>
      <c r="T44" s="177"/>
    </row>
    <row r="45" spans="2:20" s="73" customFormat="1" x14ac:dyDescent="0.3">
      <c r="B45" s="1" t="s">
        <v>266</v>
      </c>
      <c r="C45" s="190">
        <v>41949615</v>
      </c>
      <c r="D45" s="190">
        <v>53043142</v>
      </c>
      <c r="E45" s="190">
        <v>45504378</v>
      </c>
      <c r="F45" s="190">
        <v>70146271</v>
      </c>
      <c r="G45" s="177"/>
      <c r="H45" s="177"/>
      <c r="I45" s="1"/>
      <c r="J45" s="177"/>
      <c r="K45" s="177"/>
      <c r="L45" s="177"/>
      <c r="M45" s="177"/>
      <c r="N45" s="177"/>
      <c r="O45" s="177"/>
      <c r="P45" s="1"/>
      <c r="Q45" s="177"/>
      <c r="R45" s="177"/>
      <c r="S45" s="177"/>
      <c r="T45" s="177"/>
    </row>
    <row r="46" spans="2:20" s="73" customFormat="1" x14ac:dyDescent="0.3">
      <c r="B46" s="1" t="s">
        <v>93</v>
      </c>
      <c r="C46" s="190">
        <v>91520005.371466339</v>
      </c>
      <c r="D46" s="190">
        <v>85141216.144959241</v>
      </c>
      <c r="E46" s="190">
        <v>66117646</v>
      </c>
      <c r="F46" s="190">
        <v>107758913.3</v>
      </c>
      <c r="G46" s="177"/>
      <c r="H46" s="177"/>
      <c r="I46" s="1"/>
      <c r="J46" s="177"/>
      <c r="K46" s="177"/>
      <c r="L46" s="177"/>
      <c r="M46" s="177"/>
      <c r="N46" s="177"/>
      <c r="O46" s="177"/>
      <c r="P46" s="1"/>
      <c r="Q46" s="177"/>
      <c r="R46" s="177"/>
      <c r="S46" s="177"/>
      <c r="T46" s="177"/>
    </row>
    <row r="47" spans="2:20" s="73" customFormat="1" x14ac:dyDescent="0.3">
      <c r="B47" s="1" t="s">
        <v>356</v>
      </c>
      <c r="C47" s="190">
        <v>37872163.100000001</v>
      </c>
      <c r="D47" s="190">
        <v>43286434.840000004</v>
      </c>
      <c r="E47" s="190">
        <v>30049505.199999999</v>
      </c>
      <c r="F47" s="190">
        <v>42439903.359999999</v>
      </c>
      <c r="G47" s="177"/>
      <c r="H47" s="177"/>
      <c r="I47" s="1"/>
      <c r="J47" s="177"/>
      <c r="K47" s="177"/>
      <c r="L47" s="177"/>
      <c r="M47" s="177"/>
      <c r="N47" s="177"/>
      <c r="O47" s="177"/>
      <c r="P47" s="1"/>
      <c r="Q47" s="177"/>
      <c r="R47" s="177"/>
      <c r="S47" s="177"/>
      <c r="T47" s="177"/>
    </row>
    <row r="48" spans="2:20" s="73" customFormat="1" x14ac:dyDescent="0.3">
      <c r="B48" s="1" t="s">
        <v>85</v>
      </c>
      <c r="C48" s="173">
        <v>268380806.08078825</v>
      </c>
      <c r="D48" s="173">
        <v>316174777.68635929</v>
      </c>
      <c r="E48" s="173">
        <v>239239301.19999999</v>
      </c>
      <c r="F48" s="173">
        <v>334696815.16000003</v>
      </c>
      <c r="G48" s="177"/>
      <c r="H48" s="177"/>
      <c r="I48" s="1"/>
      <c r="J48" s="177"/>
      <c r="K48" s="177"/>
      <c r="L48" s="177"/>
      <c r="M48" s="177"/>
      <c r="N48" s="177"/>
      <c r="O48" s="177"/>
      <c r="P48" s="1"/>
      <c r="Q48" s="177"/>
      <c r="R48" s="177"/>
      <c r="S48" s="177"/>
      <c r="T48" s="177"/>
    </row>
    <row r="49" spans="2:20" s="73" customFormat="1" x14ac:dyDescent="0.3">
      <c r="B49"/>
      <c r="C49"/>
      <c r="D49"/>
      <c r="E49"/>
      <c r="F49"/>
      <c r="G49" s="177"/>
      <c r="H49" s="177"/>
      <c r="I49" s="1"/>
      <c r="J49" s="177"/>
      <c r="K49" s="177"/>
      <c r="L49" s="177"/>
      <c r="M49" s="177"/>
      <c r="N49" s="177"/>
      <c r="O49" s="177"/>
      <c r="P49" s="1"/>
      <c r="Q49" s="177"/>
      <c r="R49" s="177"/>
      <c r="S49" s="177"/>
      <c r="T49" s="177"/>
    </row>
    <row r="50" spans="2:20" s="73" customFormat="1" x14ac:dyDescent="0.3">
      <c r="B50" s="1"/>
      <c r="C50" s="173"/>
      <c r="D50" s="173"/>
      <c r="E50" s="173"/>
      <c r="F50" s="173"/>
      <c r="G50" s="177"/>
      <c r="H50" s="177"/>
      <c r="I50" s="1"/>
      <c r="J50" s="177"/>
      <c r="K50" s="177"/>
      <c r="L50" s="177"/>
      <c r="M50" s="177"/>
      <c r="N50" s="177"/>
      <c r="O50" s="177"/>
      <c r="P50" s="1"/>
      <c r="Q50" s="177"/>
      <c r="R50" s="177"/>
      <c r="S50" s="177"/>
      <c r="T50" s="177"/>
    </row>
    <row r="51" spans="2:20" s="73" customFormat="1" x14ac:dyDescent="0.3">
      <c r="B51" s="1" t="s">
        <v>453</v>
      </c>
      <c r="C51" s="198"/>
      <c r="D51" s="198">
        <f>GETPIVOTDATA("Cuarter 2 ",$B$40)/GETPIVOTDATA("Cuarter 1 ",$B$40)-1</f>
        <v>0.1780826740314061</v>
      </c>
      <c r="E51" s="198">
        <f>+GETPIVOTDATA("Cuarter 3 ",$B$40)/GETPIVOTDATA("Cuarter 2 ",$B$40)-1</f>
        <v>-0.24333211222394902</v>
      </c>
      <c r="F51" s="198">
        <f>GETPIVOTDATA(" cuarter 4",$B$40)/GETPIVOTDATA("Cuarter 3 ",$B$40)-1</f>
        <v>0.39900431693787297</v>
      </c>
      <c r="G51" s="177"/>
      <c r="H51" s="177"/>
      <c r="I51" s="1"/>
      <c r="J51" s="177"/>
      <c r="K51" s="177"/>
      <c r="L51" s="177"/>
      <c r="M51" s="177"/>
      <c r="N51" s="177"/>
      <c r="O51" s="177"/>
      <c r="P51" s="1"/>
      <c r="Q51" s="177"/>
      <c r="R51" s="177"/>
      <c r="S51" s="177"/>
      <c r="T51" s="177"/>
    </row>
    <row r="52" spans="2:20" s="73" customFormat="1" x14ac:dyDescent="0.3">
      <c r="B52" s="1"/>
      <c r="C52" s="177"/>
      <c r="D52" s="177"/>
      <c r="E52" s="177"/>
      <c r="F52" s="177"/>
      <c r="G52" s="177"/>
      <c r="H52" s="177"/>
      <c r="I52" s="1"/>
      <c r="J52" s="177"/>
      <c r="K52" s="177"/>
      <c r="L52" s="177"/>
      <c r="M52" s="177"/>
      <c r="N52" s="177"/>
      <c r="O52" s="177"/>
      <c r="P52" s="1"/>
      <c r="Q52" s="177"/>
      <c r="R52" s="177"/>
      <c r="S52" s="177"/>
      <c r="T52" s="177"/>
    </row>
    <row r="53" spans="2:20" s="73" customFormat="1" x14ac:dyDescent="0.3">
      <c r="B53" s="201" t="s">
        <v>463</v>
      </c>
      <c r="C53" s="177"/>
      <c r="D53" s="177"/>
      <c r="E53" s="177"/>
      <c r="F53" s="177"/>
      <c r="G53" s="177"/>
      <c r="H53" s="177"/>
      <c r="I53" s="1"/>
      <c r="J53" s="177"/>
      <c r="K53" s="177"/>
      <c r="L53" s="177"/>
      <c r="M53" s="177"/>
      <c r="N53" s="177"/>
      <c r="O53" s="177"/>
      <c r="P53" s="1"/>
      <c r="Q53" s="177"/>
      <c r="R53" s="177"/>
      <c r="S53" s="177"/>
      <c r="T53" s="177"/>
    </row>
    <row r="54" spans="2:20" s="73" customFormat="1" x14ac:dyDescent="0.3">
      <c r="C54" s="177"/>
      <c r="D54" s="177"/>
      <c r="E54" s="177"/>
      <c r="F54" s="177"/>
      <c r="G54" s="177"/>
      <c r="H54" s="177"/>
      <c r="I54" s="1"/>
      <c r="J54" s="177"/>
      <c r="K54" s="177"/>
      <c r="L54" s="177"/>
      <c r="M54" s="177"/>
      <c r="N54" s="177"/>
      <c r="O54" s="177"/>
      <c r="P54" s="1"/>
      <c r="Q54" s="177"/>
      <c r="R54" s="177"/>
      <c r="S54" s="177"/>
      <c r="T54" s="177"/>
    </row>
    <row r="55" spans="2:20" s="73" customFormat="1" x14ac:dyDescent="0.3">
      <c r="B55" s="1"/>
      <c r="C55" s="177"/>
      <c r="D55" s="177"/>
      <c r="E55" s="177"/>
      <c r="F55" s="177"/>
      <c r="G55" s="177"/>
      <c r="H55" s="177"/>
      <c r="I55" s="1"/>
      <c r="J55" s="177"/>
      <c r="K55" s="177"/>
      <c r="L55" s="177"/>
      <c r="M55" s="177"/>
      <c r="N55" s="177"/>
      <c r="O55" s="177"/>
      <c r="P55" s="1"/>
      <c r="Q55" s="177"/>
      <c r="R55" s="177"/>
      <c r="S55" s="177"/>
      <c r="T55" s="177"/>
    </row>
    <row r="56" spans="2:20" s="73" customFormat="1" x14ac:dyDescent="0.3">
      <c r="B56" s="1"/>
      <c r="C56" s="177"/>
      <c r="D56" s="177"/>
      <c r="E56" s="177"/>
      <c r="F56" s="177"/>
      <c r="G56" s="177"/>
      <c r="H56" s="177"/>
      <c r="I56" s="1"/>
      <c r="J56" s="177"/>
      <c r="K56" s="177"/>
      <c r="L56" s="177"/>
      <c r="M56" s="177"/>
      <c r="N56" s="177"/>
      <c r="O56" s="177"/>
      <c r="P56" s="1"/>
      <c r="Q56" s="177"/>
      <c r="R56" s="177"/>
      <c r="S56" s="177"/>
      <c r="T56" s="177"/>
    </row>
    <row r="57" spans="2:20" s="73" customFormat="1" x14ac:dyDescent="0.3">
      <c r="B57" s="1"/>
      <c r="C57" s="177"/>
      <c r="D57" s="177"/>
      <c r="E57" s="177"/>
      <c r="F57" s="177"/>
      <c r="G57" s="177"/>
      <c r="H57" s="177"/>
      <c r="I57" s="1"/>
      <c r="J57" s="177"/>
      <c r="K57" s="177"/>
      <c r="L57" s="177"/>
      <c r="M57" s="177"/>
      <c r="N57" s="177"/>
      <c r="O57" s="177"/>
      <c r="P57" s="1"/>
      <c r="Q57" s="177"/>
      <c r="R57" s="177"/>
      <c r="S57" s="177"/>
      <c r="T57" s="177"/>
    </row>
    <row r="58" spans="2:20" s="73" customFormat="1" x14ac:dyDescent="0.3">
      <c r="B58" s="1"/>
      <c r="C58" s="177"/>
      <c r="D58" s="177"/>
      <c r="E58" s="177"/>
      <c r="F58" s="177"/>
      <c r="G58" s="177"/>
      <c r="H58" s="177"/>
      <c r="I58" s="1"/>
      <c r="J58" s="177"/>
      <c r="K58" s="177"/>
      <c r="L58" s="177"/>
      <c r="M58" s="177"/>
      <c r="N58" s="177"/>
      <c r="O58" s="177"/>
      <c r="P58" s="1"/>
      <c r="Q58" s="177"/>
      <c r="R58" s="177"/>
      <c r="S58" s="177"/>
      <c r="T58" s="177"/>
    </row>
    <row r="59" spans="2:20" s="73" customFormat="1" x14ac:dyDescent="0.3">
      <c r="B59" s="1"/>
      <c r="C59" s="177"/>
      <c r="D59" s="177"/>
      <c r="E59" s="177"/>
      <c r="F59" s="177"/>
      <c r="G59" s="177"/>
      <c r="H59" s="177"/>
      <c r="I59" s="1"/>
      <c r="J59" s="177"/>
      <c r="K59" s="177"/>
      <c r="L59" s="177"/>
      <c r="M59" s="177"/>
      <c r="N59" s="177"/>
      <c r="O59" s="177"/>
      <c r="P59" s="1"/>
      <c r="Q59" s="177"/>
      <c r="R59" s="177"/>
      <c r="S59" s="177"/>
      <c r="T59" s="177"/>
    </row>
    <row r="60" spans="2:20" s="73" customFormat="1" x14ac:dyDescent="0.3">
      <c r="B60" s="1"/>
      <c r="C60" s="177"/>
      <c r="D60" s="177"/>
      <c r="E60" s="177"/>
      <c r="F60" s="177"/>
      <c r="G60" s="177"/>
      <c r="H60" s="177"/>
      <c r="I60" s="1"/>
      <c r="J60" s="177"/>
      <c r="K60" s="177"/>
      <c r="L60" s="177"/>
      <c r="M60" s="177"/>
      <c r="N60" s="177"/>
      <c r="O60" s="177"/>
      <c r="P60" s="1"/>
      <c r="Q60" s="177"/>
      <c r="R60" s="177"/>
      <c r="S60" s="177"/>
      <c r="T60" s="177"/>
    </row>
    <row r="61" spans="2:20" s="73" customFormat="1" x14ac:dyDescent="0.3">
      <c r="B61" s="1"/>
      <c r="C61" s="177"/>
      <c r="D61" s="177"/>
      <c r="E61" s="177"/>
      <c r="F61" s="177"/>
      <c r="G61" s="177"/>
      <c r="H61" s="177"/>
      <c r="I61" s="1"/>
      <c r="J61" s="177"/>
      <c r="K61" s="177"/>
      <c r="L61" s="177"/>
      <c r="M61" s="177"/>
      <c r="N61" s="177"/>
      <c r="O61" s="177"/>
      <c r="P61" s="1"/>
      <c r="Q61" s="177"/>
      <c r="R61" s="177"/>
      <c r="S61" s="177"/>
      <c r="T61" s="177"/>
    </row>
    <row r="62" spans="2:20" s="73" customFormat="1" x14ac:dyDescent="0.3">
      <c r="B62" s="1"/>
      <c r="C62" s="177"/>
      <c r="D62" s="177"/>
      <c r="E62" s="177"/>
      <c r="F62" s="177"/>
      <c r="G62" s="177"/>
      <c r="H62" s="177"/>
      <c r="I62" s="1"/>
      <c r="J62" s="177"/>
      <c r="K62" s="177"/>
      <c r="L62" s="177"/>
      <c r="M62" s="177"/>
      <c r="N62" s="177"/>
      <c r="O62" s="177"/>
      <c r="P62" s="1"/>
      <c r="Q62" s="177"/>
      <c r="R62" s="177"/>
      <c r="S62" s="177"/>
      <c r="T62" s="177"/>
    </row>
    <row r="63" spans="2:20" s="73" customFormat="1" x14ac:dyDescent="0.3">
      <c r="B63" s="1"/>
      <c r="C63" s="177"/>
      <c r="D63" s="177"/>
      <c r="E63" s="177"/>
      <c r="F63" s="177"/>
      <c r="G63" s="177"/>
      <c r="H63" s="177"/>
      <c r="I63" s="1"/>
      <c r="J63" s="177"/>
      <c r="K63" s="177"/>
      <c r="L63" s="177"/>
      <c r="M63" s="177"/>
      <c r="N63" s="177"/>
      <c r="O63" s="177"/>
      <c r="P63" s="1"/>
      <c r="Q63" s="177"/>
      <c r="R63" s="177"/>
      <c r="S63" s="177"/>
      <c r="T63" s="177"/>
    </row>
    <row r="64" spans="2:20" s="73" customFormat="1" x14ac:dyDescent="0.3">
      <c r="B64" s="1"/>
      <c r="C64" s="177"/>
      <c r="D64" s="177"/>
      <c r="E64" s="177"/>
      <c r="F64" s="177"/>
      <c r="G64" s="177"/>
      <c r="H64" s="177"/>
      <c r="I64" s="1"/>
      <c r="J64" s="177"/>
      <c r="K64" s="177"/>
      <c r="L64" s="177"/>
      <c r="M64" s="177"/>
      <c r="N64" s="177"/>
      <c r="O64" s="177"/>
      <c r="P64" s="1"/>
      <c r="Q64" s="177"/>
      <c r="R64" s="177"/>
      <c r="S64" s="177"/>
      <c r="T64" s="177"/>
    </row>
    <row r="65" spans="2:20" s="73" customFormat="1" x14ac:dyDescent="0.3">
      <c r="B65" s="1"/>
      <c r="C65" s="177"/>
      <c r="D65" s="177"/>
      <c r="E65" s="177"/>
      <c r="F65" s="177"/>
      <c r="G65" s="177"/>
      <c r="H65" s="177"/>
      <c r="I65" s="1"/>
      <c r="J65" s="177"/>
      <c r="K65" s="177"/>
      <c r="L65" s="177"/>
      <c r="M65" s="177"/>
      <c r="N65" s="177"/>
      <c r="O65" s="177"/>
      <c r="P65" s="1"/>
      <c r="Q65" s="177"/>
      <c r="R65" s="177"/>
      <c r="S65" s="177"/>
      <c r="T65" s="177"/>
    </row>
    <row r="66" spans="2:20" s="73" customFormat="1" x14ac:dyDescent="0.3">
      <c r="B66" s="1"/>
      <c r="C66" s="177"/>
      <c r="D66" s="177"/>
      <c r="E66" s="177"/>
      <c r="F66" s="177"/>
      <c r="G66" s="177"/>
      <c r="H66" s="177"/>
      <c r="I66" s="1"/>
      <c r="J66" s="177"/>
      <c r="K66" s="177"/>
      <c r="L66" s="177"/>
      <c r="M66" s="177"/>
      <c r="N66" s="177"/>
      <c r="O66" s="177"/>
      <c r="P66" s="1"/>
      <c r="Q66" s="177"/>
      <c r="R66" s="177"/>
      <c r="S66" s="177"/>
      <c r="T66" s="177"/>
    </row>
    <row r="67" spans="2:20" s="73" customFormat="1" x14ac:dyDescent="0.3">
      <c r="B67" s="1"/>
      <c r="C67" s="177"/>
      <c r="D67" s="177"/>
      <c r="E67" s="177"/>
      <c r="F67" s="177"/>
      <c r="G67" s="177"/>
      <c r="H67" s="177"/>
      <c r="I67" s="1"/>
      <c r="J67" s="177"/>
      <c r="K67" s="177"/>
      <c r="L67" s="177"/>
      <c r="M67" s="177"/>
      <c r="N67" s="177"/>
      <c r="O67" s="177"/>
      <c r="P67" s="1"/>
      <c r="Q67" s="177"/>
      <c r="R67" s="177"/>
      <c r="S67" s="177"/>
      <c r="T67" s="177"/>
    </row>
    <row r="68" spans="2:20" s="73" customFormat="1" x14ac:dyDescent="0.3">
      <c r="B68" s="1"/>
      <c r="C68" s="177"/>
      <c r="D68" s="177"/>
      <c r="E68" s="177"/>
      <c r="F68" s="177"/>
      <c r="G68" s="177"/>
      <c r="H68" s="177"/>
      <c r="I68" s="1"/>
      <c r="J68" s="177"/>
      <c r="K68" s="177"/>
      <c r="L68" s="177"/>
      <c r="M68" s="177"/>
      <c r="N68" s="177"/>
      <c r="O68" s="177"/>
      <c r="P68" s="1"/>
      <c r="Q68" s="177"/>
      <c r="R68" s="177"/>
      <c r="S68" s="177"/>
      <c r="T68" s="177"/>
    </row>
    <row r="69" spans="2:20" s="73" customFormat="1" x14ac:dyDescent="0.3">
      <c r="B69" s="1"/>
      <c r="C69" s="177"/>
      <c r="D69" s="177"/>
      <c r="E69" s="177"/>
      <c r="F69" s="177"/>
      <c r="G69" s="177"/>
      <c r="H69" s="177"/>
      <c r="I69" s="1"/>
      <c r="J69" s="177"/>
      <c r="K69" s="177"/>
      <c r="L69" s="177"/>
      <c r="M69" s="177"/>
      <c r="N69" s="177"/>
      <c r="O69" s="177"/>
      <c r="P69" s="1"/>
      <c r="Q69" s="177"/>
      <c r="R69" s="177"/>
      <c r="S69" s="177"/>
      <c r="T69" s="177"/>
    </row>
    <row r="70" spans="2:20" s="73" customFormat="1" x14ac:dyDescent="0.3">
      <c r="B70" s="1"/>
      <c r="C70" s="177"/>
      <c r="D70" s="177"/>
      <c r="E70" s="177"/>
      <c r="F70" s="177"/>
      <c r="G70" s="177"/>
      <c r="H70" s="177"/>
      <c r="I70" s="1"/>
      <c r="J70" s="177"/>
      <c r="K70" s="177"/>
      <c r="L70" s="177"/>
      <c r="M70" s="177"/>
      <c r="N70" s="177"/>
      <c r="O70" s="177"/>
      <c r="P70" s="1"/>
      <c r="Q70" s="177"/>
      <c r="R70" s="177"/>
      <c r="S70" s="177"/>
      <c r="T70" s="177"/>
    </row>
    <row r="71" spans="2:20" s="73" customFormat="1" x14ac:dyDescent="0.3">
      <c r="B71" s="1"/>
      <c r="C71" s="177"/>
      <c r="D71" s="177"/>
      <c r="E71" s="177"/>
      <c r="F71" s="177"/>
      <c r="G71" s="177"/>
      <c r="H71" s="177"/>
      <c r="I71" s="1"/>
      <c r="J71" s="177"/>
      <c r="K71" s="177"/>
      <c r="L71" s="177"/>
      <c r="M71" s="177"/>
      <c r="N71" s="177"/>
      <c r="O71" s="177"/>
      <c r="P71" s="1"/>
      <c r="Q71" s="177"/>
      <c r="R71" s="177"/>
      <c r="S71" s="177"/>
      <c r="T71" s="177"/>
    </row>
    <row r="72" spans="2:20" s="73" customFormat="1" x14ac:dyDescent="0.3">
      <c r="B72" s="1"/>
      <c r="C72" s="177"/>
      <c r="D72" s="177"/>
      <c r="E72" s="177"/>
      <c r="F72" s="177"/>
      <c r="G72" s="177"/>
      <c r="H72" s="177"/>
      <c r="I72" s="1"/>
      <c r="J72" s="177"/>
      <c r="K72" s="177"/>
      <c r="L72" s="177"/>
      <c r="M72" s="177"/>
      <c r="N72" s="177"/>
      <c r="O72" s="177"/>
      <c r="P72" s="1"/>
      <c r="Q72" s="177"/>
      <c r="R72" s="177"/>
      <c r="S72" s="177"/>
      <c r="T72" s="177"/>
    </row>
    <row r="73" spans="2:20" s="73" customFormat="1" x14ac:dyDescent="0.3">
      <c r="B73" s="1"/>
      <c r="C73" s="177"/>
      <c r="D73" s="177"/>
      <c r="E73" s="177"/>
      <c r="F73" s="177"/>
      <c r="G73" s="177"/>
      <c r="H73" s="177"/>
      <c r="I73" s="1"/>
      <c r="J73" s="177"/>
      <c r="K73" s="177"/>
      <c r="L73" s="177"/>
      <c r="M73" s="177"/>
      <c r="N73" s="177"/>
      <c r="O73" s="177"/>
      <c r="P73" s="1"/>
      <c r="Q73" s="177"/>
      <c r="R73" s="177"/>
      <c r="S73" s="177"/>
      <c r="T73" s="177"/>
    </row>
    <row r="74" spans="2:20" s="73" customFormat="1" x14ac:dyDescent="0.3">
      <c r="B74" s="1"/>
      <c r="C74" s="177"/>
      <c r="D74" s="177"/>
      <c r="E74" s="177"/>
      <c r="F74" s="177"/>
      <c r="G74" s="177"/>
      <c r="H74" s="177"/>
      <c r="I74" s="1"/>
      <c r="J74" s="177"/>
      <c r="K74" s="177"/>
      <c r="L74" s="177"/>
      <c r="M74" s="177"/>
      <c r="N74" s="177"/>
      <c r="O74" s="177"/>
      <c r="P74" s="1"/>
      <c r="Q74" s="177"/>
      <c r="R74" s="177"/>
      <c r="S74" s="177"/>
      <c r="T74" s="177"/>
    </row>
    <row r="75" spans="2:20" s="73" customFormat="1" x14ac:dyDescent="0.3">
      <c r="B75" s="1"/>
      <c r="C75" s="177"/>
      <c r="D75" s="177"/>
      <c r="E75" s="177"/>
      <c r="F75" s="177"/>
      <c r="G75" s="177"/>
      <c r="H75" s="177"/>
      <c r="I75" s="1"/>
      <c r="J75" s="177"/>
      <c r="K75" s="177"/>
      <c r="L75" s="177"/>
      <c r="M75" s="177"/>
      <c r="N75" s="177"/>
      <c r="O75" s="177"/>
      <c r="P75" s="1"/>
      <c r="Q75" s="177"/>
      <c r="R75" s="177"/>
      <c r="S75" s="177"/>
      <c r="T75" s="177"/>
    </row>
    <row r="76" spans="2:20" s="73" customFormat="1" x14ac:dyDescent="0.3">
      <c r="B76" s="1"/>
      <c r="C76" s="177"/>
      <c r="D76" s="177"/>
      <c r="E76" s="177"/>
      <c r="F76" s="177"/>
      <c r="G76" s="177"/>
      <c r="H76" s="177"/>
      <c r="I76" s="1"/>
      <c r="J76" s="177"/>
      <c r="K76" s="177"/>
      <c r="L76" s="177"/>
      <c r="M76" s="177"/>
      <c r="N76" s="177"/>
      <c r="O76" s="177"/>
      <c r="P76" s="1"/>
      <c r="Q76" s="177"/>
      <c r="R76" s="177"/>
      <c r="S76" s="177"/>
      <c r="T76" s="177"/>
    </row>
    <row r="77" spans="2:20" s="73" customFormat="1" x14ac:dyDescent="0.3">
      <c r="B77" s="1"/>
      <c r="C77" s="177"/>
      <c r="D77" s="177"/>
      <c r="E77" s="177"/>
      <c r="F77" s="177"/>
      <c r="G77" s="177"/>
      <c r="H77" s="177"/>
      <c r="I77" s="1"/>
      <c r="J77" s="177"/>
      <c r="K77" s="177"/>
      <c r="L77" s="177"/>
      <c r="M77" s="177"/>
      <c r="N77" s="177"/>
      <c r="O77" s="177"/>
      <c r="P77" s="1"/>
      <c r="Q77" s="177"/>
      <c r="R77" s="177"/>
      <c r="S77" s="177"/>
      <c r="T77" s="177"/>
    </row>
    <row r="78" spans="2:20" s="73" customFormat="1" x14ac:dyDescent="0.3">
      <c r="B78" s="1"/>
      <c r="C78" s="177"/>
      <c r="D78" s="177"/>
      <c r="E78" s="177"/>
      <c r="F78" s="177"/>
      <c r="G78" s="177"/>
      <c r="H78" s="177"/>
      <c r="I78" s="1"/>
      <c r="J78" s="177"/>
      <c r="K78" s="177"/>
      <c r="L78" s="177"/>
      <c r="M78" s="177"/>
      <c r="N78" s="177"/>
      <c r="O78" s="177"/>
      <c r="P78" s="1"/>
      <c r="Q78" s="177"/>
      <c r="R78" s="177"/>
      <c r="S78" s="177"/>
      <c r="T78" s="177"/>
    </row>
    <row r="79" spans="2:20" s="73" customFormat="1" x14ac:dyDescent="0.3">
      <c r="B79" s="1"/>
      <c r="C79" s="177"/>
      <c r="D79" s="177"/>
      <c r="E79" s="177"/>
      <c r="F79" s="177"/>
      <c r="G79" s="177"/>
      <c r="H79" s="177"/>
      <c r="I79" s="1"/>
      <c r="J79" s="177"/>
      <c r="K79" s="177"/>
      <c r="L79" s="177"/>
      <c r="M79" s="177"/>
      <c r="N79" s="177"/>
      <c r="O79" s="177"/>
      <c r="P79" s="1"/>
      <c r="Q79" s="177"/>
      <c r="R79" s="177"/>
      <c r="S79" s="177"/>
      <c r="T79" s="177"/>
    </row>
    <row r="80" spans="2:20" s="73" customFormat="1" x14ac:dyDescent="0.3">
      <c r="B80" s="1"/>
      <c r="C80" s="177"/>
      <c r="D80" s="177"/>
      <c r="E80" s="177"/>
      <c r="F80" s="177"/>
      <c r="G80" s="177"/>
      <c r="H80" s="177"/>
      <c r="I80" s="1"/>
      <c r="J80" s="177"/>
      <c r="K80" s="177"/>
      <c r="L80" s="177"/>
      <c r="M80" s="177"/>
      <c r="N80" s="177"/>
      <c r="O80" s="177"/>
      <c r="P80" s="1"/>
      <c r="Q80" s="177"/>
      <c r="R80" s="177"/>
      <c r="S80" s="177"/>
      <c r="T80" s="177"/>
    </row>
    <row r="81" spans="2:20" s="73" customFormat="1" x14ac:dyDescent="0.3">
      <c r="B81" s="1"/>
      <c r="C81" s="177"/>
      <c r="D81" s="177"/>
      <c r="E81" s="177"/>
      <c r="F81" s="177"/>
      <c r="G81" s="177"/>
      <c r="H81" s="177"/>
      <c r="I81" s="1"/>
      <c r="J81" s="177"/>
      <c r="K81" s="177"/>
      <c r="L81" s="177"/>
      <c r="M81" s="177"/>
      <c r="N81" s="177"/>
      <c r="O81" s="177"/>
      <c r="P81" s="1"/>
      <c r="Q81" s="177"/>
      <c r="R81" s="177"/>
      <c r="S81" s="177"/>
      <c r="T81" s="177"/>
    </row>
    <row r="82" spans="2:20" s="73" customFormat="1" x14ac:dyDescent="0.3">
      <c r="B82" s="1"/>
      <c r="C82" s="177"/>
      <c r="D82" s="177"/>
      <c r="E82" s="177"/>
      <c r="F82" s="177"/>
      <c r="G82" s="177"/>
      <c r="H82" s="177"/>
      <c r="I82" s="1"/>
      <c r="J82" s="177"/>
      <c r="K82" s="177"/>
      <c r="L82" s="177"/>
      <c r="M82" s="177"/>
      <c r="N82" s="177"/>
      <c r="O82" s="177"/>
      <c r="P82" s="1"/>
      <c r="Q82" s="177"/>
      <c r="R82" s="177"/>
      <c r="S82" s="177"/>
      <c r="T82" s="177"/>
    </row>
    <row r="83" spans="2:20" s="73" customFormat="1" x14ac:dyDescent="0.3">
      <c r="B83" s="1"/>
      <c r="C83" s="177"/>
      <c r="D83" s="177"/>
      <c r="E83" s="177"/>
      <c r="F83" s="177"/>
      <c r="G83" s="177"/>
      <c r="H83" s="177"/>
      <c r="I83" s="1"/>
      <c r="J83" s="177"/>
      <c r="K83" s="177"/>
      <c r="L83" s="177"/>
      <c r="M83" s="177"/>
      <c r="N83" s="177"/>
      <c r="O83" s="177"/>
      <c r="P83" s="1"/>
      <c r="Q83" s="177"/>
      <c r="R83" s="177"/>
      <c r="S83" s="177"/>
      <c r="T83" s="177"/>
    </row>
    <row r="84" spans="2:20" s="73" customFormat="1" x14ac:dyDescent="0.3">
      <c r="B84" s="1"/>
      <c r="C84" s="177"/>
      <c r="D84" s="177"/>
      <c r="E84" s="177"/>
      <c r="F84" s="177"/>
      <c r="G84" s="177"/>
      <c r="H84" s="177"/>
      <c r="I84" s="1"/>
      <c r="J84" s="177"/>
      <c r="K84" s="177"/>
      <c r="L84" s="177"/>
      <c r="M84" s="177"/>
      <c r="N84" s="177"/>
      <c r="O84" s="177"/>
      <c r="P84" s="1"/>
      <c r="Q84" s="177"/>
      <c r="R84" s="177"/>
      <c r="S84" s="177"/>
      <c r="T84" s="177"/>
    </row>
    <row r="85" spans="2:20" s="73" customFormat="1" x14ac:dyDescent="0.3">
      <c r="B85" s="1"/>
      <c r="C85" s="177"/>
      <c r="D85" s="177"/>
      <c r="E85" s="177"/>
      <c r="F85" s="177"/>
      <c r="G85" s="177"/>
      <c r="H85" s="177"/>
      <c r="I85" s="1"/>
      <c r="J85" s="177"/>
      <c r="K85" s="177"/>
      <c r="L85" s="177"/>
      <c r="M85" s="177"/>
      <c r="N85" s="177"/>
      <c r="O85" s="177"/>
      <c r="P85" s="1"/>
      <c r="Q85" s="177"/>
      <c r="R85" s="177"/>
      <c r="S85" s="177"/>
      <c r="T85" s="177"/>
    </row>
    <row r="86" spans="2:20" s="73" customFormat="1" x14ac:dyDescent="0.3">
      <c r="B86" s="1"/>
      <c r="C86" s="177"/>
      <c r="D86" s="177"/>
      <c r="E86" s="177"/>
      <c r="F86" s="177"/>
      <c r="G86" s="177"/>
      <c r="H86" s="177"/>
      <c r="I86" s="1"/>
      <c r="J86" s="177"/>
      <c r="K86" s="177"/>
      <c r="L86" s="177"/>
      <c r="M86" s="177"/>
      <c r="N86" s="177"/>
      <c r="O86" s="177"/>
      <c r="P86" s="1"/>
      <c r="Q86" s="177"/>
      <c r="R86" s="177"/>
      <c r="S86" s="177"/>
      <c r="T86" s="177"/>
    </row>
    <row r="87" spans="2:20" s="73" customFormat="1" x14ac:dyDescent="0.3">
      <c r="B87" s="1"/>
      <c r="C87" s="177"/>
      <c r="D87" s="177"/>
      <c r="E87" s="177"/>
      <c r="F87" s="177"/>
      <c r="G87" s="177"/>
      <c r="H87" s="177"/>
      <c r="I87" s="1"/>
      <c r="J87" s="177"/>
      <c r="K87" s="177"/>
      <c r="L87" s="177"/>
      <c r="M87" s="177"/>
      <c r="N87" s="177"/>
      <c r="O87" s="177"/>
      <c r="P87" s="1"/>
      <c r="Q87" s="177"/>
      <c r="R87" s="177"/>
      <c r="S87" s="177"/>
      <c r="T87" s="177"/>
    </row>
    <row r="88" spans="2:20" s="73" customFormat="1" x14ac:dyDescent="0.3">
      <c r="B88" s="1"/>
      <c r="C88" s="177"/>
      <c r="D88" s="177"/>
      <c r="E88" s="177"/>
      <c r="F88" s="177"/>
      <c r="G88" s="177"/>
      <c r="H88" s="177"/>
      <c r="I88" s="1"/>
      <c r="J88" s="177"/>
      <c r="K88" s="177"/>
      <c r="L88" s="177"/>
      <c r="M88" s="177"/>
      <c r="N88" s="177"/>
      <c r="O88" s="177"/>
      <c r="P88" s="1"/>
      <c r="Q88" s="177"/>
      <c r="R88" s="177"/>
      <c r="S88" s="177"/>
      <c r="T88" s="177"/>
    </row>
    <row r="89" spans="2:20" s="73" customFormat="1" x14ac:dyDescent="0.3">
      <c r="B89" s="1"/>
      <c r="C89" s="177"/>
      <c r="D89" s="177"/>
      <c r="E89" s="177"/>
      <c r="F89" s="177"/>
      <c r="G89" s="177"/>
      <c r="H89" s="177"/>
      <c r="I89" s="1"/>
      <c r="J89" s="177"/>
      <c r="K89" s="177"/>
      <c r="L89" s="177"/>
      <c r="M89" s="177"/>
      <c r="N89" s="177"/>
      <c r="O89" s="177"/>
      <c r="P89" s="1"/>
      <c r="Q89" s="177"/>
      <c r="R89" s="177"/>
      <c r="S89" s="177"/>
      <c r="T89" s="177"/>
    </row>
    <row r="90" spans="2:20" s="73" customFormat="1" x14ac:dyDescent="0.3">
      <c r="B90" s="1"/>
      <c r="C90" s="177"/>
      <c r="D90" s="177"/>
      <c r="E90" s="177"/>
      <c r="F90" s="177"/>
      <c r="G90" s="177"/>
      <c r="H90" s="177"/>
      <c r="I90" s="1"/>
      <c r="J90" s="177"/>
      <c r="K90" s="177"/>
      <c r="L90" s="177"/>
      <c r="M90" s="177"/>
      <c r="N90" s="177"/>
      <c r="O90" s="177"/>
      <c r="P90" s="1"/>
      <c r="Q90" s="177"/>
      <c r="R90" s="177"/>
      <c r="S90" s="177"/>
      <c r="T90" s="177"/>
    </row>
    <row r="91" spans="2:20" x14ac:dyDescent="0.3">
      <c r="B91" s="177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78"/>
      <c r="O91" s="178"/>
      <c r="P91" s="178"/>
      <c r="Q91" s="178"/>
      <c r="R91" s="176"/>
      <c r="S91" s="176"/>
      <c r="T91" s="176"/>
    </row>
    <row r="92" spans="2:20" x14ac:dyDescent="0.3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2:20" x14ac:dyDescent="0.3">
      <c r="G93" s="1"/>
      <c r="H93" s="1"/>
      <c r="I93" s="1"/>
      <c r="J93" s="1"/>
      <c r="K93" s="1"/>
      <c r="L93" s="1"/>
      <c r="M93" s="1"/>
      <c r="N93" s="1"/>
      <c r="O93" s="1"/>
      <c r="P93" s="1" t="s">
        <v>87</v>
      </c>
      <c r="Q93" s="1"/>
      <c r="R93" s="1"/>
      <c r="S93" s="1"/>
      <c r="T93" s="1"/>
    </row>
    <row r="94" spans="2:20" ht="26" customHeight="1" x14ac:dyDescent="0.3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2:20" ht="26" customHeight="1" x14ac:dyDescent="0.3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2:20" ht="26" customHeight="1" x14ac:dyDescent="0.3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2:20" x14ac:dyDescent="0.3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2:20" x14ac:dyDescent="0.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2:20" x14ac:dyDescent="0.3"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2:20" x14ac:dyDescent="0.3"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2:20" x14ac:dyDescent="0.3"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2:20" x14ac:dyDescent="0.3"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2:20" x14ac:dyDescent="0.3"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2:20" x14ac:dyDescent="0.3"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2:20" x14ac:dyDescent="0.3"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2:20" x14ac:dyDescent="0.3"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2:20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2:20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2:20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2:20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2:20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2:20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2:20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2:20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2:20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2:20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2:20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2:20" x14ac:dyDescent="0.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2:20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2:20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2:20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</sheetData>
  <mergeCells count="2">
    <mergeCell ref="B2:H2"/>
    <mergeCell ref="B3:H3"/>
  </mergeCells>
  <conditionalFormatting sqref="C36 D36:F37">
    <cfRule type="iconSet" priority="16">
      <iconSet iconSet="4Arrows">
        <cfvo type="percent" val="0"/>
        <cfvo type="num" val="0"/>
        <cfvo type="num" val="0"/>
        <cfvo type="num" val="0"/>
      </iconSet>
    </cfRule>
    <cfRule type="iconSet" priority="17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18">
      <iconSet iconSet="3Arrows">
        <cfvo type="percent" val="0"/>
        <cfvo type="percent" val="33"/>
        <cfvo type="percent" val="67"/>
      </iconSet>
    </cfRule>
  </conditionalFormatting>
  <conditionalFormatting sqref="C36">
    <cfRule type="cellIs" dxfId="111" priority="12" operator="lessThan">
      <formula>0</formula>
    </cfRule>
  </conditionalFormatting>
  <conditionalFormatting sqref="C37 J25:M90 M23:M24">
    <cfRule type="iconSet" priority="32">
      <iconSet iconSet="3Arrows">
        <cfvo type="percent" val="0"/>
        <cfvo type="percent" val="33"/>
        <cfvo type="percent" val="67"/>
      </iconSet>
    </cfRule>
  </conditionalFormatting>
  <conditionalFormatting sqref="C52:D90 C38:D38 C22:D23">
    <cfRule type="iconSet" priority="30">
      <iconSet iconSet="3Arrows">
        <cfvo type="percent" val="0"/>
        <cfvo type="percent" val="33"/>
        <cfvo type="percent" val="67"/>
      </iconSet>
    </cfRule>
  </conditionalFormatting>
  <conditionalFormatting sqref="C21:F21">
    <cfRule type="cellIs" dxfId="110" priority="1" operator="lessThan">
      <formula>0</formula>
    </cfRule>
    <cfRule type="iconSet" priority="3">
      <iconSet iconSet="4Arrows">
        <cfvo type="percent" val="0"/>
        <cfvo type="num" val="0"/>
        <cfvo type="num" val="0"/>
        <cfvo type="num" val="0"/>
      </iconSet>
    </cfRule>
    <cfRule type="iconSet" priority="4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C51:F51">
    <cfRule type="cellIs" dxfId="109" priority="6" operator="lessThan">
      <formula>0</formula>
    </cfRule>
    <cfRule type="iconSet" priority="8">
      <iconSet iconSet="4Arrows">
        <cfvo type="percent" val="0"/>
        <cfvo type="num" val="0"/>
        <cfvo type="num" val="0"/>
        <cfvo type="num" val="0"/>
      </iconSet>
    </cfRule>
    <cfRule type="iconSet" priority="9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D36:F37">
    <cfRule type="cellIs" dxfId="108" priority="11" operator="lessThan">
      <formula>0</formula>
    </cfRule>
  </conditionalFormatting>
  <conditionalFormatting sqref="J10:J12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{94671344-5066-43C5-83E5-0CBF14FEE588}</x14:id>
        </ext>
      </extLst>
    </cfRule>
  </conditionalFormatting>
  <conditionalFormatting sqref="J10:N10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{69CC2FC1-D346-4940-B4D6-574805E44D51}</x14:id>
        </ext>
      </extLst>
    </cfRule>
  </conditionalFormatting>
  <conditionalFormatting sqref="J11:N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{1608A9E3-8CEC-43BC-A611-A3D21B527A7B}</x14:id>
        </ext>
      </extLst>
    </cfRule>
  </conditionalFormatting>
  <conditionalFormatting sqref="J12:N12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{F012B70C-EE13-4E2F-98E8-5C51FE7B0D33}</x14:id>
        </ext>
      </extLst>
    </cfRule>
  </conditionalFormatting>
  <conditionalFormatting sqref="K10:K12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{83FA66E7-49C0-4B0C-AFEA-3C64ADADE98F}</x14:id>
        </ext>
      </extLst>
    </cfRule>
  </conditionalFormatting>
  <conditionalFormatting sqref="L10:L12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{525F321D-3495-42A2-8ACC-0E0C64750E17}</x14:id>
        </ext>
      </extLst>
    </cfRule>
  </conditionalFormatting>
  <conditionalFormatting sqref="M10:M1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{D208FA7B-9960-4728-BC58-83B8C17D3F67}</x14:id>
        </ext>
      </extLst>
    </cfRule>
  </conditionalFormatting>
  <conditionalFormatting sqref="N10:N12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{6FA3A01D-461F-4F4C-A822-3F69BE2ACE9D}</x14:id>
        </ext>
      </extLst>
    </cfRule>
  </conditionalFormatting>
  <conditionalFormatting sqref="R22:T90">
    <cfRule type="iconSet" priority="31">
      <iconSet iconSet="3Arrows">
        <cfvo type="percent" val="0"/>
        <cfvo type="percent" val="33"/>
        <cfvo type="percent" val="67"/>
      </iconSet>
    </cfRule>
  </conditionalFormatting>
  <pageMargins left="0.25" right="0.25" top="0.75" bottom="0.75" header="0.3" footer="0.3"/>
  <pageSetup scale="67" orientation="landscape" r:id="rId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671344-5066-43C5-83E5-0CBF14FEE5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J10:J12</xm:sqref>
        </x14:conditionalFormatting>
        <x14:conditionalFormatting xmlns:xm="http://schemas.microsoft.com/office/excel/2006/main">
          <x14:cfRule type="dataBar" id="{69CC2FC1-D346-4940-B4D6-574805E44D5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J10:N10</xm:sqref>
        </x14:conditionalFormatting>
        <x14:conditionalFormatting xmlns:xm="http://schemas.microsoft.com/office/excel/2006/main">
          <x14:cfRule type="dataBar" id="{1608A9E3-8CEC-43BC-A611-A3D21B527A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J11:N11</xm:sqref>
        </x14:conditionalFormatting>
        <x14:conditionalFormatting xmlns:xm="http://schemas.microsoft.com/office/excel/2006/main">
          <x14:cfRule type="dataBar" id="{F012B70C-EE13-4E2F-98E8-5C51FE7B0D3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J12:N12</xm:sqref>
        </x14:conditionalFormatting>
        <x14:conditionalFormatting xmlns:xm="http://schemas.microsoft.com/office/excel/2006/main">
          <x14:cfRule type="dataBar" id="{83FA66E7-49C0-4B0C-AFEA-3C64ADADE9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K10:K12</xm:sqref>
        </x14:conditionalFormatting>
        <x14:conditionalFormatting xmlns:xm="http://schemas.microsoft.com/office/excel/2006/main">
          <x14:cfRule type="dataBar" id="{525F321D-3495-42A2-8ACC-0E0C64750E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L10:L12</xm:sqref>
        </x14:conditionalFormatting>
        <x14:conditionalFormatting xmlns:xm="http://schemas.microsoft.com/office/excel/2006/main">
          <x14:cfRule type="dataBar" id="{D208FA7B-9960-4728-BC58-83B8C17D3F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M10:M12</xm:sqref>
        </x14:conditionalFormatting>
        <x14:conditionalFormatting xmlns:xm="http://schemas.microsoft.com/office/excel/2006/main">
          <x14:cfRule type="dataBar" id="{6FA3A01D-461F-4F4C-A822-3F69BE2ACE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N10:N12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1605-ACB1-4AFA-B759-AE7B017D71A8}">
  <sheetPr codeName="Hoja7">
    <pageSetUpPr fitToPage="1"/>
  </sheetPr>
  <dimension ref="B1:T136"/>
  <sheetViews>
    <sheetView showGridLines="0" topLeftCell="B15" zoomScale="80" zoomScaleNormal="80" workbookViewId="0">
      <selection activeCell="X20" sqref="X20"/>
    </sheetView>
  </sheetViews>
  <sheetFormatPr baseColWidth="10" defaultRowHeight="14" x14ac:dyDescent="0.3"/>
  <cols>
    <col min="1" max="1" width="1.08203125" customWidth="1"/>
    <col min="2" max="2" width="21.58203125" bestFit="1" customWidth="1"/>
    <col min="3" max="6" width="11.33203125" bestFit="1" customWidth="1"/>
    <col min="7" max="7" width="2.1640625" customWidth="1"/>
    <col min="8" max="8" width="2.9140625" customWidth="1"/>
    <col min="9" max="9" width="8.08203125" customWidth="1"/>
    <col min="10" max="10" width="17.9140625" customWidth="1"/>
    <col min="11" max="11" width="12.08203125" bestFit="1" customWidth="1"/>
    <col min="12" max="13" width="12.08203125" hidden="1" customWidth="1"/>
    <col min="14" max="14" width="16" customWidth="1"/>
    <col min="15" max="15" width="10.1640625" customWidth="1"/>
    <col min="16" max="16" width="8.1640625" customWidth="1"/>
    <col min="17" max="17" width="10.9140625" bestFit="1" customWidth="1"/>
    <col min="18" max="18" width="5.58203125" customWidth="1"/>
    <col min="19" max="19" width="10.9140625" bestFit="1" customWidth="1"/>
    <col min="20" max="20" width="2.1640625" customWidth="1"/>
    <col min="22" max="22" width="15.08203125" customWidth="1"/>
  </cols>
  <sheetData>
    <row r="1" spans="2:20" ht="9.6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20" x14ac:dyDescent="0.3">
      <c r="B2" s="238" t="s">
        <v>354</v>
      </c>
      <c r="C2" s="238"/>
      <c r="D2" s="238"/>
      <c r="E2" s="238"/>
      <c r="F2" s="238"/>
      <c r="G2" s="238"/>
      <c r="H2" s="238"/>
      <c r="I2" s="1"/>
      <c r="J2" s="168"/>
      <c r="K2" s="168"/>
      <c r="L2" s="168"/>
      <c r="M2" s="168"/>
      <c r="N2" s="168"/>
      <c r="O2" s="168"/>
      <c r="P2" s="168"/>
      <c r="Q2" s="1"/>
      <c r="R2" s="1"/>
      <c r="S2" s="1"/>
    </row>
    <row r="3" spans="2:20" x14ac:dyDescent="0.3">
      <c r="B3" s="238" t="s">
        <v>355</v>
      </c>
      <c r="C3" s="238"/>
      <c r="D3" s="238"/>
      <c r="E3" s="238"/>
      <c r="F3" s="238"/>
      <c r="G3" s="238"/>
      <c r="H3" s="238"/>
      <c r="I3" s="1"/>
      <c r="J3" s="168"/>
      <c r="K3" s="168"/>
      <c r="L3" s="168"/>
      <c r="M3" s="168"/>
      <c r="N3" s="168"/>
      <c r="O3" s="168"/>
      <c r="P3" s="168"/>
      <c r="Q3" s="1"/>
      <c r="R3" s="1"/>
      <c r="S3" s="1"/>
    </row>
    <row r="4" spans="2:20" ht="22.25" customHeight="1" x14ac:dyDescent="0.3">
      <c r="B4" s="1"/>
      <c r="C4" s="1"/>
      <c r="D4" s="1"/>
      <c r="E4" s="1"/>
      <c r="F4" s="1"/>
      <c r="G4" s="1"/>
      <c r="H4" s="1"/>
      <c r="I4" s="165" t="s">
        <v>452</v>
      </c>
      <c r="J4" s="165" t="s">
        <v>351</v>
      </c>
      <c r="K4" s="179" t="s">
        <v>352</v>
      </c>
      <c r="L4" s="179" t="s">
        <v>353</v>
      </c>
      <c r="M4" s="180" t="s">
        <v>378</v>
      </c>
      <c r="N4" s="180" t="s">
        <v>461</v>
      </c>
      <c r="O4" s="1"/>
      <c r="Q4" s="1"/>
      <c r="R4" s="1"/>
      <c r="S4" s="1"/>
      <c r="T4" s="1"/>
    </row>
    <row r="5" spans="2:20" ht="22.25" customHeight="1" x14ac:dyDescent="0.3">
      <c r="B5" s="1"/>
      <c r="C5" s="1"/>
      <c r="D5" s="1"/>
      <c r="E5" s="1"/>
      <c r="F5" s="1"/>
      <c r="G5" s="1"/>
      <c r="H5" s="1"/>
      <c r="I5" s="166">
        <v>2025</v>
      </c>
      <c r="J5" s="185">
        <f>+C18</f>
        <v>39542991.308500007</v>
      </c>
      <c r="K5" s="185">
        <f>+D18</f>
        <v>59196947.773000002</v>
      </c>
      <c r="L5" s="185">
        <f>+E18</f>
        <v>63513735.723999992</v>
      </c>
      <c r="M5" s="187">
        <f>+F18</f>
        <v>0</v>
      </c>
      <c r="N5" s="187">
        <f>SUM(J5:K5)</f>
        <v>98739939.081500009</v>
      </c>
      <c r="Q5" s="206"/>
      <c r="R5" s="1"/>
      <c r="S5" s="1"/>
      <c r="T5" s="1"/>
    </row>
    <row r="6" spans="2:20" ht="22.25" customHeight="1" x14ac:dyDescent="0.3">
      <c r="B6" s="170" t="s">
        <v>480</v>
      </c>
      <c r="C6" s="200">
        <f>+C18/C34-1</f>
        <v>-0.91731826849175546</v>
      </c>
      <c r="D6" s="200">
        <f>+D18/D34-1</f>
        <v>-0.88214895854027719</v>
      </c>
      <c r="E6" s="200">
        <f>+E18/E34-1</f>
        <v>-0.83120136092372632</v>
      </c>
      <c r="F6" s="200">
        <f>+F18/F34-1</f>
        <v>-1</v>
      </c>
      <c r="G6" s="1"/>
      <c r="H6" s="1"/>
      <c r="I6" s="166">
        <v>2024</v>
      </c>
      <c r="J6" s="185">
        <f>+C34</f>
        <v>478255481.436755</v>
      </c>
      <c r="K6" s="185">
        <f>+D34</f>
        <v>502303136.56779504</v>
      </c>
      <c r="L6" s="185">
        <f>+E34</f>
        <v>376269240.50791997</v>
      </c>
      <c r="M6" s="187">
        <f>+F34</f>
        <v>556674110.54490995</v>
      </c>
      <c r="N6" s="187">
        <f>SUM(J6:K6)</f>
        <v>980558618.00454998</v>
      </c>
      <c r="O6" s="177">
        <f>+N5/N6-1</f>
        <v>-0.89930235962594762</v>
      </c>
      <c r="P6" s="73"/>
      <c r="Q6" s="1"/>
      <c r="R6" s="1"/>
      <c r="S6" s="1"/>
      <c r="T6" s="1"/>
    </row>
    <row r="7" spans="2:20" ht="22.25" customHeight="1" thickBot="1" x14ac:dyDescent="0.35">
      <c r="B7" s="168">
        <v>2025</v>
      </c>
      <c r="C7" s="1"/>
      <c r="D7" s="1"/>
      <c r="E7" s="1"/>
      <c r="F7" s="1"/>
      <c r="G7" s="1"/>
      <c r="H7" s="1"/>
      <c r="I7" s="166">
        <v>2023</v>
      </c>
      <c r="J7" s="185">
        <f>+GETPIVOTDATA("Cuarter 1 ",$B$40)</f>
        <v>614286450.81660008</v>
      </c>
      <c r="K7" s="185">
        <f>+GETPIVOTDATA("Cuarter 2 ",$B$40)</f>
        <v>587665949.25895739</v>
      </c>
      <c r="L7" s="185">
        <f>+GETPIVOTDATA("Cuarter 3 ",$B$40)</f>
        <v>590674151.90864003</v>
      </c>
      <c r="M7" s="187">
        <f>+GETPIVOTDATA("Cuarter 4 ",$B$40)</f>
        <v>634779830.74089992</v>
      </c>
      <c r="N7" s="187">
        <f>SUM(J7:K7)</f>
        <v>1201952400.0755575</v>
      </c>
      <c r="O7" s="73">
        <f>+N5/N7-1</f>
        <v>-0.91785037487733045</v>
      </c>
      <c r="Q7" s="1"/>
      <c r="R7" s="1"/>
      <c r="S7" s="1"/>
      <c r="T7" s="1"/>
    </row>
    <row r="8" spans="2:20" ht="22.25" customHeight="1" x14ac:dyDescent="0.3">
      <c r="B8" s="189" t="s">
        <v>451</v>
      </c>
      <c r="C8" s="189" t="s">
        <v>351</v>
      </c>
      <c r="D8" s="189" t="s">
        <v>352</v>
      </c>
      <c r="E8" s="189" t="s">
        <v>353</v>
      </c>
      <c r="F8" s="189" t="s">
        <v>378</v>
      </c>
      <c r="G8" s="1"/>
      <c r="H8" s="1"/>
      <c r="I8" s="167">
        <v>2022</v>
      </c>
      <c r="J8" s="186">
        <f>+GETPIVOTDATA("Cuarter 1 ",$B$55)</f>
        <v>414057470.59413958</v>
      </c>
      <c r="K8" s="186">
        <f>+GETPIVOTDATA("Cuarter 2 ",$B$55)</f>
        <v>460089150.20757723</v>
      </c>
      <c r="L8" s="186">
        <f>+GETPIVOTDATA("Cuarter 3 ",$B$55)</f>
        <v>352259720.713422</v>
      </c>
      <c r="M8" s="188">
        <f>+GETPIVOTDATA(" cuarter 4",$B$55)</f>
        <v>557067484.903216</v>
      </c>
      <c r="N8" s="188">
        <f>SUM(J8:K8)</f>
        <v>874146620.8017168</v>
      </c>
      <c r="O8" s="73">
        <f>+N5/N8-1</f>
        <v>-0.88704419060621498</v>
      </c>
      <c r="Q8" s="1"/>
      <c r="R8" s="1"/>
      <c r="S8" s="1"/>
      <c r="T8" s="1"/>
    </row>
    <row r="9" spans="2:20" x14ac:dyDescent="0.3">
      <c r="B9" s="172" t="s">
        <v>260</v>
      </c>
      <c r="C9" s="191">
        <f>SUM([2]TD!$C$8:$E$8)</f>
        <v>39542991.308500007</v>
      </c>
      <c r="D9" s="191">
        <f>SUM([2]TD!$F$8:$H$8)</f>
        <v>59196947.773000002</v>
      </c>
      <c r="E9" s="191">
        <f>SUM([2]TD!$I$8:$K$8)</f>
        <v>63513735.723999992</v>
      </c>
      <c r="F9" s="19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2:20" x14ac:dyDescent="0.3">
      <c r="B10" s="172" t="s">
        <v>448</v>
      </c>
      <c r="C10" s="191">
        <f>SUM([2]TD!$C$24:$E$24)</f>
        <v>0</v>
      </c>
      <c r="D10" s="191">
        <f>SUM([2]TD!$F$24:$H$24)</f>
        <v>0</v>
      </c>
      <c r="E10" s="191">
        <f>SUM([2]TD!$I$24:$K$24)</f>
        <v>0</v>
      </c>
      <c r="F10" s="191"/>
      <c r="G10" s="1"/>
      <c r="H10" s="1"/>
      <c r="I10" t="s">
        <v>481</v>
      </c>
      <c r="O10" s="1"/>
      <c r="Q10" s="1"/>
      <c r="R10" s="1"/>
      <c r="S10" s="1"/>
      <c r="T10" s="1"/>
    </row>
    <row r="11" spans="2:20" x14ac:dyDescent="0.3">
      <c r="B11" s="172" t="s">
        <v>262</v>
      </c>
      <c r="C11" s="191"/>
      <c r="D11" s="191"/>
      <c r="E11" s="191"/>
      <c r="F11" s="191"/>
      <c r="G11" s="1"/>
      <c r="H11" s="1"/>
      <c r="I11" s="182">
        <f>+O6</f>
        <v>-0.89930235962594762</v>
      </c>
      <c r="J11" s="184" t="s">
        <v>482</v>
      </c>
      <c r="K11" s="1"/>
      <c r="L11" s="1"/>
      <c r="O11" s="1"/>
      <c r="Q11" s="1"/>
      <c r="R11" s="1"/>
      <c r="S11" s="1"/>
      <c r="T11" s="1"/>
    </row>
    <row r="12" spans="2:20" x14ac:dyDescent="0.3">
      <c r="B12" s="172" t="s">
        <v>7</v>
      </c>
      <c r="C12" s="191">
        <f>SUM([2]TD!$C$37:$E$37)</f>
        <v>0</v>
      </c>
      <c r="D12" s="191">
        <f>SUM([2]TD!$F$37:$H$37)</f>
        <v>0</v>
      </c>
      <c r="E12" s="191">
        <f>SUM([2]TD!$I$37:$K$37)</f>
        <v>0</v>
      </c>
      <c r="F12" s="191"/>
      <c r="G12" s="1"/>
      <c r="H12" s="1"/>
      <c r="I12" s="1"/>
      <c r="K12" s="1"/>
      <c r="L12" s="1"/>
      <c r="O12" s="1"/>
      <c r="Q12" s="1"/>
      <c r="R12" s="1"/>
      <c r="S12" s="1"/>
      <c r="T12" s="1"/>
    </row>
    <row r="13" spans="2:20" x14ac:dyDescent="0.3">
      <c r="B13" s="172" t="s">
        <v>447</v>
      </c>
      <c r="C13" s="191">
        <f>SUM([2]TD!$C$83:$E$83)</f>
        <v>0</v>
      </c>
      <c r="D13" s="191">
        <f>SUM([2]TD!$F$83:$H$83)</f>
        <v>0</v>
      </c>
      <c r="E13" s="191">
        <f>SUM([2]TD!$I$83:$K$83)</f>
        <v>0</v>
      </c>
      <c r="F13" s="191"/>
      <c r="G13" s="1"/>
      <c r="H13" s="1"/>
      <c r="I13" s="183"/>
      <c r="J13" s="1"/>
      <c r="K13" s="1"/>
      <c r="L13" s="1"/>
      <c r="O13" s="1"/>
      <c r="P13" s="1"/>
      <c r="Q13" s="1"/>
      <c r="R13" s="1"/>
      <c r="S13" s="1"/>
      <c r="T13" s="1"/>
    </row>
    <row r="14" spans="2:20" x14ac:dyDescent="0.3">
      <c r="B14" s="172" t="s">
        <v>93</v>
      </c>
      <c r="C14" s="191">
        <f>SUM([2]TD!$C$77:$E$77)</f>
        <v>0</v>
      </c>
      <c r="D14" s="191">
        <f>SUM([2]TD!$F$77:$H$77)</f>
        <v>0</v>
      </c>
      <c r="E14" s="191"/>
      <c r="F14" s="191"/>
      <c r="G14" s="1"/>
      <c r="H14" s="1"/>
      <c r="I14" s="181"/>
      <c r="J14" s="1"/>
      <c r="K14" s="1"/>
      <c r="L14" s="1"/>
      <c r="O14" s="1"/>
      <c r="P14" s="1"/>
      <c r="Q14" s="1"/>
      <c r="R14" s="1"/>
      <c r="S14" s="1"/>
      <c r="T14" s="1"/>
    </row>
    <row r="15" spans="2:20" x14ac:dyDescent="0.3">
      <c r="B15" s="172" t="s">
        <v>446</v>
      </c>
      <c r="C15" s="191"/>
      <c r="D15" s="191"/>
      <c r="E15" s="191"/>
      <c r="F15" s="19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2:20" x14ac:dyDescent="0.3">
      <c r="B16" s="172" t="s">
        <v>265</v>
      </c>
      <c r="C16" s="191">
        <f>SUM([2]TD!$C$65:$E$65,[2]TD!$C$45:$E$45)</f>
        <v>0</v>
      </c>
      <c r="D16" s="191">
        <f>SUM([2]TD!$F$45:$H$45,[2]TD!$F$65:$H$65)</f>
        <v>0</v>
      </c>
      <c r="E16" s="191"/>
      <c r="F16" s="19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2:20" x14ac:dyDescent="0.3">
      <c r="B17" s="172" t="s">
        <v>449</v>
      </c>
      <c r="C17" s="191">
        <f>SUM([2]TD!$C$95:$E$95)</f>
        <v>0</v>
      </c>
      <c r="D17" s="191">
        <f>SUM([2]TD!$F$95:$H$95)</f>
        <v>0</v>
      </c>
      <c r="E17" s="191"/>
      <c r="F17" s="19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2:20" ht="14.5" thickBot="1" x14ac:dyDescent="0.35">
      <c r="B18" s="174" t="s">
        <v>85</v>
      </c>
      <c r="C18" s="192">
        <f>SUM(C9:C17)</f>
        <v>39542991.308500007</v>
      </c>
      <c r="D18" s="192">
        <f>SUM(D9:D17)</f>
        <v>59196947.773000002</v>
      </c>
      <c r="E18" s="192">
        <f>SUM(E9:E17)</f>
        <v>63513735.723999992</v>
      </c>
      <c r="F18" s="175">
        <f>SUM(F9:F17)</f>
        <v>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2:20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2:20" x14ac:dyDescent="0.3">
      <c r="B20" s="1" t="s">
        <v>453</v>
      </c>
      <c r="C20" s="199">
        <f>+C18/C34-1</f>
        <v>-0.91731826849175546</v>
      </c>
      <c r="D20" s="199">
        <f>+D18/D34/-1</f>
        <v>-0.11785104145972278</v>
      </c>
      <c r="E20" s="198">
        <f>+E18/E34/-1</f>
        <v>-0.16879863907627365</v>
      </c>
      <c r="F20" s="198">
        <f>+F18/F34/-1</f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2:20" x14ac:dyDescent="0.3">
      <c r="B21" s="1"/>
      <c r="C21" s="177"/>
      <c r="D21" s="177"/>
      <c r="E21" s="177"/>
      <c r="F21" s="17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3" spans="2:20" ht="14.5" thickBot="1" x14ac:dyDescent="0.35">
      <c r="B23" s="168">
        <v>2024</v>
      </c>
      <c r="C23" s="1"/>
      <c r="D23" s="1"/>
      <c r="E23" s="1"/>
      <c r="F23" s="1"/>
      <c r="G23" s="1"/>
      <c r="H23" s="1"/>
      <c r="T23" s="1"/>
    </row>
    <row r="24" spans="2:20" ht="27" customHeight="1" x14ac:dyDescent="0.3">
      <c r="B24" s="189" t="s">
        <v>451</v>
      </c>
      <c r="C24" s="189" t="s">
        <v>351</v>
      </c>
      <c r="D24" s="189" t="s">
        <v>352</v>
      </c>
      <c r="E24" s="189" t="s">
        <v>353</v>
      </c>
      <c r="F24" s="189" t="s">
        <v>378</v>
      </c>
      <c r="G24" s="1"/>
      <c r="H24" s="1"/>
      <c r="T24" s="1"/>
    </row>
    <row r="25" spans="2:20" ht="17.399999999999999" customHeight="1" x14ac:dyDescent="0.3">
      <c r="B25" s="172" t="s">
        <v>260</v>
      </c>
      <c r="C25" s="191">
        <v>27503870.5</v>
      </c>
      <c r="D25" s="191">
        <v>27152063.140000001</v>
      </c>
      <c r="E25" s="191">
        <v>22234572</v>
      </c>
      <c r="F25" s="191">
        <v>23639180.5</v>
      </c>
      <c r="G25" s="173"/>
      <c r="H25" s="1"/>
      <c r="T25" s="173"/>
    </row>
    <row r="26" spans="2:20" ht="17.399999999999999" customHeight="1" x14ac:dyDescent="0.3">
      <c r="B26" s="172" t="s">
        <v>448</v>
      </c>
      <c r="C26" s="191">
        <v>38326904.548166662</v>
      </c>
      <c r="D26" s="191">
        <v>35888513.606333338</v>
      </c>
      <c r="E26" s="191">
        <v>35582526.483166665</v>
      </c>
      <c r="F26" s="191">
        <v>36454115.82683333</v>
      </c>
      <c r="G26" s="173"/>
      <c r="H26" s="1"/>
      <c r="T26" s="173"/>
    </row>
    <row r="27" spans="2:20" ht="17.399999999999999" customHeight="1" x14ac:dyDescent="0.3">
      <c r="B27" s="172" t="s">
        <v>262</v>
      </c>
      <c r="C27" s="191">
        <v>0</v>
      </c>
      <c r="D27" s="191">
        <v>275428</v>
      </c>
      <c r="E27" s="191">
        <v>12000</v>
      </c>
      <c r="F27" s="191">
        <v>0</v>
      </c>
      <c r="G27" s="173"/>
      <c r="H27" s="1"/>
      <c r="T27" s="173"/>
    </row>
    <row r="28" spans="2:20" x14ac:dyDescent="0.3">
      <c r="B28" s="172" t="s">
        <v>7</v>
      </c>
      <c r="C28" s="191">
        <v>4359326</v>
      </c>
      <c r="D28" s="191">
        <v>4318237</v>
      </c>
      <c r="E28" s="191">
        <v>4346056</v>
      </c>
      <c r="F28" s="191">
        <v>4463227</v>
      </c>
      <c r="G28" s="173"/>
      <c r="H28" s="1"/>
      <c r="T28" s="173"/>
    </row>
    <row r="29" spans="2:20" x14ac:dyDescent="0.3">
      <c r="B29" s="172" t="s">
        <v>447</v>
      </c>
      <c r="C29" s="191">
        <v>53158374</v>
      </c>
      <c r="D29" s="191">
        <v>54585023</v>
      </c>
      <c r="E29" s="191">
        <v>43700189</v>
      </c>
      <c r="F29" s="191">
        <v>39983421</v>
      </c>
      <c r="G29" s="173"/>
      <c r="H29" s="1"/>
      <c r="O29" s="1"/>
      <c r="T29" s="173"/>
    </row>
    <row r="30" spans="2:20" x14ac:dyDescent="0.3">
      <c r="B30" s="172" t="s">
        <v>93</v>
      </c>
      <c r="C30" s="191">
        <v>96773223.746794</v>
      </c>
      <c r="D30" s="191">
        <v>101993137.32963999</v>
      </c>
      <c r="E30" s="191">
        <v>114863473.82726</v>
      </c>
      <c r="F30" s="191">
        <v>102109483.76650999</v>
      </c>
      <c r="G30" s="173"/>
      <c r="H30" s="1"/>
      <c r="O30" s="1"/>
      <c r="T30" s="173"/>
    </row>
    <row r="31" spans="2:20" x14ac:dyDescent="0.3">
      <c r="B31" s="172" t="s">
        <v>446</v>
      </c>
      <c r="C31" s="191">
        <v>10326030</v>
      </c>
      <c r="D31" s="191">
        <v>375000</v>
      </c>
      <c r="E31" s="191">
        <v>1088820</v>
      </c>
      <c r="F31" s="191">
        <v>0</v>
      </c>
      <c r="G31" s="173"/>
      <c r="H31" s="1"/>
      <c r="T31" s="173"/>
    </row>
    <row r="32" spans="2:20" x14ac:dyDescent="0.3">
      <c r="B32" s="172" t="s">
        <v>265</v>
      </c>
      <c r="C32" s="191">
        <v>222365956.64179432</v>
      </c>
      <c r="D32" s="191">
        <v>262955295.49182168</v>
      </c>
      <c r="E32" s="191">
        <v>144698827.19749331</v>
      </c>
      <c r="F32" s="191">
        <v>344517893.45156664</v>
      </c>
      <c r="G32" s="173"/>
      <c r="H32" s="1"/>
      <c r="T32" s="173"/>
    </row>
    <row r="33" spans="2:20" x14ac:dyDescent="0.3">
      <c r="B33" s="172" t="s">
        <v>449</v>
      </c>
      <c r="C33" s="191">
        <v>25441796</v>
      </c>
      <c r="D33" s="191">
        <v>14760439</v>
      </c>
      <c r="E33" s="191">
        <v>9742776</v>
      </c>
      <c r="F33" s="191">
        <v>5506789</v>
      </c>
      <c r="G33" s="173"/>
      <c r="H33" s="1"/>
      <c r="T33" s="173"/>
    </row>
    <row r="34" spans="2:20" ht="14.5" thickBot="1" x14ac:dyDescent="0.35">
      <c r="B34" s="174" t="s">
        <v>85</v>
      </c>
      <c r="C34" s="192">
        <f>SUM(C25:C33)</f>
        <v>478255481.436755</v>
      </c>
      <c r="D34" s="192">
        <f>SUM(D25:D33)</f>
        <v>502303136.56779504</v>
      </c>
      <c r="E34" s="192">
        <f>SUM(E25:E33)</f>
        <v>376269240.50791997</v>
      </c>
      <c r="F34" s="175">
        <f>SUM(F25:F33)</f>
        <v>556674110.54490995</v>
      </c>
      <c r="G34" s="173"/>
      <c r="H34" s="1"/>
      <c r="T34" s="173"/>
    </row>
    <row r="35" spans="2:20" ht="13.25" customHeight="1" x14ac:dyDescent="0.3">
      <c r="B35" s="1"/>
      <c r="C35" s="1"/>
      <c r="D35" s="1"/>
      <c r="E35" s="1"/>
      <c r="F35" s="1"/>
      <c r="G35" s="1"/>
      <c r="H35" s="1"/>
      <c r="T35" s="1"/>
    </row>
    <row r="36" spans="2:20" s="73" customFormat="1" x14ac:dyDescent="0.3">
      <c r="B36" s="1" t="s">
        <v>453</v>
      </c>
      <c r="C36" s="199">
        <f>+C34/GETPIVOTDATA("Cuarter 4 ",$B$40)-1</f>
        <v>-0.24658053347639197</v>
      </c>
      <c r="D36" s="198">
        <f>+D34/C34-1</f>
        <v>5.0282027210220459E-2</v>
      </c>
      <c r="E36" s="199">
        <f>+E34/D34-1</f>
        <v>-0.25091202280968528</v>
      </c>
      <c r="F36" s="198">
        <f>+F34/E34-1</f>
        <v>0.47945686390273168</v>
      </c>
      <c r="G36" s="177"/>
      <c r="H36" s="177"/>
      <c r="I36" s="1"/>
      <c r="J36" s="1"/>
      <c r="K36" s="1"/>
      <c r="L36" s="1"/>
      <c r="O36" s="177"/>
      <c r="T36" s="177"/>
    </row>
    <row r="37" spans="2:20" s="73" customFormat="1" x14ac:dyDescent="0.3">
      <c r="B37" s="1"/>
      <c r="C37" s="177"/>
      <c r="D37" s="177"/>
      <c r="E37" s="177"/>
      <c r="F37" s="177"/>
      <c r="G37" s="177"/>
      <c r="H37" s="177"/>
      <c r="I37" s="1"/>
      <c r="K37" s="1"/>
      <c r="L37" s="1"/>
      <c r="O37" s="177"/>
      <c r="P37" s="1"/>
      <c r="Q37" s="177"/>
      <c r="R37" s="177"/>
      <c r="S37" s="177"/>
      <c r="T37" s="177"/>
    </row>
    <row r="38" spans="2:20" s="73" customFormat="1" x14ac:dyDescent="0.3">
      <c r="B38" s="1"/>
      <c r="C38" s="177"/>
      <c r="D38" s="177"/>
      <c r="E38" s="177"/>
      <c r="F38" s="177"/>
      <c r="G38" s="177"/>
      <c r="H38" s="177"/>
      <c r="I38" s="184"/>
      <c r="J38" s="1"/>
      <c r="K38" s="1"/>
      <c r="L38" s="1"/>
      <c r="M38" s="177"/>
      <c r="N38" s="177"/>
      <c r="O38" s="177"/>
      <c r="P38" s="1"/>
      <c r="Q38" s="177"/>
      <c r="R38" s="177"/>
      <c r="S38" s="177"/>
      <c r="T38" s="177"/>
    </row>
    <row r="39" spans="2:20" s="73" customFormat="1" x14ac:dyDescent="0.3">
      <c r="B39" s="168">
        <v>2023</v>
      </c>
      <c r="C39" s="1"/>
      <c r="D39" s="1"/>
      <c r="E39" s="1"/>
      <c r="F39" s="1"/>
      <c r="G39" s="1"/>
      <c r="H39" s="177"/>
      <c r="I39" s="1"/>
      <c r="J39" s="1"/>
      <c r="K39" s="1"/>
      <c r="L39" s="1"/>
      <c r="M39" s="177"/>
      <c r="N39" s="177"/>
      <c r="O39" s="177"/>
      <c r="P39" s="1"/>
      <c r="Q39" s="177"/>
      <c r="R39" s="177"/>
      <c r="S39" s="177"/>
      <c r="T39" s="1"/>
    </row>
    <row r="40" spans="2:20" s="73" customFormat="1" x14ac:dyDescent="0.3">
      <c r="B40" s="171" t="s">
        <v>454</v>
      </c>
      <c r="C40" s="1" t="s">
        <v>351</v>
      </c>
      <c r="D40" s="1" t="s">
        <v>352</v>
      </c>
      <c r="E40" s="1" t="s">
        <v>353</v>
      </c>
      <c r="F40" s="1" t="s">
        <v>378</v>
      </c>
      <c r="G40" s="1"/>
      <c r="H40" s="177"/>
      <c r="I40" s="1"/>
      <c r="J40" s="177"/>
      <c r="K40" s="177"/>
      <c r="L40" s="177"/>
      <c r="M40" s="177"/>
      <c r="N40" s="177"/>
      <c r="O40" s="177"/>
      <c r="P40" s="1"/>
      <c r="Q40" s="177"/>
      <c r="R40" s="177"/>
      <c r="S40" s="177"/>
      <c r="T40" s="1"/>
    </row>
    <row r="41" spans="2:20" s="73" customFormat="1" x14ac:dyDescent="0.3">
      <c r="B41" s="1" t="s">
        <v>260</v>
      </c>
      <c r="C41" s="190">
        <v>25923832</v>
      </c>
      <c r="D41" s="190">
        <v>31550234.965793412</v>
      </c>
      <c r="E41" s="190">
        <v>37764131.780000001</v>
      </c>
      <c r="F41" s="190">
        <v>34622949.549999997</v>
      </c>
      <c r="G41" s="173"/>
      <c r="H41" s="177"/>
      <c r="I41" s="1"/>
      <c r="J41" s="177"/>
      <c r="K41" s="177"/>
      <c r="L41" s="177"/>
      <c r="M41" s="177"/>
      <c r="N41" s="177"/>
      <c r="O41" s="177"/>
      <c r="P41" s="1"/>
      <c r="Q41" s="177"/>
      <c r="R41" s="177"/>
      <c r="S41" s="177"/>
      <c r="T41" s="173"/>
    </row>
    <row r="42" spans="2:20" s="73" customFormat="1" x14ac:dyDescent="0.3">
      <c r="B42" s="1" t="s">
        <v>261</v>
      </c>
      <c r="C42" s="190">
        <v>57771765</v>
      </c>
      <c r="D42" s="190">
        <v>60692034</v>
      </c>
      <c r="E42" s="190">
        <v>58744192.479999997</v>
      </c>
      <c r="F42" s="190">
        <v>47009436.809999995</v>
      </c>
      <c r="G42" s="173"/>
      <c r="H42" s="177"/>
      <c r="I42" s="1"/>
      <c r="J42" s="177"/>
      <c r="K42" s="177"/>
      <c r="L42" s="177"/>
      <c r="M42" s="177"/>
      <c r="N42" s="177"/>
      <c r="O42" s="177"/>
      <c r="P42" s="1"/>
      <c r="Q42" s="177"/>
      <c r="R42" s="177"/>
      <c r="S42" s="177"/>
      <c r="T42" s="173"/>
    </row>
    <row r="43" spans="2:20" s="73" customFormat="1" x14ac:dyDescent="0.3">
      <c r="B43" s="1" t="s">
        <v>262</v>
      </c>
      <c r="C43" s="190">
        <v>557138</v>
      </c>
      <c r="D43" s="190">
        <v>3849235</v>
      </c>
      <c r="E43" s="190">
        <v>1447983</v>
      </c>
      <c r="F43" s="190">
        <v>548602</v>
      </c>
      <c r="G43" s="173"/>
      <c r="H43" s="177"/>
      <c r="I43" s="1"/>
      <c r="J43" s="177"/>
      <c r="K43" s="177"/>
      <c r="L43" s="177"/>
      <c r="M43" s="177"/>
      <c r="N43" s="177"/>
      <c r="O43" s="177"/>
      <c r="P43" s="1"/>
      <c r="Q43" s="177"/>
      <c r="R43" s="177"/>
      <c r="S43" s="177"/>
      <c r="T43" s="173"/>
    </row>
    <row r="44" spans="2:20" s="73" customFormat="1" x14ac:dyDescent="0.3">
      <c r="B44" s="1" t="s">
        <v>7</v>
      </c>
      <c r="C44" s="190">
        <v>9799265</v>
      </c>
      <c r="D44" s="190">
        <v>4404905</v>
      </c>
      <c r="E44" s="190">
        <v>4094372</v>
      </c>
      <c r="F44" s="190">
        <v>4415570</v>
      </c>
      <c r="G44" s="173"/>
      <c r="H44" s="177"/>
      <c r="I44" s="1"/>
      <c r="J44" s="177"/>
      <c r="K44" s="177"/>
      <c r="L44" s="177"/>
      <c r="M44" s="177"/>
      <c r="N44" s="177"/>
      <c r="O44" s="177"/>
      <c r="P44" s="1"/>
      <c r="Q44" s="177"/>
      <c r="R44" s="177"/>
      <c r="S44" s="177"/>
      <c r="T44" s="173"/>
    </row>
    <row r="45" spans="2:20" s="73" customFormat="1" x14ac:dyDescent="0.3">
      <c r="B45" s="1" t="s">
        <v>266</v>
      </c>
      <c r="C45" s="190">
        <v>58632692</v>
      </c>
      <c r="D45" s="190">
        <v>74596765</v>
      </c>
      <c r="E45" s="190">
        <v>69111531</v>
      </c>
      <c r="F45" s="190">
        <v>76094471</v>
      </c>
      <c r="G45" s="173"/>
      <c r="H45" s="177"/>
      <c r="I45" s="1"/>
      <c r="J45" s="177"/>
      <c r="K45" s="177"/>
      <c r="L45" s="177"/>
      <c r="M45" s="177"/>
      <c r="N45" s="177"/>
      <c r="O45" s="177"/>
      <c r="P45" s="1"/>
      <c r="Q45" s="177"/>
      <c r="R45" s="177"/>
      <c r="S45" s="177"/>
      <c r="T45" s="173"/>
    </row>
    <row r="46" spans="2:20" s="73" customFormat="1" x14ac:dyDescent="0.3">
      <c r="B46" s="1" t="s">
        <v>93</v>
      </c>
      <c r="C46" s="190">
        <v>105763825.63789199</v>
      </c>
      <c r="D46" s="190">
        <v>108431862.924326</v>
      </c>
      <c r="E46" s="190">
        <v>104841644.87396799</v>
      </c>
      <c r="F46" s="190">
        <v>102021481.543088</v>
      </c>
      <c r="G46" s="173"/>
      <c r="H46" s="177"/>
      <c r="I46" s="1"/>
      <c r="J46" s="177"/>
      <c r="K46" s="177"/>
      <c r="L46" s="177"/>
      <c r="M46" s="177"/>
      <c r="N46" s="177"/>
      <c r="O46" s="177"/>
      <c r="P46" s="1"/>
      <c r="Q46" s="177"/>
      <c r="R46" s="177"/>
      <c r="S46" s="177"/>
      <c r="T46" s="173"/>
    </row>
    <row r="47" spans="2:20" s="73" customFormat="1" x14ac:dyDescent="0.3">
      <c r="B47" s="1" t="s">
        <v>265</v>
      </c>
      <c r="C47" s="190">
        <v>320562418.17870802</v>
      </c>
      <c r="D47" s="190">
        <v>262287706.36883801</v>
      </c>
      <c r="E47" s="190">
        <v>274431115.77467203</v>
      </c>
      <c r="F47" s="190">
        <v>327800528.83781195</v>
      </c>
      <c r="G47" s="173"/>
      <c r="H47" s="177"/>
      <c r="I47" s="1"/>
      <c r="J47" s="177"/>
      <c r="K47" s="177"/>
      <c r="L47" s="177"/>
      <c r="M47" s="177"/>
      <c r="N47" s="177"/>
      <c r="O47" s="177"/>
      <c r="P47" s="1"/>
      <c r="Q47" s="177"/>
      <c r="R47" s="177"/>
      <c r="S47" s="177"/>
      <c r="T47" s="173"/>
    </row>
    <row r="48" spans="2:20" s="73" customFormat="1" x14ac:dyDescent="0.3">
      <c r="B48" s="1" t="s">
        <v>356</v>
      </c>
      <c r="C48" s="190">
        <v>35275515</v>
      </c>
      <c r="D48" s="190">
        <v>41853206</v>
      </c>
      <c r="E48" s="190">
        <v>40239181</v>
      </c>
      <c r="F48" s="190">
        <v>42266791</v>
      </c>
      <c r="G48" s="173"/>
      <c r="H48" s="177"/>
      <c r="I48" s="1"/>
      <c r="J48" s="177"/>
      <c r="K48" s="177"/>
      <c r="L48" s="177"/>
      <c r="M48" s="177"/>
      <c r="N48" s="177"/>
      <c r="O48" s="177"/>
      <c r="P48" s="1"/>
      <c r="Q48" s="177"/>
      <c r="R48" s="177"/>
      <c r="S48" s="177"/>
      <c r="T48" s="173"/>
    </row>
    <row r="49" spans="2:20" s="73" customFormat="1" x14ac:dyDescent="0.3">
      <c r="B49" s="1" t="s">
        <v>85</v>
      </c>
      <c r="C49" s="190">
        <v>614286450.81660008</v>
      </c>
      <c r="D49" s="190">
        <v>587665949.25895739</v>
      </c>
      <c r="E49" s="190">
        <v>590674151.90864003</v>
      </c>
      <c r="F49" s="190">
        <v>634779830.74089992</v>
      </c>
      <c r="G49" s="173"/>
      <c r="H49" s="177"/>
      <c r="I49" s="1"/>
      <c r="J49" s="177"/>
      <c r="K49" s="177"/>
      <c r="L49" s="177"/>
      <c r="M49" s="177"/>
      <c r="N49" s="177"/>
      <c r="O49" s="177"/>
      <c r="P49" s="1"/>
      <c r="Q49" s="177"/>
      <c r="R49" s="177"/>
      <c r="S49" s="177"/>
      <c r="T49" s="173"/>
    </row>
    <row r="50" spans="2:20" s="73" customFormat="1" x14ac:dyDescent="0.3">
      <c r="B50" s="1"/>
      <c r="C50" s="173"/>
      <c r="D50" s="173"/>
      <c r="E50" s="173"/>
      <c r="F50" s="173"/>
      <c r="G50" s="1"/>
      <c r="H50" s="177"/>
      <c r="I50" s="1"/>
      <c r="J50" s="177"/>
      <c r="K50" s="177"/>
      <c r="L50" s="177"/>
      <c r="M50" s="177"/>
      <c r="N50" s="177"/>
      <c r="O50" s="177"/>
      <c r="P50" s="1"/>
      <c r="Q50" s="177"/>
      <c r="R50" s="177"/>
      <c r="S50" s="177"/>
      <c r="T50" s="1"/>
    </row>
    <row r="51" spans="2:20" s="73" customFormat="1" x14ac:dyDescent="0.3">
      <c r="B51" s="1" t="s">
        <v>453</v>
      </c>
      <c r="C51" s="198">
        <f>GETPIVOTDATA("Cuarter 1 ",$B$40)/GETPIVOTDATA(" cuarter 4",$B$55)-1</f>
        <v>0.10271460364146945</v>
      </c>
      <c r="D51" s="199">
        <f>GETPIVOTDATA("Cuarter 2 ",$B$40)/GETPIVOTDATA("Cuarter 1 ",$B$40)-1</f>
        <v>-4.3335648250510506E-2</v>
      </c>
      <c r="E51" s="198">
        <f>GETPIVOTDATA("Cuarter 3 ",$B$40)/GETPIVOTDATA("Cuarter 2 ",$B$40)-1</f>
        <v>5.1188990164836579E-3</v>
      </c>
      <c r="F51" s="198">
        <f>GETPIVOTDATA("Cuarter 4 ",$B$40)/GETPIVOTDATA("Cuarter 3 ",$B$40)-1</f>
        <v>7.4670067565580034E-2</v>
      </c>
      <c r="G51" s="177"/>
      <c r="H51" s="177"/>
      <c r="I51" s="1"/>
      <c r="J51" s="177"/>
      <c r="K51" s="177"/>
      <c r="L51" s="177"/>
      <c r="M51" s="177"/>
      <c r="N51" s="177"/>
      <c r="O51" s="177"/>
      <c r="P51" s="1"/>
      <c r="Q51" s="177"/>
      <c r="R51" s="177"/>
      <c r="S51" s="177"/>
      <c r="T51" s="177"/>
    </row>
    <row r="52" spans="2:20" s="73" customFormat="1" x14ac:dyDescent="0.3">
      <c r="B52" s="1"/>
      <c r="C52" s="177"/>
      <c r="D52" s="177"/>
      <c r="E52" s="177"/>
      <c r="F52" s="177"/>
      <c r="G52" s="177"/>
      <c r="H52" s="177"/>
      <c r="I52" s="1"/>
      <c r="J52" s="177"/>
      <c r="K52" s="177"/>
      <c r="L52" s="177"/>
      <c r="M52" s="177"/>
      <c r="N52" s="177"/>
      <c r="O52" s="177"/>
      <c r="P52" s="1"/>
      <c r="Q52" s="177"/>
      <c r="R52" s="177"/>
      <c r="S52" s="177"/>
      <c r="T52" s="177"/>
    </row>
    <row r="53" spans="2:20" s="73" customFormat="1" x14ac:dyDescent="0.3">
      <c r="B53" s="1"/>
      <c r="C53" s="177"/>
      <c r="D53" s="177"/>
      <c r="E53" s="177"/>
      <c r="F53" s="177"/>
      <c r="G53" s="177"/>
      <c r="H53" s="177"/>
      <c r="I53" s="1"/>
      <c r="J53" s="177"/>
      <c r="K53" s="177"/>
      <c r="L53" s="177"/>
      <c r="M53" s="177"/>
      <c r="N53" s="177"/>
      <c r="O53" s="177"/>
      <c r="P53" s="1"/>
      <c r="Q53" s="177"/>
      <c r="R53" s="177"/>
      <c r="S53" s="177"/>
      <c r="T53" s="177"/>
    </row>
    <row r="54" spans="2:20" s="73" customFormat="1" x14ac:dyDescent="0.3">
      <c r="B54" s="168">
        <v>2022</v>
      </c>
      <c r="C54" s="1"/>
      <c r="D54" s="1"/>
      <c r="E54" s="1"/>
      <c r="F54" s="1"/>
      <c r="G54" s="177"/>
      <c r="H54" s="177"/>
      <c r="I54" s="1"/>
      <c r="J54" s="177"/>
      <c r="K54" s="177"/>
      <c r="L54" s="177"/>
      <c r="M54" s="177"/>
      <c r="N54" s="177"/>
      <c r="O54" s="177"/>
      <c r="P54" s="1"/>
      <c r="Q54" s="177"/>
      <c r="R54" s="177"/>
      <c r="S54" s="177"/>
      <c r="T54" s="177"/>
    </row>
    <row r="55" spans="2:20" s="73" customFormat="1" x14ac:dyDescent="0.3">
      <c r="B55" s="171" t="s">
        <v>455</v>
      </c>
      <c r="C55" s="1" t="s">
        <v>351</v>
      </c>
      <c r="D55" s="1" t="s">
        <v>352</v>
      </c>
      <c r="E55" s="1" t="s">
        <v>353</v>
      </c>
      <c r="F55" s="1" t="s">
        <v>377</v>
      </c>
      <c r="G55" s="177"/>
      <c r="H55" s="177"/>
      <c r="I55" s="1"/>
      <c r="J55" s="177"/>
      <c r="K55" s="177"/>
      <c r="L55" s="177"/>
      <c r="M55" s="177"/>
      <c r="N55" s="177"/>
      <c r="O55" s="177"/>
      <c r="P55" s="1"/>
      <c r="Q55" s="177"/>
      <c r="R55" s="177"/>
      <c r="S55" s="177"/>
      <c r="T55" s="177"/>
    </row>
    <row r="56" spans="2:20" s="73" customFormat="1" x14ac:dyDescent="0.3">
      <c r="B56" s="1" t="s">
        <v>260</v>
      </c>
      <c r="C56" s="190">
        <v>31878058.399999999</v>
      </c>
      <c r="D56" s="190">
        <v>41617779.5</v>
      </c>
      <c r="E56" s="190">
        <v>28667274</v>
      </c>
      <c r="F56" s="190">
        <v>32296785.5</v>
      </c>
      <c r="G56" s="177"/>
      <c r="H56" s="177"/>
      <c r="I56" s="1"/>
      <c r="J56" s="177"/>
      <c r="K56" s="177"/>
      <c r="L56" s="177"/>
      <c r="M56" s="177"/>
      <c r="N56" s="177"/>
      <c r="O56" s="177"/>
      <c r="P56" s="1"/>
      <c r="Q56" s="177"/>
      <c r="R56" s="177"/>
      <c r="S56" s="177"/>
      <c r="T56" s="177"/>
    </row>
    <row r="57" spans="2:20" s="73" customFormat="1" x14ac:dyDescent="0.3">
      <c r="B57" s="1" t="s">
        <v>261</v>
      </c>
      <c r="C57" s="190">
        <v>18498122</v>
      </c>
      <c r="D57" s="190">
        <v>32614841</v>
      </c>
      <c r="E57" s="190">
        <v>31407638</v>
      </c>
      <c r="F57" s="190">
        <v>41457713</v>
      </c>
      <c r="G57" s="177"/>
      <c r="H57" s="177"/>
      <c r="I57" s="1"/>
      <c r="J57" s="177"/>
      <c r="K57" s="177"/>
      <c r="L57" s="177"/>
      <c r="M57" s="177"/>
      <c r="N57" s="177"/>
      <c r="O57" s="177"/>
      <c r="P57" s="1"/>
      <c r="Q57" s="177"/>
      <c r="R57" s="177"/>
      <c r="S57" s="177"/>
      <c r="T57" s="177"/>
    </row>
    <row r="58" spans="2:20" s="73" customFormat="1" x14ac:dyDescent="0.3">
      <c r="B58" s="1" t="s">
        <v>262</v>
      </c>
      <c r="C58" s="190">
        <v>589436</v>
      </c>
      <c r="D58" s="190">
        <v>911167</v>
      </c>
      <c r="E58" s="190">
        <v>668827</v>
      </c>
      <c r="F58" s="190">
        <v>247775</v>
      </c>
      <c r="G58" s="177"/>
      <c r="H58" s="177"/>
      <c r="I58" s="1"/>
      <c r="J58" s="177"/>
      <c r="K58" s="177"/>
      <c r="L58" s="177"/>
      <c r="M58" s="177"/>
      <c r="N58" s="177"/>
      <c r="O58" s="177"/>
      <c r="P58" s="1"/>
      <c r="Q58" s="177"/>
      <c r="R58" s="177"/>
      <c r="S58" s="177"/>
      <c r="T58" s="177"/>
    </row>
    <row r="59" spans="2:20" s="73" customFormat="1" x14ac:dyDescent="0.3">
      <c r="B59" s="1" t="s">
        <v>7</v>
      </c>
      <c r="C59" s="190">
        <v>46073406.209321924</v>
      </c>
      <c r="D59" s="190">
        <v>59560197.201399997</v>
      </c>
      <c r="E59" s="190">
        <v>36824033</v>
      </c>
      <c r="F59" s="190">
        <v>40349454</v>
      </c>
      <c r="G59" s="177"/>
      <c r="H59" s="177"/>
      <c r="I59" s="1"/>
      <c r="J59" s="177"/>
      <c r="K59" s="177"/>
      <c r="L59" s="177"/>
      <c r="M59" s="177"/>
      <c r="N59" s="177"/>
      <c r="O59" s="177"/>
      <c r="P59" s="1"/>
      <c r="Q59" s="177"/>
      <c r="R59" s="177"/>
      <c r="S59" s="177"/>
      <c r="T59" s="177"/>
    </row>
    <row r="60" spans="2:20" s="73" customFormat="1" x14ac:dyDescent="0.3">
      <c r="B60" s="1" t="s">
        <v>266</v>
      </c>
      <c r="C60" s="190">
        <v>41949615</v>
      </c>
      <c r="D60" s="190">
        <v>53043142</v>
      </c>
      <c r="E60" s="190">
        <v>45504378</v>
      </c>
      <c r="F60" s="190">
        <v>70146271</v>
      </c>
      <c r="G60" s="177"/>
      <c r="H60" s="177"/>
      <c r="I60" s="1"/>
      <c r="J60" s="177"/>
      <c r="K60" s="177"/>
      <c r="L60" s="177"/>
      <c r="M60" s="177"/>
      <c r="N60" s="177"/>
      <c r="O60" s="177"/>
      <c r="P60" s="1"/>
      <c r="Q60" s="177"/>
      <c r="R60" s="177"/>
      <c r="S60" s="177"/>
      <c r="T60" s="177"/>
    </row>
    <row r="61" spans="2:20" s="73" customFormat="1" x14ac:dyDescent="0.3">
      <c r="B61" s="1" t="s">
        <v>93</v>
      </c>
      <c r="C61" s="190">
        <v>91520005.371466339</v>
      </c>
      <c r="D61" s="190">
        <v>85141216.144959196</v>
      </c>
      <c r="E61" s="190">
        <v>66117646</v>
      </c>
      <c r="F61" s="190">
        <v>107758913.3</v>
      </c>
      <c r="G61" s="177"/>
      <c r="H61" s="177"/>
      <c r="I61" s="1"/>
      <c r="J61" s="177"/>
      <c r="K61" s="177"/>
      <c r="L61" s="177"/>
      <c r="M61" s="177"/>
      <c r="N61" s="177"/>
      <c r="O61" s="177"/>
      <c r="P61" s="1"/>
      <c r="Q61" s="177"/>
      <c r="R61" s="177"/>
      <c r="S61" s="177"/>
      <c r="T61" s="177"/>
    </row>
    <row r="62" spans="2:20" s="73" customFormat="1" x14ac:dyDescent="0.3">
      <c r="B62" s="1" t="s">
        <v>265</v>
      </c>
      <c r="C62" s="190">
        <v>145676664.51335129</v>
      </c>
      <c r="D62" s="190">
        <v>143914372.52121806</v>
      </c>
      <c r="E62" s="190">
        <v>113020419.513422</v>
      </c>
      <c r="F62" s="190">
        <v>222370669.74321601</v>
      </c>
      <c r="G62" s="177"/>
      <c r="H62" s="177"/>
      <c r="I62" s="1"/>
      <c r="J62" s="177"/>
      <c r="K62" s="177"/>
      <c r="L62" s="177"/>
      <c r="M62" s="177"/>
      <c r="N62" s="177"/>
      <c r="O62" s="177"/>
      <c r="P62" s="1"/>
      <c r="Q62" s="177"/>
      <c r="R62" s="177"/>
      <c r="S62" s="177"/>
      <c r="T62" s="177"/>
    </row>
    <row r="63" spans="2:20" s="73" customFormat="1" x14ac:dyDescent="0.3">
      <c r="B63" s="1" t="s">
        <v>356</v>
      </c>
      <c r="C63" s="190">
        <v>37872163.100000001</v>
      </c>
      <c r="D63" s="190">
        <v>43286434.840000004</v>
      </c>
      <c r="E63" s="190">
        <v>30049505.199999999</v>
      </c>
      <c r="F63" s="190">
        <v>42439903.359999999</v>
      </c>
      <c r="G63" s="177"/>
      <c r="H63" s="177"/>
      <c r="I63" s="1"/>
      <c r="J63" s="177"/>
      <c r="K63" s="177"/>
      <c r="L63" s="177"/>
      <c r="M63" s="177"/>
      <c r="N63" s="177"/>
      <c r="O63" s="177"/>
      <c r="P63" s="1"/>
      <c r="Q63" s="177"/>
      <c r="R63" s="177"/>
      <c r="S63" s="177"/>
      <c r="T63" s="177"/>
    </row>
    <row r="64" spans="2:20" s="73" customFormat="1" x14ac:dyDescent="0.3">
      <c r="B64" s="1" t="s">
        <v>85</v>
      </c>
      <c r="C64" s="173">
        <v>414057470.59413958</v>
      </c>
      <c r="D64" s="173">
        <v>460089150.20757723</v>
      </c>
      <c r="E64" s="173">
        <v>352259720.713422</v>
      </c>
      <c r="F64" s="173">
        <v>557067484.903216</v>
      </c>
      <c r="G64" s="177"/>
      <c r="H64" s="177"/>
      <c r="I64" s="1"/>
      <c r="J64" s="177"/>
      <c r="K64" s="177"/>
      <c r="L64" s="177"/>
      <c r="M64" s="177"/>
      <c r="N64" s="177"/>
      <c r="O64" s="177"/>
      <c r="P64" s="1"/>
      <c r="Q64" s="177"/>
      <c r="R64" s="177"/>
      <c r="S64" s="177"/>
      <c r="T64" s="177"/>
    </row>
    <row r="65" spans="2:20" s="73" customFormat="1" x14ac:dyDescent="0.3">
      <c r="B65" s="1"/>
      <c r="C65" s="173"/>
      <c r="D65" s="173"/>
      <c r="E65" s="173"/>
      <c r="F65" s="173"/>
      <c r="G65" s="177"/>
      <c r="H65" s="177"/>
      <c r="I65" s="1"/>
      <c r="J65" s="177"/>
      <c r="K65" s="177"/>
      <c r="L65" s="177"/>
      <c r="M65" s="177"/>
      <c r="N65" s="177"/>
      <c r="O65" s="177"/>
      <c r="P65" s="1"/>
      <c r="Q65" s="177"/>
      <c r="R65" s="177"/>
      <c r="S65" s="177"/>
      <c r="T65" s="177"/>
    </row>
    <row r="66" spans="2:20" s="73" customFormat="1" x14ac:dyDescent="0.3">
      <c r="B66" s="1" t="s">
        <v>453</v>
      </c>
      <c r="C66" s="177"/>
      <c r="D66" s="198">
        <f>GETPIVOTDATA("Cuarter 2 ",$B$55)/GETPIVOTDATA("Cuarter 1 ",$B$55)-1</f>
        <v>0.11117219922970079</v>
      </c>
      <c r="E66" s="199">
        <f>+GETPIVOTDATA("Cuarter 3 ",$B$55)/GETPIVOTDATA("Cuarter 2 ",$B$55)-1</f>
        <v>-0.23436638191860448</v>
      </c>
      <c r="F66" s="198">
        <f>GETPIVOTDATA(" cuarter 4",$B$55)/GETPIVOTDATA("Cuarter 3 ",$B$55)-1</f>
        <v>0.58141124899265351</v>
      </c>
      <c r="G66" s="177"/>
      <c r="H66" s="177"/>
      <c r="I66" s="1"/>
      <c r="J66" s="177"/>
      <c r="K66" s="177"/>
      <c r="L66" s="177"/>
      <c r="M66" s="177"/>
      <c r="N66" s="177"/>
      <c r="O66" s="177"/>
      <c r="P66" s="1"/>
      <c r="Q66" s="177"/>
      <c r="R66" s="177"/>
      <c r="S66" s="177"/>
      <c r="T66" s="177"/>
    </row>
    <row r="67" spans="2:20" s="73" customFormat="1" x14ac:dyDescent="0.3">
      <c r="B67" s="1"/>
      <c r="C67" s="177"/>
      <c r="D67" s="177"/>
      <c r="E67" s="177"/>
      <c r="F67" s="177"/>
      <c r="G67" s="177"/>
      <c r="H67" s="177"/>
      <c r="I67" s="1"/>
      <c r="J67" s="177"/>
      <c r="K67" s="177"/>
      <c r="L67" s="177"/>
      <c r="M67" s="177"/>
      <c r="N67" s="177"/>
      <c r="O67" s="177"/>
      <c r="P67" s="1"/>
      <c r="Q67" s="177"/>
      <c r="R67" s="177"/>
      <c r="S67" s="177"/>
      <c r="T67" s="177"/>
    </row>
    <row r="68" spans="2:20" s="73" customFormat="1" x14ac:dyDescent="0.3">
      <c r="B68" s="1"/>
      <c r="C68" s="177"/>
      <c r="D68" s="177"/>
      <c r="E68" s="177"/>
      <c r="F68" s="177"/>
      <c r="G68" s="177"/>
      <c r="H68" s="177"/>
      <c r="I68" s="1"/>
      <c r="J68" s="177"/>
      <c r="K68" s="177"/>
      <c r="L68" s="177"/>
      <c r="M68" s="177"/>
      <c r="N68" s="177"/>
      <c r="O68" s="177"/>
      <c r="P68" s="1"/>
      <c r="Q68" s="177"/>
      <c r="R68" s="177"/>
      <c r="S68" s="177"/>
      <c r="T68" s="177"/>
    </row>
    <row r="69" spans="2:20" s="73" customFormat="1" x14ac:dyDescent="0.3">
      <c r="B69" s="1"/>
      <c r="C69" s="177"/>
      <c r="D69" s="177"/>
      <c r="E69" s="177"/>
      <c r="F69" s="177"/>
      <c r="G69" s="177"/>
      <c r="H69" s="177"/>
      <c r="I69" s="1"/>
      <c r="J69" s="177"/>
      <c r="K69" s="177"/>
      <c r="L69" s="177"/>
      <c r="M69" s="177"/>
      <c r="N69" s="177"/>
      <c r="O69" s="177"/>
      <c r="P69" s="1"/>
      <c r="Q69" s="177"/>
      <c r="R69" s="177"/>
      <c r="S69" s="177"/>
      <c r="T69" s="177"/>
    </row>
    <row r="70" spans="2:20" s="73" customFormat="1" x14ac:dyDescent="0.3">
      <c r="B70" s="1"/>
      <c r="C70" s="177"/>
      <c r="D70" s="177"/>
      <c r="E70" s="177"/>
      <c r="F70" s="177"/>
      <c r="G70" s="177"/>
      <c r="H70" s="177"/>
      <c r="I70" s="1"/>
      <c r="J70" s="177"/>
      <c r="K70" s="177"/>
      <c r="L70" s="177"/>
      <c r="M70" s="177"/>
      <c r="N70" s="177"/>
      <c r="O70" s="177"/>
      <c r="P70" s="1"/>
      <c r="Q70" s="177"/>
      <c r="R70" s="177"/>
      <c r="S70" s="177"/>
      <c r="T70" s="177"/>
    </row>
    <row r="71" spans="2:20" s="73" customFormat="1" x14ac:dyDescent="0.3">
      <c r="B71" s="1"/>
      <c r="C71" s="177"/>
      <c r="D71" s="177"/>
      <c r="E71" s="177"/>
      <c r="F71" s="177"/>
      <c r="G71" s="177"/>
      <c r="H71" s="177"/>
      <c r="I71" s="1"/>
      <c r="J71" s="177"/>
      <c r="K71" s="177"/>
      <c r="L71" s="177"/>
      <c r="M71" s="177"/>
      <c r="N71" s="177"/>
      <c r="O71" s="177"/>
      <c r="P71" s="1"/>
      <c r="Q71" s="177"/>
      <c r="R71" s="177"/>
      <c r="S71" s="177"/>
      <c r="T71" s="177"/>
    </row>
    <row r="72" spans="2:20" s="73" customFormat="1" x14ac:dyDescent="0.3">
      <c r="B72" s="1"/>
      <c r="C72" s="177"/>
      <c r="D72" s="177"/>
      <c r="E72" s="177"/>
      <c r="F72" s="177"/>
      <c r="G72" s="177"/>
      <c r="H72" s="177"/>
      <c r="I72" s="1"/>
      <c r="J72" s="177"/>
      <c r="K72" s="177"/>
      <c r="L72" s="177"/>
      <c r="M72" s="177"/>
      <c r="N72" s="177"/>
      <c r="O72" s="177"/>
      <c r="P72" s="1"/>
      <c r="Q72" s="177"/>
      <c r="R72" s="177"/>
      <c r="S72" s="177"/>
      <c r="T72" s="177"/>
    </row>
    <row r="73" spans="2:20" s="73" customFormat="1" x14ac:dyDescent="0.3">
      <c r="B73" s="1"/>
      <c r="C73" s="177"/>
      <c r="D73" s="177"/>
      <c r="E73" s="177"/>
      <c r="F73" s="177"/>
      <c r="G73" s="177"/>
      <c r="H73" s="177"/>
      <c r="I73" s="1"/>
      <c r="J73" s="177"/>
      <c r="K73" s="177"/>
      <c r="L73" s="177"/>
      <c r="M73" s="177"/>
      <c r="N73" s="177"/>
      <c r="O73" s="177"/>
      <c r="P73" s="1"/>
      <c r="Q73" s="177"/>
      <c r="R73" s="177"/>
      <c r="S73" s="177"/>
      <c r="T73" s="177"/>
    </row>
    <row r="74" spans="2:20" s="73" customFormat="1" x14ac:dyDescent="0.3">
      <c r="B74" s="1"/>
      <c r="C74" s="177"/>
      <c r="D74" s="177"/>
      <c r="E74" s="177"/>
      <c r="F74" s="177"/>
      <c r="G74" s="177"/>
      <c r="H74" s="177"/>
      <c r="I74" s="1"/>
      <c r="J74" s="177"/>
      <c r="K74" s="177"/>
      <c r="L74" s="177"/>
      <c r="M74" s="177"/>
      <c r="N74" s="177"/>
      <c r="O74" s="177"/>
      <c r="P74" s="1"/>
      <c r="Q74" s="177"/>
      <c r="R74" s="177"/>
      <c r="S74" s="177"/>
      <c r="T74" s="177"/>
    </row>
    <row r="75" spans="2:20" s="73" customFormat="1" x14ac:dyDescent="0.3">
      <c r="B75" s="1"/>
      <c r="C75" s="177"/>
      <c r="D75" s="177"/>
      <c r="E75" s="177"/>
      <c r="F75" s="177"/>
      <c r="G75" s="177"/>
      <c r="H75" s="177"/>
      <c r="I75" s="1"/>
      <c r="J75" s="177"/>
      <c r="K75" s="177"/>
      <c r="L75" s="177"/>
      <c r="M75" s="177"/>
      <c r="N75" s="177"/>
      <c r="O75" s="177"/>
      <c r="P75" s="1"/>
      <c r="Q75" s="177"/>
      <c r="R75" s="177"/>
      <c r="S75" s="177"/>
      <c r="T75" s="177"/>
    </row>
    <row r="76" spans="2:20" s="73" customFormat="1" x14ac:dyDescent="0.3">
      <c r="B76" s="1"/>
      <c r="C76" s="177"/>
      <c r="D76" s="177"/>
      <c r="E76" s="177"/>
      <c r="F76" s="177"/>
      <c r="G76" s="177"/>
      <c r="H76" s="177"/>
      <c r="I76" s="1"/>
      <c r="J76" s="177"/>
      <c r="K76" s="177"/>
      <c r="L76" s="177"/>
      <c r="M76" s="177"/>
      <c r="N76" s="177"/>
      <c r="O76" s="177"/>
      <c r="P76" s="1"/>
      <c r="Q76" s="177"/>
      <c r="R76" s="177"/>
      <c r="S76" s="177"/>
      <c r="T76" s="177"/>
    </row>
    <row r="77" spans="2:20" s="73" customFormat="1" x14ac:dyDescent="0.3">
      <c r="B77" s="1"/>
      <c r="C77" s="177"/>
      <c r="D77" s="177"/>
      <c r="E77" s="177"/>
      <c r="F77" s="177"/>
      <c r="G77" s="177"/>
      <c r="H77" s="177"/>
      <c r="I77" s="1"/>
      <c r="J77" s="177"/>
      <c r="K77" s="177"/>
      <c r="L77" s="177"/>
      <c r="M77" s="177"/>
      <c r="N77" s="177"/>
      <c r="O77" s="177"/>
      <c r="P77" s="1"/>
      <c r="Q77" s="177"/>
      <c r="R77" s="177"/>
      <c r="S77" s="177"/>
      <c r="T77" s="177"/>
    </row>
    <row r="78" spans="2:20" s="73" customFormat="1" x14ac:dyDescent="0.3">
      <c r="B78" s="1"/>
      <c r="C78" s="177"/>
      <c r="D78" s="177"/>
      <c r="E78" s="177"/>
      <c r="F78" s="177"/>
      <c r="G78" s="177"/>
      <c r="H78" s="177"/>
      <c r="I78" s="1"/>
      <c r="J78" s="177"/>
      <c r="K78" s="177"/>
      <c r="L78" s="177"/>
      <c r="M78" s="177"/>
      <c r="N78" s="177"/>
      <c r="O78" s="177"/>
      <c r="P78" s="1"/>
      <c r="Q78" s="177"/>
      <c r="R78" s="177"/>
      <c r="S78" s="177"/>
      <c r="T78" s="177"/>
    </row>
    <row r="79" spans="2:20" s="73" customFormat="1" x14ac:dyDescent="0.3">
      <c r="B79" s="1"/>
      <c r="C79" s="177"/>
      <c r="D79" s="177"/>
      <c r="E79" s="177"/>
      <c r="F79" s="177"/>
      <c r="G79" s="177"/>
      <c r="H79" s="177"/>
      <c r="I79" s="1"/>
      <c r="J79" s="177"/>
      <c r="K79" s="177"/>
      <c r="L79" s="177"/>
      <c r="M79" s="177"/>
      <c r="N79" s="177"/>
      <c r="O79" s="177"/>
      <c r="P79" s="1"/>
      <c r="Q79" s="177"/>
      <c r="R79" s="177"/>
      <c r="S79" s="177"/>
      <c r="T79" s="177"/>
    </row>
    <row r="80" spans="2:20" s="73" customFormat="1" x14ac:dyDescent="0.3">
      <c r="B80" s="1"/>
      <c r="C80" s="177"/>
      <c r="D80" s="177"/>
      <c r="E80" s="177"/>
      <c r="F80" s="177"/>
      <c r="G80" s="177"/>
      <c r="H80" s="177"/>
      <c r="I80" s="1"/>
      <c r="J80" s="177"/>
      <c r="K80" s="177"/>
      <c r="L80" s="177"/>
      <c r="M80" s="177"/>
      <c r="N80" s="177"/>
      <c r="O80" s="177"/>
      <c r="P80" s="1"/>
      <c r="Q80" s="177"/>
      <c r="R80" s="177"/>
      <c r="S80" s="177"/>
      <c r="T80" s="177"/>
    </row>
    <row r="81" spans="2:20" s="73" customFormat="1" x14ac:dyDescent="0.3">
      <c r="B81" s="1"/>
      <c r="C81" s="177"/>
      <c r="D81" s="177"/>
      <c r="E81" s="177"/>
      <c r="F81" s="177"/>
      <c r="G81" s="177"/>
      <c r="H81" s="177"/>
      <c r="I81" s="1"/>
      <c r="J81" s="177"/>
      <c r="K81" s="177"/>
      <c r="L81" s="177"/>
      <c r="M81" s="177"/>
      <c r="N81" s="177"/>
      <c r="O81" s="177"/>
      <c r="P81" s="1"/>
      <c r="Q81" s="177"/>
      <c r="R81" s="177"/>
      <c r="S81" s="177"/>
      <c r="T81" s="177"/>
    </row>
    <row r="82" spans="2:20" s="73" customFormat="1" x14ac:dyDescent="0.3">
      <c r="B82" s="1"/>
      <c r="C82" s="177"/>
      <c r="D82" s="177"/>
      <c r="E82" s="177"/>
      <c r="F82" s="177"/>
      <c r="G82" s="177"/>
      <c r="H82" s="177"/>
      <c r="I82" s="1"/>
      <c r="J82" s="177"/>
      <c r="K82" s="177"/>
      <c r="L82" s="177"/>
      <c r="M82" s="177"/>
      <c r="N82" s="177"/>
      <c r="O82" s="177"/>
      <c r="P82" s="1"/>
      <c r="Q82" s="177"/>
      <c r="R82" s="177"/>
      <c r="S82" s="177"/>
      <c r="T82" s="177"/>
    </row>
    <row r="83" spans="2:20" s="73" customFormat="1" x14ac:dyDescent="0.3">
      <c r="B83" s="1"/>
      <c r="C83" s="177"/>
      <c r="D83" s="177"/>
      <c r="E83" s="177"/>
      <c r="F83" s="177"/>
      <c r="G83" s="177"/>
      <c r="H83" s="177"/>
      <c r="I83" s="1"/>
      <c r="J83" s="177"/>
      <c r="K83" s="177"/>
      <c r="L83" s="177"/>
      <c r="M83" s="177"/>
      <c r="N83" s="177"/>
      <c r="O83" s="177"/>
      <c r="P83" s="1"/>
      <c r="Q83" s="177"/>
      <c r="R83" s="177"/>
      <c r="S83" s="177"/>
      <c r="T83" s="177"/>
    </row>
    <row r="84" spans="2:20" s="73" customFormat="1" x14ac:dyDescent="0.3">
      <c r="B84" s="1"/>
      <c r="C84" s="177"/>
      <c r="D84" s="177"/>
      <c r="E84" s="177"/>
      <c r="F84" s="177"/>
      <c r="G84" s="177"/>
      <c r="H84" s="177"/>
      <c r="I84" s="1"/>
      <c r="J84" s="177"/>
      <c r="K84" s="177"/>
      <c r="L84" s="177"/>
      <c r="M84" s="177"/>
      <c r="N84" s="177"/>
      <c r="O84" s="177"/>
      <c r="P84" s="1"/>
      <c r="Q84" s="177"/>
      <c r="R84" s="177"/>
      <c r="S84" s="177"/>
      <c r="T84" s="177"/>
    </row>
    <row r="85" spans="2:20" s="73" customFormat="1" x14ac:dyDescent="0.3">
      <c r="B85" s="1"/>
      <c r="C85" s="177"/>
      <c r="D85" s="177"/>
      <c r="E85" s="177"/>
      <c r="F85" s="177"/>
      <c r="G85" s="177"/>
      <c r="H85" s="177"/>
      <c r="I85" s="1"/>
      <c r="J85" s="177"/>
      <c r="K85" s="177"/>
      <c r="L85" s="177"/>
      <c r="M85" s="177"/>
      <c r="N85" s="177"/>
      <c r="O85" s="177"/>
      <c r="P85" s="1"/>
      <c r="Q85" s="177"/>
      <c r="R85" s="177"/>
      <c r="S85" s="177"/>
      <c r="T85" s="177"/>
    </row>
    <row r="86" spans="2:20" s="73" customFormat="1" x14ac:dyDescent="0.3">
      <c r="B86" s="1"/>
      <c r="C86" s="177"/>
      <c r="D86" s="177"/>
      <c r="E86" s="177"/>
      <c r="F86" s="177"/>
      <c r="G86" s="177"/>
      <c r="H86" s="177"/>
      <c r="I86" s="1"/>
      <c r="J86" s="177"/>
      <c r="K86" s="177"/>
      <c r="L86" s="177"/>
      <c r="M86" s="177"/>
      <c r="N86" s="177"/>
      <c r="O86" s="177"/>
      <c r="P86" s="1"/>
      <c r="Q86" s="177"/>
      <c r="R86" s="177"/>
      <c r="S86" s="177"/>
      <c r="T86" s="177"/>
    </row>
    <row r="87" spans="2:20" s="73" customFormat="1" x14ac:dyDescent="0.3">
      <c r="B87" s="1"/>
      <c r="C87" s="177"/>
      <c r="D87" s="177"/>
      <c r="E87" s="177"/>
      <c r="F87" s="177"/>
      <c r="G87" s="177"/>
      <c r="H87" s="177"/>
      <c r="I87" s="1"/>
      <c r="J87" s="177"/>
      <c r="K87" s="177"/>
      <c r="L87" s="177"/>
      <c r="M87" s="177"/>
      <c r="N87" s="177"/>
      <c r="O87" s="177"/>
      <c r="P87" s="1"/>
      <c r="Q87" s="177"/>
      <c r="R87" s="177"/>
      <c r="S87" s="177"/>
      <c r="T87" s="177"/>
    </row>
    <row r="88" spans="2:20" s="73" customFormat="1" x14ac:dyDescent="0.3">
      <c r="B88" s="1"/>
      <c r="C88" s="177"/>
      <c r="D88" s="177"/>
      <c r="E88" s="177"/>
      <c r="F88" s="177"/>
      <c r="G88" s="177"/>
      <c r="H88" s="177"/>
      <c r="I88" s="1"/>
      <c r="J88" s="177"/>
      <c r="K88" s="177"/>
      <c r="L88" s="177"/>
      <c r="M88" s="177"/>
      <c r="N88" s="177"/>
      <c r="O88" s="177"/>
      <c r="P88" s="1"/>
      <c r="Q88" s="177"/>
      <c r="R88" s="177"/>
      <c r="S88" s="177"/>
      <c r="T88" s="177"/>
    </row>
    <row r="89" spans="2:20" s="73" customFormat="1" x14ac:dyDescent="0.3">
      <c r="B89" s="1"/>
      <c r="C89" s="177"/>
      <c r="D89" s="177"/>
      <c r="E89" s="177"/>
      <c r="F89" s="177"/>
      <c r="G89" s="177"/>
      <c r="H89" s="177"/>
      <c r="I89" s="1"/>
      <c r="J89" s="177"/>
      <c r="K89" s="177"/>
      <c r="L89" s="177"/>
      <c r="M89" s="177"/>
      <c r="N89" s="177"/>
      <c r="O89" s="177"/>
      <c r="P89" s="1"/>
      <c r="Q89" s="177"/>
      <c r="R89" s="177"/>
      <c r="S89" s="177"/>
      <c r="T89" s="177"/>
    </row>
    <row r="90" spans="2:20" s="73" customFormat="1" x14ac:dyDescent="0.3">
      <c r="B90" s="1"/>
      <c r="C90" s="177"/>
      <c r="D90" s="177"/>
      <c r="E90" s="177"/>
      <c r="F90" s="177"/>
      <c r="G90" s="177"/>
      <c r="H90" s="177"/>
      <c r="I90" s="1"/>
      <c r="J90" s="177"/>
      <c r="K90" s="177"/>
      <c r="L90" s="177"/>
      <c r="M90" s="177"/>
      <c r="N90" s="177"/>
      <c r="O90" s="177"/>
      <c r="P90" s="1"/>
      <c r="Q90" s="177"/>
      <c r="R90" s="177"/>
      <c r="S90" s="177"/>
      <c r="T90" s="177"/>
    </row>
    <row r="91" spans="2:20" s="73" customFormat="1" x14ac:dyDescent="0.3">
      <c r="B91" s="1"/>
      <c r="C91" s="177"/>
      <c r="D91" s="177"/>
      <c r="E91" s="177"/>
      <c r="F91" s="177"/>
      <c r="G91" s="177"/>
      <c r="H91" s="177"/>
      <c r="I91" s="1"/>
      <c r="J91" s="177"/>
      <c r="K91" s="177"/>
      <c r="L91" s="177"/>
      <c r="M91" s="177"/>
      <c r="N91" s="177"/>
      <c r="O91" s="177"/>
      <c r="P91" s="1"/>
      <c r="Q91" s="177"/>
      <c r="R91" s="177"/>
      <c r="S91" s="177"/>
      <c r="T91" s="177"/>
    </row>
    <row r="92" spans="2:20" s="73" customFormat="1" x14ac:dyDescent="0.3">
      <c r="B92" s="1"/>
      <c r="C92" s="177"/>
      <c r="D92" s="177"/>
      <c r="E92" s="177"/>
      <c r="F92" s="177"/>
      <c r="G92" s="177"/>
      <c r="H92" s="177"/>
      <c r="I92" s="1"/>
      <c r="J92" s="177"/>
      <c r="K92" s="177"/>
      <c r="L92" s="177"/>
      <c r="M92" s="177"/>
      <c r="N92" s="177"/>
      <c r="O92" s="177"/>
      <c r="P92" s="1"/>
      <c r="Q92" s="177"/>
      <c r="R92" s="177"/>
      <c r="S92" s="177"/>
      <c r="T92" s="177"/>
    </row>
    <row r="93" spans="2:20" s="73" customFormat="1" x14ac:dyDescent="0.3">
      <c r="B93" s="1"/>
      <c r="C93" s="177"/>
      <c r="D93" s="177"/>
      <c r="E93" s="177"/>
      <c r="F93" s="177"/>
      <c r="G93" s="177"/>
      <c r="H93" s="177"/>
      <c r="I93" s="1"/>
      <c r="J93" s="177"/>
      <c r="K93" s="177"/>
      <c r="L93" s="177"/>
      <c r="M93" s="177"/>
      <c r="N93" s="177"/>
      <c r="O93" s="177"/>
      <c r="P93" s="1"/>
      <c r="Q93" s="177"/>
      <c r="R93" s="177"/>
      <c r="S93" s="177"/>
      <c r="T93" s="177"/>
    </row>
    <row r="94" spans="2:20" s="73" customFormat="1" x14ac:dyDescent="0.3">
      <c r="B94" s="1"/>
      <c r="C94" s="177"/>
      <c r="D94" s="177"/>
      <c r="E94" s="177"/>
      <c r="F94" s="177"/>
      <c r="G94" s="177"/>
      <c r="H94" s="177"/>
      <c r="I94" s="1"/>
      <c r="J94" s="177"/>
      <c r="K94" s="177"/>
      <c r="L94" s="177"/>
      <c r="M94" s="177"/>
      <c r="N94" s="177"/>
      <c r="O94" s="177"/>
      <c r="P94" s="1"/>
      <c r="Q94" s="177"/>
      <c r="R94" s="177"/>
      <c r="S94" s="177"/>
      <c r="T94" s="177"/>
    </row>
    <row r="95" spans="2:20" s="73" customFormat="1" x14ac:dyDescent="0.3">
      <c r="B95" s="1"/>
      <c r="C95" s="177"/>
      <c r="D95" s="177"/>
      <c r="E95" s="177"/>
      <c r="F95" s="177"/>
      <c r="G95" s="177"/>
      <c r="H95" s="177"/>
      <c r="I95" s="1"/>
      <c r="J95" s="177"/>
      <c r="K95" s="177"/>
      <c r="L95" s="177"/>
      <c r="M95" s="177"/>
      <c r="N95" s="177"/>
      <c r="O95" s="177"/>
      <c r="P95" s="1"/>
      <c r="Q95" s="177"/>
      <c r="R95" s="177"/>
      <c r="S95" s="177"/>
      <c r="T95" s="177"/>
    </row>
    <row r="96" spans="2:20" s="73" customFormat="1" x14ac:dyDescent="0.3">
      <c r="B96" s="1"/>
      <c r="C96" s="177"/>
      <c r="D96" s="177"/>
      <c r="E96" s="177"/>
      <c r="F96" s="177"/>
      <c r="G96" s="177"/>
      <c r="H96" s="177"/>
      <c r="I96" s="1"/>
      <c r="J96" s="177"/>
      <c r="K96" s="177"/>
      <c r="L96" s="177"/>
      <c r="M96" s="177"/>
      <c r="N96" s="177"/>
      <c r="O96" s="177"/>
      <c r="P96" s="1"/>
      <c r="Q96" s="177"/>
      <c r="R96" s="177"/>
      <c r="S96" s="177"/>
      <c r="T96" s="177"/>
    </row>
    <row r="97" spans="2:20" s="73" customFormat="1" x14ac:dyDescent="0.3">
      <c r="B97" s="1"/>
      <c r="C97" s="177"/>
      <c r="D97" s="177"/>
      <c r="E97" s="177"/>
      <c r="F97" s="177"/>
      <c r="G97" s="177"/>
      <c r="H97" s="177"/>
      <c r="I97" s="1"/>
      <c r="J97" s="177"/>
      <c r="K97" s="177"/>
      <c r="L97" s="177"/>
      <c r="M97" s="177"/>
      <c r="N97" s="177"/>
      <c r="O97" s="177"/>
      <c r="P97" s="1"/>
      <c r="Q97" s="177"/>
      <c r="R97" s="177"/>
      <c r="S97" s="177"/>
      <c r="T97" s="177"/>
    </row>
    <row r="98" spans="2:20" s="73" customFormat="1" x14ac:dyDescent="0.3">
      <c r="B98" s="1"/>
      <c r="C98" s="177"/>
      <c r="D98" s="177"/>
      <c r="E98" s="177"/>
      <c r="F98" s="177"/>
      <c r="G98" s="177"/>
      <c r="H98" s="177"/>
      <c r="I98" s="1"/>
      <c r="J98" s="177"/>
      <c r="K98" s="177"/>
      <c r="L98" s="177"/>
      <c r="M98" s="177"/>
      <c r="N98" s="177"/>
      <c r="O98" s="177"/>
      <c r="P98" s="1"/>
      <c r="Q98" s="177"/>
      <c r="R98" s="177"/>
      <c r="S98" s="177"/>
      <c r="T98" s="177"/>
    </row>
    <row r="99" spans="2:20" s="73" customFormat="1" x14ac:dyDescent="0.3">
      <c r="B99" s="1"/>
      <c r="C99" s="177"/>
      <c r="D99" s="177"/>
      <c r="E99" s="177"/>
      <c r="F99" s="177"/>
      <c r="G99" s="177"/>
      <c r="H99" s="177"/>
      <c r="I99" s="1"/>
      <c r="J99" s="177"/>
      <c r="K99" s="177"/>
      <c r="L99" s="177"/>
      <c r="M99" s="177"/>
      <c r="N99" s="177"/>
      <c r="O99" s="177"/>
      <c r="P99" s="1"/>
      <c r="Q99" s="177"/>
      <c r="R99" s="177"/>
      <c r="S99" s="177"/>
      <c r="T99" s="177"/>
    </row>
    <row r="100" spans="2:20" s="73" customFormat="1" x14ac:dyDescent="0.3">
      <c r="B100" s="1"/>
      <c r="C100" s="177"/>
      <c r="D100" s="177"/>
      <c r="E100" s="177"/>
      <c r="F100" s="177"/>
      <c r="G100" s="177"/>
      <c r="H100" s="177"/>
      <c r="I100" s="1"/>
      <c r="J100" s="177"/>
      <c r="K100" s="177"/>
      <c r="L100" s="177"/>
      <c r="M100" s="177"/>
      <c r="N100" s="177"/>
      <c r="O100" s="177"/>
      <c r="P100" s="1"/>
      <c r="Q100" s="177"/>
      <c r="R100" s="177"/>
      <c r="S100" s="177"/>
      <c r="T100" s="177"/>
    </row>
    <row r="101" spans="2:20" s="73" customFormat="1" x14ac:dyDescent="0.3">
      <c r="B101" s="1"/>
      <c r="C101" s="177"/>
      <c r="D101" s="177"/>
      <c r="E101" s="177"/>
      <c r="F101" s="177"/>
      <c r="G101" s="177"/>
      <c r="H101" s="177"/>
      <c r="I101" s="1"/>
      <c r="J101" s="177"/>
      <c r="K101" s="177"/>
      <c r="L101" s="177"/>
      <c r="M101" s="177"/>
      <c r="N101" s="177"/>
      <c r="O101" s="177"/>
      <c r="P101" s="1"/>
      <c r="Q101" s="177"/>
      <c r="R101" s="177"/>
      <c r="S101" s="177"/>
      <c r="T101" s="177"/>
    </row>
    <row r="102" spans="2:20" s="73" customFormat="1" x14ac:dyDescent="0.3">
      <c r="B102" s="1"/>
      <c r="C102" s="177"/>
      <c r="D102" s="177"/>
      <c r="E102" s="177"/>
      <c r="F102" s="177"/>
      <c r="G102" s="177"/>
      <c r="H102" s="177"/>
      <c r="I102" s="1"/>
      <c r="J102" s="177"/>
      <c r="K102" s="177"/>
      <c r="L102" s="177"/>
      <c r="M102" s="177"/>
      <c r="N102" s="177"/>
      <c r="O102" s="177"/>
      <c r="P102" s="1"/>
      <c r="Q102" s="177"/>
      <c r="R102" s="177"/>
      <c r="S102" s="177"/>
      <c r="T102" s="177"/>
    </row>
    <row r="103" spans="2:20" s="73" customFormat="1" x14ac:dyDescent="0.3">
      <c r="B103" s="1"/>
      <c r="C103" s="177"/>
      <c r="D103" s="177"/>
      <c r="E103" s="177"/>
      <c r="F103" s="177"/>
      <c r="G103" s="177"/>
      <c r="H103" s="177"/>
      <c r="I103" s="1"/>
      <c r="J103" s="177"/>
      <c r="K103" s="177"/>
      <c r="L103" s="177"/>
      <c r="M103" s="177"/>
      <c r="N103" s="177"/>
      <c r="O103" s="177"/>
      <c r="P103" s="1"/>
      <c r="Q103" s="177"/>
      <c r="R103" s="177"/>
      <c r="S103" s="177"/>
      <c r="T103" s="177"/>
    </row>
    <row r="104" spans="2:20" s="73" customFormat="1" x14ac:dyDescent="0.3">
      <c r="B104" s="1"/>
      <c r="C104" s="177"/>
      <c r="D104" s="177"/>
      <c r="E104" s="177"/>
      <c r="F104" s="177"/>
      <c r="G104" s="177"/>
      <c r="H104" s="177"/>
      <c r="I104" s="1"/>
      <c r="J104" s="177"/>
      <c r="K104" s="177"/>
      <c r="L104" s="177"/>
      <c r="M104" s="177"/>
      <c r="N104" s="177"/>
      <c r="O104" s="177"/>
      <c r="P104" s="1"/>
      <c r="Q104" s="177"/>
      <c r="R104" s="177"/>
      <c r="S104" s="177"/>
      <c r="T104" s="177"/>
    </row>
    <row r="105" spans="2:20" s="73" customFormat="1" x14ac:dyDescent="0.3">
      <c r="B105" s="1"/>
      <c r="C105" s="177"/>
      <c r="D105" s="177"/>
      <c r="E105" s="177"/>
      <c r="F105" s="177"/>
      <c r="G105" s="177"/>
      <c r="H105" s="177"/>
      <c r="I105" s="1"/>
      <c r="J105" s="177"/>
      <c r="K105" s="177"/>
      <c r="L105" s="177"/>
      <c r="M105" s="177"/>
      <c r="N105" s="177"/>
      <c r="O105" s="177"/>
      <c r="P105" s="1"/>
      <c r="Q105" s="177"/>
      <c r="R105" s="177"/>
      <c r="S105" s="177"/>
      <c r="T105" s="177"/>
    </row>
    <row r="106" spans="2:20" x14ac:dyDescent="0.3">
      <c r="B106" s="177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78"/>
      <c r="O106" s="178"/>
      <c r="P106" s="178"/>
      <c r="Q106" s="178"/>
      <c r="R106" s="176"/>
      <c r="S106" s="176"/>
      <c r="T106" s="1"/>
    </row>
    <row r="107" spans="2:20" x14ac:dyDescent="0.3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2:20" x14ac:dyDescent="0.3">
      <c r="G108" s="1"/>
      <c r="H108" s="1"/>
      <c r="I108" s="1"/>
      <c r="J108" s="1"/>
      <c r="K108" s="1"/>
      <c r="L108" s="1"/>
      <c r="M108" s="1"/>
      <c r="N108" s="1"/>
      <c r="O108" s="1"/>
      <c r="P108" s="1" t="s">
        <v>87</v>
      </c>
      <c r="Q108" s="1"/>
      <c r="R108" s="1"/>
      <c r="S108" s="1"/>
      <c r="T108" s="1"/>
    </row>
    <row r="109" spans="2:20" ht="26" customHeight="1" x14ac:dyDescent="0.3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2:20" ht="26" customHeight="1" x14ac:dyDescent="0.3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2:20" ht="26" customHeight="1" x14ac:dyDescent="0.3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2:20" x14ac:dyDescent="0.3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2:20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2:20" x14ac:dyDescent="0.3"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2:20" x14ac:dyDescent="0.3"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2:20" x14ac:dyDescent="0.3"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2:20" x14ac:dyDescent="0.3"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2:20" x14ac:dyDescent="0.3"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2:20" x14ac:dyDescent="0.3"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2:20" x14ac:dyDescent="0.3"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2:20" x14ac:dyDescent="0.3"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2:20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2:20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2:20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2:20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2:20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2:20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2:20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2:20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2:20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2:20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2:20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2:20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2:20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2:20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2:20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</sheetData>
  <mergeCells count="2">
    <mergeCell ref="B2:H2"/>
    <mergeCell ref="B3:H3"/>
  </mergeCells>
  <phoneticPr fontId="3" type="noConversion"/>
  <conditionalFormatting sqref="C21:D21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C67:D105 C53:D53 C37:D38">
    <cfRule type="iconSet" priority="41">
      <iconSet iconSet="3Arrows">
        <cfvo type="percent" val="0"/>
        <cfvo type="percent" val="33"/>
        <cfvo type="percent" val="67"/>
      </iconSet>
    </cfRule>
  </conditionalFormatting>
  <conditionalFormatting sqref="C20:F20">
    <cfRule type="iconSet" priority="20">
      <iconSet iconSet="4Arrows">
        <cfvo type="percent" val="0"/>
        <cfvo type="num" val="0"/>
        <cfvo type="num" val="0"/>
        <cfvo type="num" val="0"/>
      </iconSet>
    </cfRule>
    <cfRule type="iconSet" priority="21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C36:F36">
    <cfRule type="iconSet" priority="30">
      <iconSet iconSet="4Arrows">
        <cfvo type="percent" val="0"/>
        <cfvo type="num" val="0"/>
        <cfvo type="num" val="0"/>
        <cfvo type="num" val="0"/>
      </iconSet>
    </cfRule>
    <cfRule type="iconSet" priority="31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32">
      <iconSet iconSet="3Arrows">
        <cfvo type="percent" val="0"/>
        <cfvo type="percent" val="33"/>
        <cfvo type="percent" val="67"/>
      </iconSet>
    </cfRule>
  </conditionalFormatting>
  <conditionalFormatting sqref="C51:F51">
    <cfRule type="iconSet" priority="27">
      <iconSet iconSet="4Arrows">
        <cfvo type="percent" val="0"/>
        <cfvo type="num" val="0"/>
        <cfvo type="num" val="0"/>
        <cfvo type="num" val="0"/>
      </iconSet>
    </cfRule>
    <cfRule type="iconSet" priority="28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29">
      <iconSet iconSet="3Arrows">
        <cfvo type="percent" val="0"/>
        <cfvo type="percent" val="33"/>
        <cfvo type="percent" val="67"/>
      </iconSet>
    </cfRule>
  </conditionalFormatting>
  <conditionalFormatting sqref="C52:F52 J40:M105 M38:M39">
    <cfRule type="iconSet" priority="67">
      <iconSet iconSet="3Arrows">
        <cfvo type="percent" val="0"/>
        <cfvo type="percent" val="33"/>
        <cfvo type="percent" val="67"/>
      </iconSet>
    </cfRule>
  </conditionalFormatting>
  <conditionalFormatting sqref="D66:F66">
    <cfRule type="iconSet" priority="24">
      <iconSet iconSet="4Arrows">
        <cfvo type="percent" val="0"/>
        <cfvo type="num" val="0"/>
        <cfvo type="num" val="0"/>
        <cfvo type="num" val="0"/>
      </iconSet>
    </cfRule>
    <cfRule type="iconSet" priority="25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26">
      <iconSet iconSet="3Arrows">
        <cfvo type="percent" val="0"/>
        <cfvo type="percent" val="33"/>
        <cfvo type="percent" val="67"/>
      </iconSet>
    </cfRule>
  </conditionalFormatting>
  <conditionalFormatting sqref="J5:J8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{BBD5116D-DCA7-4A0D-805C-8B77ED966333}</x14:id>
        </ext>
      </extLst>
    </cfRule>
  </conditionalFormatting>
  <conditionalFormatting sqref="J5:N5">
    <cfRule type="dataBar" priority="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{5D231329-D36F-4B43-BEB9-49153B64809B}</x14:id>
        </ext>
      </extLst>
    </cfRule>
  </conditionalFormatting>
  <conditionalFormatting sqref="J6:N6">
    <cfRule type="dataBar" priority="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{B87AE7B6-8C62-4CCE-B9D4-C89D904B027A}</x14:id>
        </ext>
      </extLst>
    </cfRule>
  </conditionalFormatting>
  <conditionalFormatting sqref="J7:N7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{B58DDF12-BA66-4A1B-9C1C-387BE77C0785}</x14:id>
        </ext>
      </extLst>
    </cfRule>
  </conditionalFormatting>
  <conditionalFormatting sqref="J8:N8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{88E8B68B-80CC-4AB2-AA36-7B44DFADCAD9}</x14:id>
        </ext>
      </extLst>
    </cfRule>
  </conditionalFormatting>
  <conditionalFormatting sqref="K5:K8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{7B5FED4B-4C5C-45E4-BBD8-F83B99770E18}</x14:id>
        </ext>
      </extLst>
    </cfRule>
  </conditionalFormatting>
  <conditionalFormatting sqref="L5:L8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{56158714-DF0C-4C05-8405-F2F7DD26056C}</x14:id>
        </ext>
      </extLst>
    </cfRule>
  </conditionalFormatting>
  <conditionalFormatting sqref="M5:M8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{F0F003DF-A603-4E9A-9CEC-868FBC9E7EFB}</x14:id>
        </ext>
      </extLst>
    </cfRule>
  </conditionalFormatting>
  <conditionalFormatting sqref="N5:N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{FE128EE9-60A4-414B-92EA-D6DF30D7DD93}</x14:id>
        </ext>
      </extLst>
    </cfRule>
  </conditionalFormatting>
  <conditionalFormatting sqref="R37:S105">
    <cfRule type="iconSet" priority="68">
      <iconSet iconSet="3Arrows">
        <cfvo type="percent" val="0"/>
        <cfvo type="percent" val="33"/>
        <cfvo type="percent" val="67"/>
      </iconSet>
    </cfRule>
  </conditionalFormatting>
  <pageMargins left="0.25" right="0.25" top="0.75" bottom="0.75" header="0.3" footer="0.3"/>
  <pageSetup scale="50" orientation="landscape" r:id="rId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D5116D-DCA7-4A0D-805C-8B77ED966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J5:J8</xm:sqref>
        </x14:conditionalFormatting>
        <x14:conditionalFormatting xmlns:xm="http://schemas.microsoft.com/office/excel/2006/main">
          <x14:cfRule type="dataBar" id="{5D231329-D36F-4B43-BEB9-49153B6480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J5:N5</xm:sqref>
        </x14:conditionalFormatting>
        <x14:conditionalFormatting xmlns:xm="http://schemas.microsoft.com/office/excel/2006/main">
          <x14:cfRule type="dataBar" id="{B87AE7B6-8C62-4CCE-B9D4-C89D904B02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J6:N6</xm:sqref>
        </x14:conditionalFormatting>
        <x14:conditionalFormatting xmlns:xm="http://schemas.microsoft.com/office/excel/2006/main">
          <x14:cfRule type="dataBar" id="{B58DDF12-BA66-4A1B-9C1C-387BE77C07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J7:N7</xm:sqref>
        </x14:conditionalFormatting>
        <x14:conditionalFormatting xmlns:xm="http://schemas.microsoft.com/office/excel/2006/main">
          <x14:cfRule type="dataBar" id="{88E8B68B-80CC-4AB2-AA36-7B44DFADCAD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J8:N8</xm:sqref>
        </x14:conditionalFormatting>
        <x14:conditionalFormatting xmlns:xm="http://schemas.microsoft.com/office/excel/2006/main">
          <x14:cfRule type="dataBar" id="{7B5FED4B-4C5C-45E4-BBD8-F83B99770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K5:K8</xm:sqref>
        </x14:conditionalFormatting>
        <x14:conditionalFormatting xmlns:xm="http://schemas.microsoft.com/office/excel/2006/main">
          <x14:cfRule type="dataBar" id="{56158714-DF0C-4C05-8405-F2F7DD2605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L5:L8</xm:sqref>
        </x14:conditionalFormatting>
        <x14:conditionalFormatting xmlns:xm="http://schemas.microsoft.com/office/excel/2006/main">
          <x14:cfRule type="dataBar" id="{F0F003DF-A603-4E9A-9CEC-868FBC9E7E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M5:M8</xm:sqref>
        </x14:conditionalFormatting>
        <x14:conditionalFormatting xmlns:xm="http://schemas.microsoft.com/office/excel/2006/main">
          <x14:cfRule type="dataBar" id="{FE128EE9-60A4-414B-92EA-D6DF30D7DD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6DF4C-B615-428E-98A0-A97A4BAAD52B}">
  <sheetPr codeName="Hoja13"/>
  <dimension ref="A1:AE122"/>
  <sheetViews>
    <sheetView showGridLines="0" zoomScale="80" zoomScaleNormal="80" workbookViewId="0">
      <pane xSplit="12" ySplit="4" topLeftCell="M5" activePane="bottomRight" state="frozen"/>
      <selection pane="topRight" activeCell="B1" sqref="B1"/>
      <selection pane="bottomLeft" activeCell="A3" sqref="A3"/>
      <selection pane="bottomRight" activeCell="G44" sqref="G44"/>
    </sheetView>
  </sheetViews>
  <sheetFormatPr baseColWidth="10" defaultRowHeight="14" x14ac:dyDescent="0.3"/>
  <cols>
    <col min="1" max="1" width="29.4140625" customWidth="1"/>
    <col min="2" max="3" width="14.83203125" customWidth="1"/>
    <col min="4" max="4" width="6.58203125" customWidth="1"/>
    <col min="5" max="5" width="14.83203125" customWidth="1"/>
    <col min="6" max="6" width="5.1640625" bestFit="1" customWidth="1"/>
    <col min="7" max="7" width="14.83203125" customWidth="1"/>
    <col min="8" max="8" width="5.1640625" bestFit="1" customWidth="1"/>
    <col min="9" max="9" width="14.83203125" customWidth="1"/>
    <col min="10" max="10" width="5.1640625" bestFit="1" customWidth="1"/>
    <col min="11" max="11" width="14" customWidth="1"/>
    <col min="12" max="12" width="12.08203125" bestFit="1" customWidth="1"/>
    <col min="13" max="13" width="6.83203125" customWidth="1"/>
    <col min="14" max="14" width="11.1640625" style="12"/>
    <col min="15" max="15" width="27.5" bestFit="1" customWidth="1"/>
    <col min="16" max="16" width="11.6640625" style="67" bestFit="1" customWidth="1"/>
    <col min="17" max="17" width="11.9140625" style="12" bestFit="1" customWidth="1"/>
    <col min="25" max="25" width="14.33203125" customWidth="1"/>
    <col min="26" max="26" width="19.58203125" bestFit="1" customWidth="1"/>
    <col min="27" max="27" width="14.08203125" customWidth="1"/>
    <col min="28" max="29" width="12.08203125" bestFit="1" customWidth="1"/>
    <col min="30" max="30" width="13.58203125" bestFit="1" customWidth="1"/>
    <col min="31" max="31" width="13.5" customWidth="1"/>
    <col min="33" max="33" width="15.5" bestFit="1" customWidth="1"/>
    <col min="34" max="34" width="19.58203125" bestFit="1" customWidth="1"/>
    <col min="35" max="38" width="13.58203125" bestFit="1" customWidth="1"/>
    <col min="39" max="39" width="12.08203125" bestFit="1" customWidth="1"/>
    <col min="40" max="40" width="13.58203125" bestFit="1" customWidth="1"/>
  </cols>
  <sheetData>
    <row r="1" spans="1:31" ht="16.25" customHeight="1" x14ac:dyDescent="0.3"/>
    <row r="2" spans="1:31" ht="16.25" customHeight="1" x14ac:dyDescent="0.4">
      <c r="B2" s="209" t="s">
        <v>490</v>
      </c>
      <c r="N2" s="209"/>
    </row>
    <row r="3" spans="1:31" ht="16.25" customHeight="1" x14ac:dyDescent="0.4">
      <c r="B3" s="210" t="s">
        <v>491</v>
      </c>
      <c r="N3" s="209" t="s">
        <v>496</v>
      </c>
    </row>
    <row r="4" spans="1:31" ht="25.75" customHeight="1" x14ac:dyDescent="0.3">
      <c r="K4" t="s">
        <v>87</v>
      </c>
      <c r="N4" s="207" t="s">
        <v>483</v>
      </c>
      <c r="O4" s="207" t="s">
        <v>484</v>
      </c>
      <c r="P4" s="208" t="s">
        <v>485</v>
      </c>
      <c r="Q4" s="207" t="s">
        <v>486</v>
      </c>
    </row>
    <row r="5" spans="1:31" ht="18" x14ac:dyDescent="0.4">
      <c r="A5" s="210" t="s">
        <v>497</v>
      </c>
      <c r="N5" s="12">
        <v>2022</v>
      </c>
      <c r="O5" t="s">
        <v>260</v>
      </c>
      <c r="P5" s="67">
        <v>31878058.399999999</v>
      </c>
      <c r="Q5" s="12" t="s">
        <v>487</v>
      </c>
    </row>
    <row r="6" spans="1:31" ht="23" x14ac:dyDescent="0.5">
      <c r="A6" s="215" t="s">
        <v>448</v>
      </c>
      <c r="N6" s="12">
        <v>2022</v>
      </c>
      <c r="O6" t="s">
        <v>448</v>
      </c>
      <c r="P6" s="67">
        <v>18498122</v>
      </c>
      <c r="Q6" s="12" t="s">
        <v>487</v>
      </c>
    </row>
    <row r="7" spans="1:31" x14ac:dyDescent="0.3">
      <c r="N7" s="12">
        <v>2022</v>
      </c>
      <c r="O7" t="s">
        <v>262</v>
      </c>
      <c r="P7" s="67">
        <v>589436</v>
      </c>
      <c r="Q7" s="12" t="s">
        <v>487</v>
      </c>
    </row>
    <row r="8" spans="1:31" x14ac:dyDescent="0.3">
      <c r="B8" s="165" t="s">
        <v>452</v>
      </c>
      <c r="C8" s="165" t="s">
        <v>351</v>
      </c>
      <c r="D8" s="179"/>
      <c r="E8" s="179" t="s">
        <v>352</v>
      </c>
      <c r="F8" s="179"/>
      <c r="G8" s="179" t="s">
        <v>353</v>
      </c>
      <c r="H8" s="179"/>
      <c r="I8" s="180" t="s">
        <v>378</v>
      </c>
      <c r="J8" s="180"/>
      <c r="K8" s="180" t="s">
        <v>461</v>
      </c>
      <c r="L8" s="180" t="s">
        <v>498</v>
      </c>
      <c r="N8" s="12">
        <v>2022</v>
      </c>
      <c r="O8" t="s">
        <v>7</v>
      </c>
      <c r="P8" s="67">
        <v>46073406.209321924</v>
      </c>
      <c r="Q8" s="12" t="s">
        <v>487</v>
      </c>
      <c r="Y8" s="7" t="s">
        <v>492</v>
      </c>
      <c r="Z8" s="7" t="s">
        <v>433</v>
      </c>
    </row>
    <row r="9" spans="1:31" ht="18" x14ac:dyDescent="0.4">
      <c r="A9" s="210"/>
      <c r="B9" s="212">
        <v>2025</v>
      </c>
      <c r="C9" s="214">
        <f>SUMIFS(P5:P122,O5:O122,A6,Q5:Q122,"Cuarter 1",Tabla4[Año],"2025")</f>
        <v>0</v>
      </c>
      <c r="D9" s="216">
        <f>+C9/C10-1</f>
        <v>-1</v>
      </c>
      <c r="E9" s="214">
        <f>SUMIFS(P5:P122,O5:O122,A6,Q5:Q122,"Cuarter 2",Tabla4[Año],"2025")</f>
        <v>0</v>
      </c>
      <c r="F9" s="216">
        <f>+E9/E10-1</f>
        <v>-1</v>
      </c>
      <c r="G9" s="214">
        <f>SUMIFS(P5:P122,O5:O122,A6,Q5:Q122,"Cuarter 3",Tabla4[Año],"2025")</f>
        <v>0</v>
      </c>
      <c r="H9" s="214"/>
      <c r="I9" s="214">
        <f>SUMIFS(P6:P123,O5:O122,A6,Q5:Q122,"Cuarter 4",Tabla4[Año],"2025")</f>
        <v>0</v>
      </c>
      <c r="J9" s="214"/>
      <c r="K9" s="211">
        <f>SUM(C9,E9,G9,I9)</f>
        <v>0</v>
      </c>
      <c r="L9" s="211">
        <f>SUM(C9,E9)</f>
        <v>0</v>
      </c>
      <c r="M9" s="216">
        <f>+L9/L10-1</f>
        <v>-1</v>
      </c>
      <c r="N9" s="12">
        <v>2022</v>
      </c>
      <c r="O9" t="s">
        <v>266</v>
      </c>
      <c r="P9" s="67">
        <v>41949615</v>
      </c>
      <c r="Q9" s="12" t="s">
        <v>487</v>
      </c>
      <c r="Z9" t="s">
        <v>266</v>
      </c>
      <c r="AD9" t="s">
        <v>495</v>
      </c>
      <c r="AE9" t="s">
        <v>85</v>
      </c>
    </row>
    <row r="10" spans="1:31" x14ac:dyDescent="0.3">
      <c r="B10" s="212">
        <v>2024</v>
      </c>
      <c r="C10" s="214">
        <f>SUMIFS(P5:P122,O5:O122,A6,Q5:Q122,"Cuarter 1",Tabla4[Año],"2024")</f>
        <v>38326904.548166662</v>
      </c>
      <c r="D10" s="214"/>
      <c r="E10" s="214">
        <f>SUMIFS(P5:P122,O5:O122,A6,Q5:Q122,"Cuarter 2",Tabla4[Año],"2024")</f>
        <v>35888513.606333338</v>
      </c>
      <c r="F10" s="214"/>
      <c r="G10" s="214">
        <f>SUMIFS(P5:P122,O5:O122,A6,Q5:Q122,"Cuarter 3",Tabla4[Año],"2024")</f>
        <v>35582526.483166665</v>
      </c>
      <c r="H10" s="214"/>
      <c r="I10" s="214">
        <f>SUMIFS(P5:P122,O5:O122,A6,Q5:Q122,"Cuarter 4",Tabla4[Año],"2024")</f>
        <v>36454115.82683333</v>
      </c>
      <c r="J10" s="214"/>
      <c r="K10" s="211">
        <f>SUM(C10,E10,G10,I10)</f>
        <v>146252060.46450001</v>
      </c>
      <c r="L10" s="211">
        <f>SUM(C10,E10)</f>
        <v>74215418.154500008</v>
      </c>
      <c r="M10" s="216"/>
      <c r="N10" s="12">
        <v>2022</v>
      </c>
      <c r="O10" t="s">
        <v>93</v>
      </c>
      <c r="P10" s="67">
        <v>91520005.371466339</v>
      </c>
      <c r="Q10" s="12" t="s">
        <v>487</v>
      </c>
      <c r="Y10" s="7" t="s">
        <v>493</v>
      </c>
      <c r="Z10">
        <v>2022</v>
      </c>
      <c r="AA10">
        <v>2023</v>
      </c>
      <c r="AB10">
        <v>2024</v>
      </c>
      <c r="AC10">
        <v>2025</v>
      </c>
    </row>
    <row r="11" spans="1:31" x14ac:dyDescent="0.3">
      <c r="B11" s="212">
        <v>2023</v>
      </c>
      <c r="C11" s="214">
        <f>SUMIFS(P5:P122,O5:O122,A6,Q5:Q122,"Cuarter 1",Tabla4[Año],"2023")</f>
        <v>57771765</v>
      </c>
      <c r="D11" s="216">
        <f>+C10/C11-1</f>
        <v>-0.33658068871244173</v>
      </c>
      <c r="E11" s="214">
        <f>SUMIFS(P5:P122,O5:O122,A6,Q5:Q122,"Cuarter 2",Tabla4[Año],"2023")</f>
        <v>60692034</v>
      </c>
      <c r="F11" s="216">
        <f>+E10/E11-1</f>
        <v>-0.40867835132476626</v>
      </c>
      <c r="G11" s="214">
        <f>SUMIFS(P5:P122,O5:O122,A6,Q5:Q122,"Cuarter 3",Tabla4[Año],"2023")</f>
        <v>58744192.479999997</v>
      </c>
      <c r="H11" s="216">
        <f>+G10/G11-1</f>
        <v>-0.39428009849176049</v>
      </c>
      <c r="I11" s="214">
        <f>SUMIFS(P5:P122,O5:O122,A6,Q5:Q122,"Cuarter 4",Tabla4[Año],"2023")</f>
        <v>47009436.809999995</v>
      </c>
      <c r="J11" s="216">
        <f>+I10/I11-1</f>
        <v>-0.22453621441644889</v>
      </c>
      <c r="K11" s="211">
        <f>SUM(C11,E11,G11,I11)</f>
        <v>224217428.28999999</v>
      </c>
      <c r="L11" s="211">
        <f>SUM(C11,E11)</f>
        <v>118463799</v>
      </c>
      <c r="M11" s="216">
        <f>+L10/L11-1</f>
        <v>-0.37351816520336301</v>
      </c>
      <c r="N11" s="12">
        <v>2022</v>
      </c>
      <c r="O11" t="s">
        <v>265</v>
      </c>
      <c r="P11" s="67">
        <v>145676664.51335129</v>
      </c>
      <c r="Q11" s="12" t="s">
        <v>487</v>
      </c>
      <c r="Y11" s="8" t="s">
        <v>487</v>
      </c>
      <c r="Z11" s="64">
        <v>41949615</v>
      </c>
      <c r="AA11" s="64">
        <v>58632692</v>
      </c>
      <c r="AB11" s="64">
        <v>53158374</v>
      </c>
      <c r="AC11" s="64">
        <v>0</v>
      </c>
      <c r="AD11" s="64">
        <v>153740681</v>
      </c>
      <c r="AE11" s="64">
        <v>153740681</v>
      </c>
    </row>
    <row r="12" spans="1:31" x14ac:dyDescent="0.3">
      <c r="B12" s="213">
        <v>2022</v>
      </c>
      <c r="C12" s="214">
        <f>SUMIFS(P5:P122,O5:O122,A6,Q5:Q122,"Cuarter 1",Tabla4[Año],"2022")</f>
        <v>18498122</v>
      </c>
      <c r="D12" s="214"/>
      <c r="E12" s="214">
        <f>SUMIFS(P5:P122,O5:O122,A6,Q5:Q122,"Cuarter 2",Tabla4[Año],"2022")</f>
        <v>32614841</v>
      </c>
      <c r="F12" s="214"/>
      <c r="G12" s="214">
        <f>SUMIFS(P5:P122,O5:O122,A6,Q5:Q122,"Cuarter 3",Tabla4[Año],"2022")</f>
        <v>31407638</v>
      </c>
      <c r="H12" s="214"/>
      <c r="I12" s="214">
        <f>SUMIFS(P5:P122,O5:O122,A6,Q5:Q122,"Cuarter 4",Tabla4[Año],"2022")</f>
        <v>41457713</v>
      </c>
      <c r="J12" s="214"/>
      <c r="K12" s="211">
        <f>SUM(C12,E12,G12,I12)</f>
        <v>123978314</v>
      </c>
      <c r="L12" s="211">
        <f>SUM(C12,E12)</f>
        <v>51112963</v>
      </c>
      <c r="M12" s="216"/>
      <c r="N12" s="12">
        <v>2022</v>
      </c>
      <c r="O12" t="s">
        <v>449</v>
      </c>
      <c r="Q12" s="12" t="s">
        <v>487</v>
      </c>
      <c r="Y12" s="8" t="s">
        <v>489</v>
      </c>
      <c r="Z12" s="64">
        <v>53043142</v>
      </c>
      <c r="AA12" s="64">
        <v>74596765</v>
      </c>
      <c r="AB12" s="64">
        <v>54585023</v>
      </c>
      <c r="AC12" s="64">
        <v>0</v>
      </c>
      <c r="AD12" s="64">
        <v>182224930</v>
      </c>
      <c r="AE12" s="64">
        <v>182224930</v>
      </c>
    </row>
    <row r="13" spans="1:31" x14ac:dyDescent="0.3">
      <c r="M13" s="216"/>
      <c r="N13" s="12">
        <v>2022</v>
      </c>
      <c r="O13" t="s">
        <v>260</v>
      </c>
      <c r="P13" s="67">
        <v>41617779.5</v>
      </c>
      <c r="Q13" s="12" t="s">
        <v>489</v>
      </c>
      <c r="Y13" s="8" t="s">
        <v>488</v>
      </c>
      <c r="Z13" s="64">
        <v>45504378</v>
      </c>
      <c r="AA13" s="64">
        <v>69111531</v>
      </c>
      <c r="AB13" s="64">
        <v>43700189</v>
      </c>
      <c r="AC13" s="64"/>
      <c r="AD13" s="64">
        <v>158316098</v>
      </c>
      <c r="AE13" s="64">
        <v>158316098</v>
      </c>
    </row>
    <row r="14" spans="1:31" x14ac:dyDescent="0.3">
      <c r="N14" s="12">
        <v>2022</v>
      </c>
      <c r="O14" t="s">
        <v>448</v>
      </c>
      <c r="P14" s="67">
        <v>32614841</v>
      </c>
      <c r="Q14" s="12" t="s">
        <v>489</v>
      </c>
      <c r="Y14" s="8" t="s">
        <v>494</v>
      </c>
      <c r="Z14" s="64">
        <v>70146271</v>
      </c>
      <c r="AA14" s="64">
        <v>76094471</v>
      </c>
      <c r="AB14" s="64">
        <v>39983421</v>
      </c>
      <c r="AC14" s="64"/>
      <c r="AD14" s="64">
        <v>186224163</v>
      </c>
      <c r="AE14" s="64">
        <v>186224163</v>
      </c>
    </row>
    <row r="15" spans="1:31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N15" s="12">
        <v>2022</v>
      </c>
      <c r="O15" t="s">
        <v>262</v>
      </c>
      <c r="P15" s="67">
        <v>911167</v>
      </c>
      <c r="Q15" s="12" t="s">
        <v>489</v>
      </c>
      <c r="Y15" s="8" t="s">
        <v>85</v>
      </c>
      <c r="Z15" s="64">
        <v>210643406</v>
      </c>
      <c r="AA15" s="64">
        <v>278435459</v>
      </c>
      <c r="AB15" s="64">
        <v>191427007</v>
      </c>
      <c r="AC15" s="64">
        <v>0</v>
      </c>
      <c r="AD15" s="64">
        <v>680505872</v>
      </c>
      <c r="AE15" s="64">
        <v>680505872</v>
      </c>
    </row>
    <row r="16" spans="1:31" x14ac:dyDescent="0.3">
      <c r="N16" s="12">
        <v>2022</v>
      </c>
      <c r="O16" t="s">
        <v>7</v>
      </c>
      <c r="P16" s="67">
        <v>59560197.201399997</v>
      </c>
      <c r="Q16" s="12" t="s">
        <v>489</v>
      </c>
    </row>
    <row r="17" spans="1:17" x14ac:dyDescent="0.3">
      <c r="N17" s="12">
        <v>2022</v>
      </c>
      <c r="O17" t="s">
        <v>266</v>
      </c>
      <c r="P17" s="67">
        <v>53043142</v>
      </c>
      <c r="Q17" s="12" t="s">
        <v>489</v>
      </c>
    </row>
    <row r="18" spans="1:17" x14ac:dyDescent="0.3">
      <c r="N18" s="12">
        <v>2022</v>
      </c>
      <c r="O18" t="s">
        <v>93</v>
      </c>
      <c r="P18" s="67">
        <v>85141216.144959196</v>
      </c>
      <c r="Q18" s="12" t="s">
        <v>489</v>
      </c>
    </row>
    <row r="19" spans="1:17" x14ac:dyDescent="0.3">
      <c r="N19" s="12">
        <v>2022</v>
      </c>
      <c r="O19" t="s">
        <v>265</v>
      </c>
      <c r="P19" s="67">
        <v>143914372.52121806</v>
      </c>
      <c r="Q19" s="12" t="s">
        <v>489</v>
      </c>
    </row>
    <row r="20" spans="1:17" x14ac:dyDescent="0.3">
      <c r="N20" s="12">
        <v>2022</v>
      </c>
      <c r="O20" t="s">
        <v>449</v>
      </c>
      <c r="P20" s="67">
        <v>43286434.840000004</v>
      </c>
      <c r="Q20" s="12" t="s">
        <v>489</v>
      </c>
    </row>
    <row r="21" spans="1:17" x14ac:dyDescent="0.3">
      <c r="N21" s="12">
        <v>2022</v>
      </c>
      <c r="O21" t="s">
        <v>260</v>
      </c>
      <c r="P21" s="67">
        <v>28667274</v>
      </c>
      <c r="Q21" s="12" t="s">
        <v>488</v>
      </c>
    </row>
    <row r="22" spans="1:17" x14ac:dyDescent="0.3">
      <c r="N22" s="12">
        <v>2022</v>
      </c>
      <c r="O22" t="s">
        <v>448</v>
      </c>
      <c r="P22" s="67">
        <v>31407638</v>
      </c>
      <c r="Q22" s="12" t="s">
        <v>488</v>
      </c>
    </row>
    <row r="23" spans="1:17" ht="18" x14ac:dyDescent="0.4">
      <c r="A23" s="210"/>
      <c r="N23" s="12">
        <v>2022</v>
      </c>
      <c r="O23" t="s">
        <v>262</v>
      </c>
      <c r="P23" s="67">
        <v>668827</v>
      </c>
      <c r="Q23" s="12" t="s">
        <v>488</v>
      </c>
    </row>
    <row r="24" spans="1:17" x14ac:dyDescent="0.3">
      <c r="N24" s="12">
        <v>2022</v>
      </c>
      <c r="O24" t="s">
        <v>7</v>
      </c>
      <c r="P24" s="67">
        <v>36824033</v>
      </c>
      <c r="Q24" s="12" t="s">
        <v>488</v>
      </c>
    </row>
    <row r="25" spans="1:17" x14ac:dyDescent="0.3">
      <c r="N25" s="12">
        <v>2022</v>
      </c>
      <c r="O25" t="s">
        <v>266</v>
      </c>
      <c r="P25" s="67">
        <v>45504378</v>
      </c>
      <c r="Q25" s="12" t="s">
        <v>488</v>
      </c>
    </row>
    <row r="26" spans="1:17" x14ac:dyDescent="0.3">
      <c r="N26" s="12">
        <v>2022</v>
      </c>
      <c r="O26" t="s">
        <v>93</v>
      </c>
      <c r="P26" s="67">
        <v>66117646</v>
      </c>
      <c r="Q26" s="12" t="s">
        <v>488</v>
      </c>
    </row>
    <row r="27" spans="1:17" x14ac:dyDescent="0.3">
      <c r="N27" s="12">
        <v>2022</v>
      </c>
      <c r="O27" t="s">
        <v>265</v>
      </c>
      <c r="P27" s="67">
        <v>113020419.513422</v>
      </c>
      <c r="Q27" s="12" t="s">
        <v>488</v>
      </c>
    </row>
    <row r="28" spans="1:17" x14ac:dyDescent="0.3">
      <c r="N28" s="12">
        <v>2022</v>
      </c>
      <c r="O28" t="s">
        <v>449</v>
      </c>
      <c r="P28" s="67">
        <v>30049505.199999999</v>
      </c>
      <c r="Q28" s="12" t="s">
        <v>488</v>
      </c>
    </row>
    <row r="29" spans="1:17" x14ac:dyDescent="0.3">
      <c r="N29" s="12">
        <v>2022</v>
      </c>
      <c r="O29" t="s">
        <v>260</v>
      </c>
      <c r="P29" s="67">
        <v>32296785.5</v>
      </c>
      <c r="Q29" s="12" t="s">
        <v>494</v>
      </c>
    </row>
    <row r="30" spans="1:17" x14ac:dyDescent="0.3">
      <c r="N30" s="12">
        <v>2022</v>
      </c>
      <c r="O30" t="s">
        <v>448</v>
      </c>
      <c r="P30" s="67">
        <v>41457713</v>
      </c>
      <c r="Q30" s="12" t="s">
        <v>494</v>
      </c>
    </row>
    <row r="31" spans="1:17" x14ac:dyDescent="0.3">
      <c r="N31" s="12">
        <v>2022</v>
      </c>
      <c r="O31" t="s">
        <v>262</v>
      </c>
      <c r="P31" s="67">
        <v>247775</v>
      </c>
      <c r="Q31" s="12" t="s">
        <v>494</v>
      </c>
    </row>
    <row r="32" spans="1:17" x14ac:dyDescent="0.3">
      <c r="N32" s="12">
        <v>2022</v>
      </c>
      <c r="O32" t="s">
        <v>7</v>
      </c>
      <c r="P32" s="67">
        <v>40349454</v>
      </c>
      <c r="Q32" s="12" t="s">
        <v>494</v>
      </c>
    </row>
    <row r="33" spans="14:17" x14ac:dyDescent="0.3">
      <c r="N33" s="12">
        <v>2022</v>
      </c>
      <c r="O33" t="s">
        <v>266</v>
      </c>
      <c r="P33" s="67">
        <v>70146271</v>
      </c>
      <c r="Q33" s="12" t="s">
        <v>494</v>
      </c>
    </row>
    <row r="34" spans="14:17" x14ac:dyDescent="0.3">
      <c r="N34" s="12">
        <v>2022</v>
      </c>
      <c r="O34" t="s">
        <v>93</v>
      </c>
      <c r="P34" s="67">
        <v>107758913.3</v>
      </c>
      <c r="Q34" s="12" t="s">
        <v>494</v>
      </c>
    </row>
    <row r="35" spans="14:17" x14ac:dyDescent="0.3">
      <c r="N35" s="12">
        <v>2022</v>
      </c>
      <c r="O35" t="s">
        <v>265</v>
      </c>
      <c r="P35" s="67">
        <v>222370669.74321601</v>
      </c>
      <c r="Q35" s="12" t="s">
        <v>494</v>
      </c>
    </row>
    <row r="36" spans="14:17" x14ac:dyDescent="0.3">
      <c r="N36" s="12">
        <v>2022</v>
      </c>
      <c r="O36" t="s">
        <v>449</v>
      </c>
      <c r="P36" s="67">
        <v>42439903.359999999</v>
      </c>
      <c r="Q36" s="12" t="s">
        <v>494</v>
      </c>
    </row>
    <row r="37" spans="14:17" x14ac:dyDescent="0.3">
      <c r="N37" s="12">
        <v>2023</v>
      </c>
      <c r="O37" t="s">
        <v>260</v>
      </c>
      <c r="P37" s="67">
        <v>25923832</v>
      </c>
      <c r="Q37" s="12" t="s">
        <v>487</v>
      </c>
    </row>
    <row r="38" spans="14:17" x14ac:dyDescent="0.3">
      <c r="N38" s="12">
        <v>2023</v>
      </c>
      <c r="O38" t="s">
        <v>448</v>
      </c>
      <c r="P38" s="67">
        <v>57771765</v>
      </c>
      <c r="Q38" s="12" t="s">
        <v>487</v>
      </c>
    </row>
    <row r="39" spans="14:17" x14ac:dyDescent="0.3">
      <c r="N39" s="12">
        <v>2023</v>
      </c>
      <c r="O39" t="s">
        <v>262</v>
      </c>
      <c r="P39" s="67">
        <v>557138</v>
      </c>
      <c r="Q39" s="12" t="s">
        <v>487</v>
      </c>
    </row>
    <row r="40" spans="14:17" x14ac:dyDescent="0.3">
      <c r="N40" s="12">
        <v>2023</v>
      </c>
      <c r="O40" t="s">
        <v>7</v>
      </c>
      <c r="P40" s="67">
        <v>9799265</v>
      </c>
      <c r="Q40" s="12" t="s">
        <v>487</v>
      </c>
    </row>
    <row r="41" spans="14:17" x14ac:dyDescent="0.3">
      <c r="N41" s="12">
        <v>2023</v>
      </c>
      <c r="O41" t="s">
        <v>266</v>
      </c>
      <c r="P41" s="67">
        <v>58632692</v>
      </c>
      <c r="Q41" s="12" t="s">
        <v>487</v>
      </c>
    </row>
    <row r="42" spans="14:17" x14ac:dyDescent="0.3">
      <c r="N42" s="12">
        <v>2023</v>
      </c>
      <c r="O42" t="s">
        <v>93</v>
      </c>
      <c r="P42" s="67">
        <v>105763825.63789199</v>
      </c>
      <c r="Q42" s="12" t="s">
        <v>487</v>
      </c>
    </row>
    <row r="43" spans="14:17" x14ac:dyDescent="0.3">
      <c r="N43" s="12">
        <v>2023</v>
      </c>
      <c r="O43" t="s">
        <v>265</v>
      </c>
      <c r="P43" s="67">
        <v>320562418.17870802</v>
      </c>
      <c r="Q43" s="12" t="s">
        <v>487</v>
      </c>
    </row>
    <row r="44" spans="14:17" x14ac:dyDescent="0.3">
      <c r="N44" s="12">
        <v>2023</v>
      </c>
      <c r="O44" t="s">
        <v>449</v>
      </c>
      <c r="P44" s="67">
        <v>35275515</v>
      </c>
      <c r="Q44" s="12" t="s">
        <v>487</v>
      </c>
    </row>
    <row r="45" spans="14:17" x14ac:dyDescent="0.3">
      <c r="N45" s="12">
        <v>2023</v>
      </c>
      <c r="O45" t="s">
        <v>260</v>
      </c>
      <c r="P45" s="67">
        <v>31550234.965793412</v>
      </c>
      <c r="Q45" s="12" t="s">
        <v>489</v>
      </c>
    </row>
    <row r="46" spans="14:17" x14ac:dyDescent="0.3">
      <c r="N46" s="12">
        <v>2023</v>
      </c>
      <c r="O46" t="s">
        <v>448</v>
      </c>
      <c r="P46" s="67">
        <v>60692034</v>
      </c>
      <c r="Q46" s="12" t="s">
        <v>489</v>
      </c>
    </row>
    <row r="47" spans="14:17" x14ac:dyDescent="0.3">
      <c r="N47" s="12">
        <v>2023</v>
      </c>
      <c r="O47" t="s">
        <v>262</v>
      </c>
      <c r="P47" s="67">
        <v>3849235</v>
      </c>
      <c r="Q47" s="12" t="s">
        <v>489</v>
      </c>
    </row>
    <row r="48" spans="14:17" x14ac:dyDescent="0.3">
      <c r="N48" s="12">
        <v>2023</v>
      </c>
      <c r="O48" t="s">
        <v>7</v>
      </c>
      <c r="P48" s="67">
        <v>4404905</v>
      </c>
      <c r="Q48" s="12" t="s">
        <v>489</v>
      </c>
    </row>
    <row r="49" spans="14:17" x14ac:dyDescent="0.3">
      <c r="N49" s="12">
        <v>2023</v>
      </c>
      <c r="O49" t="s">
        <v>266</v>
      </c>
      <c r="P49" s="67">
        <v>74596765</v>
      </c>
      <c r="Q49" s="12" t="s">
        <v>489</v>
      </c>
    </row>
    <row r="50" spans="14:17" x14ac:dyDescent="0.3">
      <c r="N50" s="12">
        <v>2023</v>
      </c>
      <c r="O50" t="s">
        <v>93</v>
      </c>
      <c r="P50" s="67">
        <v>108431862.924326</v>
      </c>
      <c r="Q50" s="12" t="s">
        <v>489</v>
      </c>
    </row>
    <row r="51" spans="14:17" x14ac:dyDescent="0.3">
      <c r="N51" s="12">
        <v>2023</v>
      </c>
      <c r="O51" t="s">
        <v>265</v>
      </c>
      <c r="P51" s="67">
        <v>262287706.36883801</v>
      </c>
      <c r="Q51" s="12" t="s">
        <v>489</v>
      </c>
    </row>
    <row r="52" spans="14:17" x14ac:dyDescent="0.3">
      <c r="N52" s="12">
        <v>2023</v>
      </c>
      <c r="O52" t="s">
        <v>449</v>
      </c>
      <c r="P52" s="67">
        <v>41853206</v>
      </c>
      <c r="Q52" s="12" t="s">
        <v>489</v>
      </c>
    </row>
    <row r="53" spans="14:17" x14ac:dyDescent="0.3">
      <c r="N53" s="12">
        <v>2023</v>
      </c>
      <c r="O53" t="s">
        <v>260</v>
      </c>
      <c r="P53" s="67">
        <v>37764131.780000001</v>
      </c>
      <c r="Q53" s="12" t="s">
        <v>488</v>
      </c>
    </row>
    <row r="54" spans="14:17" x14ac:dyDescent="0.3">
      <c r="N54" s="12">
        <v>2023</v>
      </c>
      <c r="O54" t="s">
        <v>448</v>
      </c>
      <c r="P54" s="67">
        <v>58744192.479999997</v>
      </c>
      <c r="Q54" s="12" t="s">
        <v>488</v>
      </c>
    </row>
    <row r="55" spans="14:17" x14ac:dyDescent="0.3">
      <c r="N55" s="12">
        <v>2023</v>
      </c>
      <c r="O55" t="s">
        <v>262</v>
      </c>
      <c r="P55" s="67">
        <v>1447983</v>
      </c>
      <c r="Q55" s="12" t="s">
        <v>488</v>
      </c>
    </row>
    <row r="56" spans="14:17" x14ac:dyDescent="0.3">
      <c r="N56" s="12">
        <v>2023</v>
      </c>
      <c r="O56" t="s">
        <v>7</v>
      </c>
      <c r="P56" s="67">
        <v>4094372</v>
      </c>
      <c r="Q56" s="12" t="s">
        <v>488</v>
      </c>
    </row>
    <row r="57" spans="14:17" x14ac:dyDescent="0.3">
      <c r="N57" s="12">
        <v>2023</v>
      </c>
      <c r="O57" t="s">
        <v>266</v>
      </c>
      <c r="P57" s="67">
        <v>69111531</v>
      </c>
      <c r="Q57" s="12" t="s">
        <v>488</v>
      </c>
    </row>
    <row r="58" spans="14:17" x14ac:dyDescent="0.3">
      <c r="N58" s="12">
        <v>2023</v>
      </c>
      <c r="O58" t="s">
        <v>93</v>
      </c>
      <c r="P58" s="67">
        <v>104841644.87396799</v>
      </c>
      <c r="Q58" s="12" t="s">
        <v>488</v>
      </c>
    </row>
    <row r="59" spans="14:17" x14ac:dyDescent="0.3">
      <c r="N59" s="12">
        <v>2023</v>
      </c>
      <c r="O59" t="s">
        <v>265</v>
      </c>
      <c r="P59" s="67">
        <v>274431115.77467203</v>
      </c>
      <c r="Q59" s="12" t="s">
        <v>488</v>
      </c>
    </row>
    <row r="60" spans="14:17" x14ac:dyDescent="0.3">
      <c r="N60" s="12">
        <v>2023</v>
      </c>
      <c r="O60" t="s">
        <v>449</v>
      </c>
      <c r="P60" s="67">
        <v>40239181</v>
      </c>
      <c r="Q60" s="12" t="s">
        <v>488</v>
      </c>
    </row>
    <row r="61" spans="14:17" x14ac:dyDescent="0.3">
      <c r="N61" s="12">
        <v>2023</v>
      </c>
      <c r="O61" t="s">
        <v>260</v>
      </c>
      <c r="P61" s="67">
        <v>34622949.549999997</v>
      </c>
      <c r="Q61" s="12" t="s">
        <v>494</v>
      </c>
    </row>
    <row r="62" spans="14:17" x14ac:dyDescent="0.3">
      <c r="N62" s="12">
        <v>2023</v>
      </c>
      <c r="O62" t="s">
        <v>448</v>
      </c>
      <c r="P62" s="67">
        <v>47009436.809999995</v>
      </c>
      <c r="Q62" s="12" t="s">
        <v>494</v>
      </c>
    </row>
    <row r="63" spans="14:17" x14ac:dyDescent="0.3">
      <c r="N63" s="12">
        <v>2023</v>
      </c>
      <c r="O63" t="s">
        <v>262</v>
      </c>
      <c r="P63" s="67">
        <v>548602</v>
      </c>
      <c r="Q63" s="12" t="s">
        <v>494</v>
      </c>
    </row>
    <row r="64" spans="14:17" x14ac:dyDescent="0.3">
      <c r="N64" s="12">
        <v>2023</v>
      </c>
      <c r="O64" t="s">
        <v>7</v>
      </c>
      <c r="P64" s="67">
        <v>4415570</v>
      </c>
      <c r="Q64" s="12" t="s">
        <v>494</v>
      </c>
    </row>
    <row r="65" spans="14:17" x14ac:dyDescent="0.3">
      <c r="N65" s="12">
        <v>2023</v>
      </c>
      <c r="O65" t="s">
        <v>266</v>
      </c>
      <c r="P65" s="67">
        <v>76094471</v>
      </c>
      <c r="Q65" s="12" t="s">
        <v>494</v>
      </c>
    </row>
    <row r="66" spans="14:17" x14ac:dyDescent="0.3">
      <c r="N66" s="12">
        <v>2023</v>
      </c>
      <c r="O66" t="s">
        <v>93</v>
      </c>
      <c r="P66" s="67">
        <v>102021481.543088</v>
      </c>
      <c r="Q66" s="12" t="s">
        <v>494</v>
      </c>
    </row>
    <row r="67" spans="14:17" x14ac:dyDescent="0.3">
      <c r="N67" s="12">
        <v>2023</v>
      </c>
      <c r="O67" t="s">
        <v>265</v>
      </c>
      <c r="P67" s="67">
        <v>327800528.83781195</v>
      </c>
      <c r="Q67" s="12" t="s">
        <v>494</v>
      </c>
    </row>
    <row r="68" spans="14:17" x14ac:dyDescent="0.3">
      <c r="N68" s="12">
        <v>2023</v>
      </c>
      <c r="O68" t="s">
        <v>449</v>
      </c>
      <c r="P68" s="67">
        <v>42266791</v>
      </c>
      <c r="Q68" s="12" t="s">
        <v>494</v>
      </c>
    </row>
    <row r="69" spans="14:17" x14ac:dyDescent="0.3">
      <c r="N69" s="12">
        <v>2024</v>
      </c>
      <c r="O69" t="s">
        <v>260</v>
      </c>
      <c r="P69" s="67">
        <v>27503870.5</v>
      </c>
      <c r="Q69" s="12" t="s">
        <v>487</v>
      </c>
    </row>
    <row r="70" spans="14:17" x14ac:dyDescent="0.3">
      <c r="N70" s="12">
        <v>2024</v>
      </c>
      <c r="O70" t="s">
        <v>448</v>
      </c>
      <c r="P70" s="67">
        <v>38326904.548166662</v>
      </c>
      <c r="Q70" s="12" t="s">
        <v>487</v>
      </c>
    </row>
    <row r="71" spans="14:17" x14ac:dyDescent="0.3">
      <c r="N71" s="12">
        <v>2024</v>
      </c>
      <c r="O71" t="s">
        <v>262</v>
      </c>
      <c r="P71" s="67">
        <v>0</v>
      </c>
      <c r="Q71" s="12" t="s">
        <v>487</v>
      </c>
    </row>
    <row r="72" spans="14:17" x14ac:dyDescent="0.3">
      <c r="N72" s="12">
        <v>2024</v>
      </c>
      <c r="O72" t="s">
        <v>7</v>
      </c>
      <c r="P72" s="67">
        <v>4359326</v>
      </c>
      <c r="Q72" s="12" t="s">
        <v>487</v>
      </c>
    </row>
    <row r="73" spans="14:17" x14ac:dyDescent="0.3">
      <c r="N73" s="12">
        <v>2024</v>
      </c>
      <c r="O73" t="s">
        <v>266</v>
      </c>
      <c r="P73" s="67">
        <v>53158374</v>
      </c>
      <c r="Q73" s="12" t="s">
        <v>487</v>
      </c>
    </row>
    <row r="74" spans="14:17" x14ac:dyDescent="0.3">
      <c r="N74" s="12">
        <v>2024</v>
      </c>
      <c r="O74" t="s">
        <v>93</v>
      </c>
      <c r="P74" s="67">
        <v>96773223.746794</v>
      </c>
      <c r="Q74" s="12" t="s">
        <v>487</v>
      </c>
    </row>
    <row r="75" spans="14:17" x14ac:dyDescent="0.3">
      <c r="N75" s="12">
        <v>2024</v>
      </c>
      <c r="O75" t="s">
        <v>446</v>
      </c>
      <c r="P75" s="67">
        <v>10326030</v>
      </c>
      <c r="Q75" s="12" t="s">
        <v>487</v>
      </c>
    </row>
    <row r="76" spans="14:17" x14ac:dyDescent="0.3">
      <c r="N76" s="12">
        <v>2024</v>
      </c>
      <c r="O76" t="s">
        <v>265</v>
      </c>
      <c r="P76" s="67">
        <v>222365956.64179432</v>
      </c>
      <c r="Q76" s="12" t="s">
        <v>487</v>
      </c>
    </row>
    <row r="77" spans="14:17" x14ac:dyDescent="0.3">
      <c r="N77" s="12">
        <v>2024</v>
      </c>
      <c r="O77" t="s">
        <v>449</v>
      </c>
      <c r="P77" s="67">
        <v>25441796</v>
      </c>
      <c r="Q77" s="12" t="s">
        <v>487</v>
      </c>
    </row>
    <row r="78" spans="14:17" x14ac:dyDescent="0.3">
      <c r="N78" s="12">
        <v>2024</v>
      </c>
      <c r="O78" t="s">
        <v>260</v>
      </c>
      <c r="P78" s="67">
        <v>27152063.140000001</v>
      </c>
      <c r="Q78" s="12" t="s">
        <v>489</v>
      </c>
    </row>
    <row r="79" spans="14:17" x14ac:dyDescent="0.3">
      <c r="N79" s="12">
        <v>2024</v>
      </c>
      <c r="O79" t="s">
        <v>448</v>
      </c>
      <c r="P79" s="67">
        <v>35888513.606333338</v>
      </c>
      <c r="Q79" s="12" t="s">
        <v>489</v>
      </c>
    </row>
    <row r="80" spans="14:17" x14ac:dyDescent="0.3">
      <c r="N80" s="12">
        <v>2024</v>
      </c>
      <c r="O80" t="s">
        <v>262</v>
      </c>
      <c r="P80" s="67">
        <v>275428</v>
      </c>
      <c r="Q80" s="12" t="s">
        <v>489</v>
      </c>
    </row>
    <row r="81" spans="14:17" x14ac:dyDescent="0.3">
      <c r="N81" s="12">
        <v>2024</v>
      </c>
      <c r="O81" t="s">
        <v>7</v>
      </c>
      <c r="P81" s="67">
        <v>4318237</v>
      </c>
      <c r="Q81" s="12" t="s">
        <v>489</v>
      </c>
    </row>
    <row r="82" spans="14:17" x14ac:dyDescent="0.3">
      <c r="N82" s="12">
        <v>2024</v>
      </c>
      <c r="O82" t="s">
        <v>266</v>
      </c>
      <c r="P82" s="67">
        <v>54585023</v>
      </c>
      <c r="Q82" s="12" t="s">
        <v>489</v>
      </c>
    </row>
    <row r="83" spans="14:17" x14ac:dyDescent="0.3">
      <c r="N83" s="12">
        <v>2024</v>
      </c>
      <c r="O83" t="s">
        <v>93</v>
      </c>
      <c r="P83" s="67">
        <v>101993137.32963999</v>
      </c>
      <c r="Q83" s="12" t="s">
        <v>489</v>
      </c>
    </row>
    <row r="84" spans="14:17" x14ac:dyDescent="0.3">
      <c r="N84" s="12">
        <v>2024</v>
      </c>
      <c r="O84" t="s">
        <v>446</v>
      </c>
      <c r="P84" s="67">
        <v>375000</v>
      </c>
      <c r="Q84" s="12" t="s">
        <v>489</v>
      </c>
    </row>
    <row r="85" spans="14:17" x14ac:dyDescent="0.3">
      <c r="N85" s="12">
        <v>2024</v>
      </c>
      <c r="O85" t="s">
        <v>265</v>
      </c>
      <c r="P85" s="67">
        <v>262955295.49182168</v>
      </c>
      <c r="Q85" s="12" t="s">
        <v>489</v>
      </c>
    </row>
    <row r="86" spans="14:17" x14ac:dyDescent="0.3">
      <c r="N86" s="12">
        <v>2024</v>
      </c>
      <c r="O86" t="s">
        <v>449</v>
      </c>
      <c r="P86" s="67">
        <v>14760439</v>
      </c>
      <c r="Q86" s="12" t="s">
        <v>489</v>
      </c>
    </row>
    <row r="87" spans="14:17" x14ac:dyDescent="0.3">
      <c r="N87" s="12">
        <v>2024</v>
      </c>
      <c r="O87" t="s">
        <v>260</v>
      </c>
      <c r="P87" s="67">
        <v>22234572</v>
      </c>
      <c r="Q87" s="12" t="s">
        <v>488</v>
      </c>
    </row>
    <row r="88" spans="14:17" x14ac:dyDescent="0.3">
      <c r="N88" s="12">
        <v>2024</v>
      </c>
      <c r="O88" t="s">
        <v>448</v>
      </c>
      <c r="P88" s="67">
        <v>35582526.483166665</v>
      </c>
      <c r="Q88" s="12" t="s">
        <v>488</v>
      </c>
    </row>
    <row r="89" spans="14:17" x14ac:dyDescent="0.3">
      <c r="N89" s="12">
        <v>2024</v>
      </c>
      <c r="O89" t="s">
        <v>262</v>
      </c>
      <c r="P89" s="67">
        <v>12000</v>
      </c>
      <c r="Q89" s="12" t="s">
        <v>488</v>
      </c>
    </row>
    <row r="90" spans="14:17" x14ac:dyDescent="0.3">
      <c r="N90" s="12">
        <v>2024</v>
      </c>
      <c r="O90" t="s">
        <v>7</v>
      </c>
      <c r="P90" s="67">
        <v>4346056</v>
      </c>
      <c r="Q90" s="12" t="s">
        <v>488</v>
      </c>
    </row>
    <row r="91" spans="14:17" x14ac:dyDescent="0.3">
      <c r="N91" s="12">
        <v>2024</v>
      </c>
      <c r="O91" t="s">
        <v>266</v>
      </c>
      <c r="P91" s="67">
        <v>43700189</v>
      </c>
      <c r="Q91" s="12" t="s">
        <v>488</v>
      </c>
    </row>
    <row r="92" spans="14:17" x14ac:dyDescent="0.3">
      <c r="N92" s="12">
        <v>2024</v>
      </c>
      <c r="O92" t="s">
        <v>93</v>
      </c>
      <c r="P92" s="67">
        <v>114863473.82726</v>
      </c>
      <c r="Q92" s="12" t="s">
        <v>488</v>
      </c>
    </row>
    <row r="93" spans="14:17" x14ac:dyDescent="0.3">
      <c r="N93" s="12">
        <v>2024</v>
      </c>
      <c r="O93" t="s">
        <v>446</v>
      </c>
      <c r="P93" s="67">
        <v>1088820</v>
      </c>
      <c r="Q93" s="12" t="s">
        <v>488</v>
      </c>
    </row>
    <row r="94" spans="14:17" x14ac:dyDescent="0.3">
      <c r="N94" s="12">
        <v>2024</v>
      </c>
      <c r="O94" t="s">
        <v>265</v>
      </c>
      <c r="P94" s="67">
        <v>144698827.19749331</v>
      </c>
      <c r="Q94" s="12" t="s">
        <v>488</v>
      </c>
    </row>
    <row r="95" spans="14:17" x14ac:dyDescent="0.3">
      <c r="N95" s="12">
        <v>2024</v>
      </c>
      <c r="O95" t="s">
        <v>449</v>
      </c>
      <c r="P95" s="67">
        <v>9742776</v>
      </c>
      <c r="Q95" s="12" t="s">
        <v>488</v>
      </c>
    </row>
    <row r="96" spans="14:17" x14ac:dyDescent="0.3">
      <c r="N96" s="12">
        <v>2024</v>
      </c>
      <c r="O96" t="s">
        <v>260</v>
      </c>
      <c r="P96" s="67">
        <v>23639180.5</v>
      </c>
      <c r="Q96" s="12" t="s">
        <v>494</v>
      </c>
    </row>
    <row r="97" spans="14:17" x14ac:dyDescent="0.3">
      <c r="N97" s="12">
        <v>2024</v>
      </c>
      <c r="O97" t="s">
        <v>448</v>
      </c>
      <c r="P97" s="67">
        <v>36454115.82683333</v>
      </c>
      <c r="Q97" s="12" t="s">
        <v>494</v>
      </c>
    </row>
    <row r="98" spans="14:17" x14ac:dyDescent="0.3">
      <c r="N98" s="12">
        <v>2024</v>
      </c>
      <c r="O98" t="s">
        <v>262</v>
      </c>
      <c r="P98" s="67">
        <v>0</v>
      </c>
      <c r="Q98" s="12" t="s">
        <v>494</v>
      </c>
    </row>
    <row r="99" spans="14:17" x14ac:dyDescent="0.3">
      <c r="N99" s="12">
        <v>2024</v>
      </c>
      <c r="O99" t="s">
        <v>7</v>
      </c>
      <c r="P99" s="67">
        <v>4463227</v>
      </c>
      <c r="Q99" s="12" t="s">
        <v>494</v>
      </c>
    </row>
    <row r="100" spans="14:17" x14ac:dyDescent="0.3">
      <c r="N100" s="12">
        <v>2024</v>
      </c>
      <c r="O100" t="s">
        <v>266</v>
      </c>
      <c r="P100" s="67">
        <v>39983421</v>
      </c>
      <c r="Q100" s="12" t="s">
        <v>494</v>
      </c>
    </row>
    <row r="101" spans="14:17" x14ac:dyDescent="0.3">
      <c r="N101" s="12">
        <v>2024</v>
      </c>
      <c r="O101" t="s">
        <v>93</v>
      </c>
      <c r="P101" s="67">
        <v>102109483.76650999</v>
      </c>
      <c r="Q101" s="12" t="s">
        <v>494</v>
      </c>
    </row>
    <row r="102" spans="14:17" x14ac:dyDescent="0.3">
      <c r="N102" s="12">
        <v>2024</v>
      </c>
      <c r="O102" t="s">
        <v>446</v>
      </c>
      <c r="P102" s="67">
        <v>0</v>
      </c>
      <c r="Q102" s="12" t="s">
        <v>494</v>
      </c>
    </row>
    <row r="103" spans="14:17" x14ac:dyDescent="0.3">
      <c r="N103" s="12">
        <v>2024</v>
      </c>
      <c r="O103" t="s">
        <v>265</v>
      </c>
      <c r="P103" s="67">
        <v>344517893.45156664</v>
      </c>
      <c r="Q103" s="12" t="s">
        <v>494</v>
      </c>
    </row>
    <row r="104" spans="14:17" x14ac:dyDescent="0.3">
      <c r="N104" s="12">
        <v>2024</v>
      </c>
      <c r="O104" t="s">
        <v>449</v>
      </c>
      <c r="P104" s="67">
        <v>5506789</v>
      </c>
      <c r="Q104" s="12" t="s">
        <v>494</v>
      </c>
    </row>
    <row r="105" spans="14:17" x14ac:dyDescent="0.3">
      <c r="N105" s="12">
        <v>2025</v>
      </c>
      <c r="O105" t="s">
        <v>260</v>
      </c>
      <c r="P105" s="67">
        <f>+'2024&amp;2023&amp; 2022 G. Extra'!C9</f>
        <v>39542991.308500007</v>
      </c>
      <c r="Q105" s="12" t="s">
        <v>487</v>
      </c>
    </row>
    <row r="106" spans="14:17" x14ac:dyDescent="0.3">
      <c r="N106" s="12">
        <v>2025</v>
      </c>
      <c r="O106" t="s">
        <v>448</v>
      </c>
      <c r="P106" s="67">
        <f>+'2024&amp;2023&amp; 2022 G. Extra'!C10</f>
        <v>0</v>
      </c>
      <c r="Q106" s="12" t="s">
        <v>487</v>
      </c>
    </row>
    <row r="107" spans="14:17" x14ac:dyDescent="0.3">
      <c r="N107" s="12">
        <v>2025</v>
      </c>
      <c r="O107" t="s">
        <v>262</v>
      </c>
      <c r="P107" s="67">
        <f>+'2024&amp;2023&amp; 2022 G. Extra'!C11</f>
        <v>0</v>
      </c>
      <c r="Q107" s="12" t="s">
        <v>487</v>
      </c>
    </row>
    <row r="108" spans="14:17" x14ac:dyDescent="0.3">
      <c r="N108" s="12">
        <v>2025</v>
      </c>
      <c r="O108" t="s">
        <v>7</v>
      </c>
      <c r="P108" s="67">
        <f>+'2024&amp;2023&amp; 2022 G. Extra'!C12</f>
        <v>0</v>
      </c>
      <c r="Q108" s="12" t="s">
        <v>487</v>
      </c>
    </row>
    <row r="109" spans="14:17" x14ac:dyDescent="0.3">
      <c r="N109" s="12">
        <v>2025</v>
      </c>
      <c r="O109" t="s">
        <v>266</v>
      </c>
      <c r="P109" s="67">
        <f>+'2024&amp;2023&amp; 2022 G. Extra'!C13</f>
        <v>0</v>
      </c>
      <c r="Q109" s="12" t="s">
        <v>487</v>
      </c>
    </row>
    <row r="110" spans="14:17" x14ac:dyDescent="0.3">
      <c r="N110" s="12">
        <v>2025</v>
      </c>
      <c r="O110" t="s">
        <v>93</v>
      </c>
      <c r="P110" s="67">
        <f>+'2024&amp;2023&amp; 2022 G. Extra'!C14</f>
        <v>0</v>
      </c>
      <c r="Q110" s="12" t="s">
        <v>487</v>
      </c>
    </row>
    <row r="111" spans="14:17" x14ac:dyDescent="0.3">
      <c r="N111" s="12">
        <v>2025</v>
      </c>
      <c r="O111" t="s">
        <v>446</v>
      </c>
      <c r="P111" s="67">
        <f>+'2024&amp;2023&amp; 2022 G. Extra'!C15</f>
        <v>0</v>
      </c>
      <c r="Q111" s="12" t="s">
        <v>487</v>
      </c>
    </row>
    <row r="112" spans="14:17" x14ac:dyDescent="0.3">
      <c r="N112" s="12">
        <v>2025</v>
      </c>
      <c r="O112" t="s">
        <v>265</v>
      </c>
      <c r="P112" s="67">
        <f>+'2024&amp;2023&amp; 2022 G. Extra'!C16</f>
        <v>0</v>
      </c>
      <c r="Q112" s="12" t="s">
        <v>487</v>
      </c>
    </row>
    <row r="113" spans="14:17" x14ac:dyDescent="0.3">
      <c r="N113" s="12">
        <v>2025</v>
      </c>
      <c r="O113" t="s">
        <v>449</v>
      </c>
      <c r="P113" s="67">
        <f>+'2024&amp;2023&amp; 2022 G. Extra'!C17</f>
        <v>0</v>
      </c>
      <c r="Q113" s="12" t="s">
        <v>487</v>
      </c>
    </row>
    <row r="114" spans="14:17" x14ac:dyDescent="0.3">
      <c r="N114" s="12">
        <v>2025</v>
      </c>
      <c r="O114" t="s">
        <v>260</v>
      </c>
      <c r="P114" s="67">
        <f>+'2024&amp;2023&amp; 2022 G. Extra'!D9</f>
        <v>59196947.773000002</v>
      </c>
      <c r="Q114" s="12" t="s">
        <v>489</v>
      </c>
    </row>
    <row r="115" spans="14:17" x14ac:dyDescent="0.3">
      <c r="N115" s="12">
        <v>2025</v>
      </c>
      <c r="O115" t="s">
        <v>448</v>
      </c>
      <c r="P115" s="67">
        <f>+'2024&amp;2023&amp; 2022 G. Extra'!D10</f>
        <v>0</v>
      </c>
      <c r="Q115" s="12" t="s">
        <v>489</v>
      </c>
    </row>
    <row r="116" spans="14:17" x14ac:dyDescent="0.3">
      <c r="N116" s="12">
        <v>2025</v>
      </c>
      <c r="O116" t="s">
        <v>262</v>
      </c>
      <c r="P116" s="67">
        <f>+'2024&amp;2023&amp; 2022 G. Extra'!D11</f>
        <v>0</v>
      </c>
      <c r="Q116" s="12" t="s">
        <v>489</v>
      </c>
    </row>
    <row r="117" spans="14:17" x14ac:dyDescent="0.3">
      <c r="N117" s="12">
        <v>2025</v>
      </c>
      <c r="O117" t="s">
        <v>7</v>
      </c>
      <c r="P117" s="67">
        <f>+'2024&amp;2023&amp; 2022 G. Extra'!D12</f>
        <v>0</v>
      </c>
      <c r="Q117" s="12" t="s">
        <v>489</v>
      </c>
    </row>
    <row r="118" spans="14:17" x14ac:dyDescent="0.3">
      <c r="N118" s="12">
        <v>2025</v>
      </c>
      <c r="O118" t="s">
        <v>266</v>
      </c>
      <c r="P118" s="67">
        <f>+'2024&amp;2023&amp; 2022 G. Extra'!D13</f>
        <v>0</v>
      </c>
      <c r="Q118" s="12" t="s">
        <v>489</v>
      </c>
    </row>
    <row r="119" spans="14:17" x14ac:dyDescent="0.3">
      <c r="N119" s="12">
        <v>2025</v>
      </c>
      <c r="O119" t="s">
        <v>93</v>
      </c>
      <c r="P119" s="67">
        <f>+'2024&amp;2023&amp; 2022 G. Extra'!D14</f>
        <v>0</v>
      </c>
      <c r="Q119" s="12" t="s">
        <v>489</v>
      </c>
    </row>
    <row r="120" spans="14:17" x14ac:dyDescent="0.3">
      <c r="N120" s="12">
        <v>2025</v>
      </c>
      <c r="O120" t="s">
        <v>446</v>
      </c>
      <c r="P120" s="67">
        <f>+'2024&amp;2023&amp; 2022 G. Extra'!D15</f>
        <v>0</v>
      </c>
      <c r="Q120" s="12" t="s">
        <v>489</v>
      </c>
    </row>
    <row r="121" spans="14:17" x14ac:dyDescent="0.3">
      <c r="N121" s="12">
        <v>2025</v>
      </c>
      <c r="O121" t="s">
        <v>265</v>
      </c>
      <c r="P121" s="67">
        <f>+'2024&amp;2023&amp; 2022 G. Extra'!D16</f>
        <v>0</v>
      </c>
      <c r="Q121" s="12" t="s">
        <v>489</v>
      </c>
    </row>
    <row r="122" spans="14:17" x14ac:dyDescent="0.3">
      <c r="N122" s="12">
        <v>2025</v>
      </c>
      <c r="O122" t="s">
        <v>449</v>
      </c>
      <c r="P122" s="67">
        <f>+'2024&amp;2023&amp; 2022 G. Extra'!D17</f>
        <v>0</v>
      </c>
      <c r="Q122" s="12" t="s">
        <v>489</v>
      </c>
    </row>
  </sheetData>
  <phoneticPr fontId="3" type="noConversion"/>
  <pageMargins left="0.7" right="0.7" top="0.75" bottom="0.75" header="0.3" footer="0.3"/>
  <drawing r:id="rId2"/>
  <picture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A9FF44-FF3C-4336-8AA7-300BC8D44589}">
          <x14:formula1>
            <xm:f>Listas!$P$5:$P$17</xm:f>
          </x14:formula1>
          <xm:sqref>A6</xm:sqref>
        </x14:dataValidation>
      </x14:dataValidations>
    </ex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3A4CF648-6AED-40f4-86FF-DC5316D8AED3}">
      <x14:slicerList xmlns:x14="http://schemas.microsoft.com/office/spreadsheetml/2009/9/main">
        <x14:slicer r:id="rId6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F16D-41E1-44F9-9F7E-008B3BEC979E}">
  <sheetPr codeName="Hoja8"/>
  <dimension ref="B1:U173"/>
  <sheetViews>
    <sheetView showGridLines="0" zoomScale="90" zoomScaleNormal="90" workbookViewId="0">
      <pane xSplit="3" ySplit="5" topLeftCell="O23" activePane="bottomRight" state="frozen"/>
      <selection activeCell="P277" sqref="P277"/>
      <selection pane="topRight" activeCell="P277" sqref="P277"/>
      <selection pane="bottomLeft" activeCell="P277" sqref="P277"/>
      <selection pane="bottomRight" activeCell="O2" sqref="O2"/>
    </sheetView>
  </sheetViews>
  <sheetFormatPr baseColWidth="10" defaultRowHeight="14" x14ac:dyDescent="0.3"/>
  <cols>
    <col min="1" max="1" width="0.9140625" customWidth="1"/>
    <col min="2" max="2" width="1.5" style="1" hidden="1" customWidth="1"/>
    <col min="3" max="3" width="82.9140625" customWidth="1"/>
    <col min="4" max="14" width="16.08203125" customWidth="1"/>
    <col min="15" max="15" width="16.58203125" style="67" customWidth="1"/>
    <col min="16" max="18" width="16.08203125" customWidth="1"/>
    <col min="19" max="19" width="16.58203125" style="67" customWidth="1"/>
    <col min="20" max="20" width="18.6640625" customWidth="1"/>
    <col min="21" max="21" width="11.6640625" customWidth="1"/>
    <col min="22" max="22" width="17.1640625" customWidth="1"/>
    <col min="23" max="23" width="16.6640625" bestFit="1" customWidth="1"/>
    <col min="24" max="24" width="14.6640625" bestFit="1" customWidth="1"/>
    <col min="25" max="25" width="13" bestFit="1" customWidth="1"/>
    <col min="26" max="27" width="12.6640625" bestFit="1" customWidth="1"/>
    <col min="28" max="28" width="12.08203125" bestFit="1" customWidth="1"/>
    <col min="29" max="29" width="14.6640625" bestFit="1" customWidth="1"/>
  </cols>
  <sheetData>
    <row r="1" spans="2:20" ht="38" customHeight="1" x14ac:dyDescent="0.3"/>
    <row r="2" spans="2:20" ht="38" customHeight="1" x14ac:dyDescent="0.3"/>
    <row r="3" spans="2:20" ht="38" customHeight="1" x14ac:dyDescent="0.3"/>
    <row r="4" spans="2:20" ht="38" customHeight="1" thickBot="1" x14ac:dyDescent="0.35"/>
    <row r="5" spans="2:20" ht="14.5" thickBot="1" x14ac:dyDescent="0.35">
      <c r="B5" s="39" t="s">
        <v>259</v>
      </c>
      <c r="C5" s="40" t="s">
        <v>350</v>
      </c>
      <c r="D5" s="41" t="s">
        <v>255</v>
      </c>
      <c r="E5" s="41" t="s">
        <v>256</v>
      </c>
      <c r="F5" s="41" t="s">
        <v>257</v>
      </c>
      <c r="G5" s="53" t="s">
        <v>347</v>
      </c>
      <c r="H5" s="41" t="s">
        <v>258</v>
      </c>
      <c r="I5" s="41" t="s">
        <v>247</v>
      </c>
      <c r="J5" s="41" t="s">
        <v>248</v>
      </c>
      <c r="K5" s="53" t="s">
        <v>346</v>
      </c>
      <c r="L5" s="41" t="s">
        <v>249</v>
      </c>
      <c r="M5" s="41" t="s">
        <v>250</v>
      </c>
      <c r="N5" s="41" t="s">
        <v>251</v>
      </c>
      <c r="O5" s="68" t="s">
        <v>348</v>
      </c>
      <c r="P5" s="41" t="s">
        <v>252</v>
      </c>
      <c r="Q5" s="41" t="s">
        <v>253</v>
      </c>
      <c r="R5" s="41" t="s">
        <v>254</v>
      </c>
      <c r="S5" s="68" t="s">
        <v>349</v>
      </c>
      <c r="T5" s="42" t="s">
        <v>15</v>
      </c>
    </row>
    <row r="6" spans="2:20" ht="14.5" thickBot="1" x14ac:dyDescent="0.35">
      <c r="B6" s="32" t="s">
        <v>260</v>
      </c>
      <c r="C6" s="33" t="s">
        <v>118</v>
      </c>
      <c r="D6" s="34">
        <f>_xlfn.XLOOKUP(C6,[3]Gastos!$B:$B,[3]Gastos!$G:$G)</f>
        <v>0</v>
      </c>
      <c r="E6" s="34">
        <f>_xlfn.XLOOKUP(C6,[3]Gastos!$B:$B,[3]Gastos!$L:$L)</f>
        <v>0</v>
      </c>
      <c r="F6" s="34">
        <f>_xlfn.XLOOKUP(C6,[3]Gastos!$B:$B,[3]Gastos!$Q:$Q)</f>
        <v>0</v>
      </c>
      <c r="G6" s="34">
        <f>SUM(Tabla1[[#This Row],[january]:[march]])</f>
        <v>0</v>
      </c>
      <c r="H6" s="34">
        <f>_xlfn.XLOOKUP(C6,[3]Gastos!$B:$B,[3]Gastos!$V:$V)</f>
        <v>119540</v>
      </c>
      <c r="I6" s="34">
        <f>_xlfn.XLOOKUP(C6,[3]Gastos!$B:$B,[3]Gastos!$AA:$AA)</f>
        <v>215654</v>
      </c>
      <c r="J6" s="34">
        <f>_xlfn.XLOOKUP(C6,[3]Gastos!$B:$B,[3]Gastos!$AF:$AF)</f>
        <v>107327</v>
      </c>
      <c r="K6" s="34">
        <f>SUM(Tabla1[[#This Row],[april]:[june]])</f>
        <v>442521</v>
      </c>
      <c r="L6" s="34">
        <f>_xlfn.XLOOKUP(C6,[3]Gastos!$B:$B,[3]Gastos!$AK:$AK)</f>
        <v>214680</v>
      </c>
      <c r="M6" s="34">
        <f>_xlfn.XLOOKUP(C6,[3]Gastos!$B:$B,[3]Gastos!$AP:$AP)</f>
        <v>107198</v>
      </c>
      <c r="N6" s="34">
        <f>_xlfn.XLOOKUP(Tabla1[[#This Row],[Subcuenta]],[3]Gastos!$B:$B,[3]Gastos!$AU:$AU)</f>
        <v>311506</v>
      </c>
      <c r="O6" s="34">
        <f>SUM(Tabla1[[#This Row],[july]:[september]])</f>
        <v>633384</v>
      </c>
      <c r="P6" s="34">
        <f>_xlfn.XLOOKUP(Tabla1[[#This Row],[Subcuenta]],[3]Gastos!$B:$B,[3]Gastos!$AZ:$AZ)</f>
        <v>203427</v>
      </c>
      <c r="Q6" s="34">
        <f>_xlfn.XLOOKUP(Tabla1[[#This Row],[Subcuenta]],[3]Gastos!$B:$B,[3]Gastos!$BE:$BE)</f>
        <v>222773</v>
      </c>
      <c r="R6" s="34">
        <f>_xlfn.XLOOKUP(Tabla1[[#This Row],[Subcuenta]],[3]Gastos!$B:$B,[3]Gastos!$BJ:$BJ)</f>
        <v>299822</v>
      </c>
      <c r="S6" s="92">
        <f>SUM(Tabla1[[#This Row],[october]:[december]])</f>
        <v>726022</v>
      </c>
      <c r="T6" s="43">
        <f t="shared" ref="T6:T70" si="0">SUM(G6,K6,O6,S6)</f>
        <v>1801927</v>
      </c>
    </row>
    <row r="7" spans="2:20" x14ac:dyDescent="0.3">
      <c r="B7" s="35" t="s">
        <v>260</v>
      </c>
      <c r="C7" s="23" t="s">
        <v>119</v>
      </c>
      <c r="D7" s="24">
        <f>_xlfn.XLOOKUP(C7,[3]Gastos!$B:$B,[3]Gastos!$G:$G)</f>
        <v>0</v>
      </c>
      <c r="E7" s="24">
        <f>_xlfn.XLOOKUP(C7,[3]Gastos!$B:$B,[3]Gastos!$L:$L)</f>
        <v>0</v>
      </c>
      <c r="F7" s="24">
        <f>_xlfn.XLOOKUP(C7,[3]Gastos!$B:$B,[3]Gastos!$Q:$Q)</f>
        <v>0</v>
      </c>
      <c r="G7" s="24">
        <f>SUM(Tabla1[[#This Row],[january]:[march]])</f>
        <v>0</v>
      </c>
      <c r="H7" s="24">
        <f>_xlfn.XLOOKUP(C7,[3]Gastos!$B:$B,[3]Gastos!$V:$V)</f>
        <v>0</v>
      </c>
      <c r="I7" s="24">
        <f>_xlfn.XLOOKUP(C7,[3]Gastos!$B:$B,[3]Gastos!$AA:$AA)</f>
        <v>0</v>
      </c>
      <c r="J7" s="24">
        <f>_xlfn.XLOOKUP(C7,[3]Gastos!$B:$B,[3]Gastos!$AF:$AF)</f>
        <v>0</v>
      </c>
      <c r="K7" s="24">
        <f>SUM(Tabla1[[#This Row],[april]:[june]])</f>
        <v>0</v>
      </c>
      <c r="L7" s="24">
        <f>_xlfn.XLOOKUP(C7,[3]Gastos!$B:$B,[3]Gastos!$AK:$AK)</f>
        <v>0</v>
      </c>
      <c r="M7" s="24">
        <f>_xlfn.XLOOKUP(C7,[3]Gastos!$B:$B,[3]Gastos!$AP:$AP)</f>
        <v>0</v>
      </c>
      <c r="N7" s="24">
        <f>_xlfn.XLOOKUP(Tabla1[[#This Row],[Subcuenta]],[3]Gastos!$B:$B,[3]Gastos!$AU:$AU)</f>
        <v>1107520</v>
      </c>
      <c r="O7" s="24">
        <f>SUM(Tabla1[[#This Row],[july]:[september]])</f>
        <v>1107520</v>
      </c>
      <c r="P7" s="24">
        <f>_xlfn.XLOOKUP(Tabla1[[#This Row],[Subcuenta]],[3]Gastos!$B:$B,[3]Gastos!$AZ:$AZ)</f>
        <v>5523028</v>
      </c>
      <c r="Q7" s="24">
        <f>_xlfn.XLOOKUP(Tabla1[[#This Row],[Subcuenta]],[3]Gastos!$B:$B,[3]Gastos!$BE:$BE)</f>
        <v>195200</v>
      </c>
      <c r="R7" s="24">
        <f>_xlfn.XLOOKUP(Tabla1[[#This Row],[Subcuenta]],[3]Gastos!$B:$B,[3]Gastos!$BJ:$BJ)</f>
        <v>1787475</v>
      </c>
      <c r="S7" s="24">
        <f>SUM(Tabla1[[#This Row],[october]:[december]])</f>
        <v>7505703</v>
      </c>
      <c r="T7" s="43">
        <f t="shared" si="0"/>
        <v>8613223</v>
      </c>
    </row>
    <row r="8" spans="2:20" x14ac:dyDescent="0.3">
      <c r="B8" s="35" t="s">
        <v>260</v>
      </c>
      <c r="C8" s="23" t="s">
        <v>120</v>
      </c>
      <c r="D8" s="24">
        <f>_xlfn.XLOOKUP(C8,[3]Gastos!$B:$B,[3]Gastos!$G:$G)</f>
        <v>486440</v>
      </c>
      <c r="E8" s="24">
        <f>_xlfn.XLOOKUP(C8,[3]Gastos!$B:$B,[3]Gastos!$L:$L)</f>
        <v>643380</v>
      </c>
      <c r="F8" s="24">
        <f>_xlfn.XLOOKUP(C8,[3]Gastos!$B:$B,[3]Gastos!$Q:$Q)</f>
        <v>782873</v>
      </c>
      <c r="G8" s="24">
        <f>SUM(Tabla1[[#This Row],[january]:[march]])</f>
        <v>1912693</v>
      </c>
      <c r="H8" s="24">
        <f>_xlfn.XLOOKUP(C8,[3]Gastos!$B:$B,[3]Gastos!$V:$V)</f>
        <v>499369</v>
      </c>
      <c r="I8" s="24">
        <f>_xlfn.XLOOKUP(C8,[3]Gastos!$B:$B,[3]Gastos!$AA:$AA)</f>
        <v>475469</v>
      </c>
      <c r="J8" s="24">
        <f>_xlfn.XLOOKUP(C8,[3]Gastos!$B:$B,[3]Gastos!$AF:$AF)</f>
        <v>439479</v>
      </c>
      <c r="K8" s="24">
        <f>SUM(Tabla1[[#This Row],[april]:[june]])</f>
        <v>1414317</v>
      </c>
      <c r="L8" s="24">
        <f>_xlfn.XLOOKUP(C8,[3]Gastos!$B:$B,[3]Gastos!$AK:$AK)</f>
        <v>302827</v>
      </c>
      <c r="M8" s="24">
        <f>_xlfn.XLOOKUP(C8,[3]Gastos!$B:$B,[3]Gastos!$AP:$AP)</f>
        <v>754895</v>
      </c>
      <c r="N8" s="24">
        <f>_xlfn.XLOOKUP(Tabla1[[#This Row],[Subcuenta]],[3]Gastos!$B:$B,[3]Gastos!$AU:$AU)</f>
        <v>490595</v>
      </c>
      <c r="O8" s="24">
        <f>SUM(Tabla1[[#This Row],[july]:[september]])</f>
        <v>1548317</v>
      </c>
      <c r="P8" s="24">
        <f>_xlfn.XLOOKUP(Tabla1[[#This Row],[Subcuenta]],[3]Gastos!$B:$B,[3]Gastos!$AZ:$AZ)</f>
        <v>616738</v>
      </c>
      <c r="Q8" s="24">
        <f>_xlfn.XLOOKUP(Tabla1[[#This Row],[Subcuenta]],[3]Gastos!$B:$B,[3]Gastos!$BE:$BE)</f>
        <v>405348</v>
      </c>
      <c r="R8" s="24">
        <f>_xlfn.XLOOKUP(Tabla1[[#This Row],[Subcuenta]],[3]Gastos!$B:$B,[3]Gastos!$BJ:$BJ)</f>
        <v>0</v>
      </c>
      <c r="S8" s="24">
        <f>SUM(Tabla1[[#This Row],[october]:[december]])</f>
        <v>1022086</v>
      </c>
      <c r="T8" s="43">
        <f t="shared" si="0"/>
        <v>5897413</v>
      </c>
    </row>
    <row r="9" spans="2:20" x14ac:dyDescent="0.3">
      <c r="B9" s="35" t="s">
        <v>260</v>
      </c>
      <c r="C9" s="23" t="s">
        <v>121</v>
      </c>
      <c r="D9" s="24">
        <f>_xlfn.XLOOKUP(C9,[3]Gastos!$B:$B,[3]Gastos!$G:$G)</f>
        <v>60000</v>
      </c>
      <c r="E9" s="24">
        <f>_xlfn.XLOOKUP(C9,[3]Gastos!$B:$B,[3]Gastos!$L:$L)</f>
        <v>75000</v>
      </c>
      <c r="F9" s="24">
        <f>_xlfn.XLOOKUP(C9,[3]Gastos!$B:$B,[3]Gastos!$Q:$Q)</f>
        <v>108000</v>
      </c>
      <c r="G9" s="24">
        <f>SUM(Tabla1[[#This Row],[january]:[march]])</f>
        <v>243000</v>
      </c>
      <c r="H9" s="24">
        <f>_xlfn.XLOOKUP(C9,[3]Gastos!$B:$B,[3]Gastos!$V:$V)</f>
        <v>0</v>
      </c>
      <c r="I9" s="24">
        <f>_xlfn.XLOOKUP(C9,[3]Gastos!$B:$B,[3]Gastos!$AA:$AA)</f>
        <v>123000</v>
      </c>
      <c r="J9" s="24">
        <f>_xlfn.XLOOKUP(C9,[3]Gastos!$B:$B,[3]Gastos!$AF:$AF)</f>
        <v>0</v>
      </c>
      <c r="K9" s="24">
        <f>SUM(Tabla1[[#This Row],[april]:[june]])</f>
        <v>123000</v>
      </c>
      <c r="L9" s="24">
        <f>_xlfn.XLOOKUP(C9,[3]Gastos!$B:$B,[3]Gastos!$AK:$AK)</f>
        <v>54000</v>
      </c>
      <c r="M9" s="24">
        <f>_xlfn.XLOOKUP(C9,[3]Gastos!$B:$B,[3]Gastos!$AP:$AP)</f>
        <v>48000</v>
      </c>
      <c r="N9" s="24">
        <f>_xlfn.XLOOKUP(Tabla1[[#This Row],[Subcuenta]],[3]Gastos!$B:$B,[3]Gastos!$AU:$AU)</f>
        <v>120000</v>
      </c>
      <c r="O9" s="24">
        <f>SUM(Tabla1[[#This Row],[july]:[september]])</f>
        <v>222000</v>
      </c>
      <c r="P9" s="24">
        <f>_xlfn.XLOOKUP(Tabla1[[#This Row],[Subcuenta]],[3]Gastos!$B:$B,[3]Gastos!$AZ:$AZ)</f>
        <v>72000</v>
      </c>
      <c r="Q9" s="24">
        <f>_xlfn.XLOOKUP(Tabla1[[#This Row],[Subcuenta]],[3]Gastos!$B:$B,[3]Gastos!$BE:$BE)</f>
        <v>0</v>
      </c>
      <c r="R9" s="24">
        <f>_xlfn.XLOOKUP(Tabla1[[#This Row],[Subcuenta]],[3]Gastos!$B:$B,[3]Gastos!$BJ:$BJ)</f>
        <v>57000</v>
      </c>
      <c r="S9" s="24">
        <f>SUM(Tabla1[[#This Row],[october]:[december]])</f>
        <v>129000</v>
      </c>
      <c r="T9" s="43">
        <f t="shared" si="0"/>
        <v>717000</v>
      </c>
    </row>
    <row r="10" spans="2:20" x14ac:dyDescent="0.3">
      <c r="B10" s="35" t="s">
        <v>260</v>
      </c>
      <c r="C10" s="23" t="s">
        <v>122</v>
      </c>
      <c r="D10" s="24">
        <f>_xlfn.XLOOKUP(C10,[3]Gastos!$B:$B,[3]Gastos!$G:$G)</f>
        <v>0</v>
      </c>
      <c r="E10" s="24">
        <f>_xlfn.XLOOKUP(C10,[3]Gastos!$B:$B,[3]Gastos!$L:$L)</f>
        <v>0</v>
      </c>
      <c r="F10" s="24">
        <f>_xlfn.XLOOKUP(C10,[3]Gastos!$B:$B,[3]Gastos!$Q:$Q)</f>
        <v>0</v>
      </c>
      <c r="G10" s="24">
        <f>SUM(Tabla1[[#This Row],[january]:[march]])</f>
        <v>0</v>
      </c>
      <c r="H10" s="24">
        <f>_xlfn.XLOOKUP(C10,[3]Gastos!$B:$B,[3]Gastos!$V:$V)</f>
        <v>890788</v>
      </c>
      <c r="I10" s="24">
        <f>_xlfn.XLOOKUP(C10,[3]Gastos!$B:$B,[3]Gastos!$AA:$AA)</f>
        <v>0</v>
      </c>
      <c r="J10" s="24">
        <f>_xlfn.XLOOKUP(C10,[3]Gastos!$B:$B,[3]Gastos!$AF:$AF)</f>
        <v>14064</v>
      </c>
      <c r="K10" s="24">
        <f>SUM(Tabla1[[#This Row],[april]:[june]])</f>
        <v>904852</v>
      </c>
      <c r="L10" s="24">
        <f>_xlfn.XLOOKUP(C10,[3]Gastos!$B:$B,[3]Gastos!$AK:$AK)</f>
        <v>0</v>
      </c>
      <c r="M10" s="24">
        <f>_xlfn.XLOOKUP(C10,[3]Gastos!$B:$B,[3]Gastos!$AP:$AP)</f>
        <v>294565</v>
      </c>
      <c r="N10" s="24">
        <f>_xlfn.XLOOKUP(Tabla1[[#This Row],[Subcuenta]],[3]Gastos!$B:$B,[3]Gastos!$AU:$AU)</f>
        <v>0</v>
      </c>
      <c r="O10" s="24">
        <f>SUM(Tabla1[[#This Row],[july]:[september]])</f>
        <v>294565</v>
      </c>
      <c r="P10" s="24">
        <f>_xlfn.XLOOKUP(Tabla1[[#This Row],[Subcuenta]],[3]Gastos!$B:$B,[3]Gastos!$AZ:$AZ)</f>
        <v>0</v>
      </c>
      <c r="Q10" s="24">
        <f>_xlfn.XLOOKUP(Tabla1[[#This Row],[Subcuenta]],[3]Gastos!$B:$B,[3]Gastos!$BE:$BE)</f>
        <v>0</v>
      </c>
      <c r="R10" s="24">
        <f>_xlfn.XLOOKUP(Tabla1[[#This Row],[Subcuenta]],[3]Gastos!$B:$B,[3]Gastos!$BJ:$BJ)</f>
        <v>0</v>
      </c>
      <c r="S10" s="24">
        <f>SUM(Tabla1[[#This Row],[october]:[december]])</f>
        <v>0</v>
      </c>
      <c r="T10" s="43">
        <f t="shared" si="0"/>
        <v>1199417</v>
      </c>
    </row>
    <row r="11" spans="2:20" x14ac:dyDescent="0.3">
      <c r="B11" s="35" t="s">
        <v>260</v>
      </c>
      <c r="C11" s="23" t="s">
        <v>123</v>
      </c>
      <c r="D11" s="24">
        <f>_xlfn.XLOOKUP(C11,[3]Gastos!$B:$B,[3]Gastos!$G:$G)</f>
        <v>181690</v>
      </c>
      <c r="E11" s="24">
        <f>_xlfn.XLOOKUP(C11,[3]Gastos!$B:$B,[3]Gastos!$L:$L)</f>
        <v>220051</v>
      </c>
      <c r="F11" s="24">
        <f>_xlfn.XLOOKUP(C11,[3]Gastos!$B:$B,[3]Gastos!$Q:$Q)</f>
        <v>229864</v>
      </c>
      <c r="G11" s="24">
        <f>SUM(Tabla1[[#This Row],[january]:[march]])</f>
        <v>631605</v>
      </c>
      <c r="H11" s="24">
        <f>_xlfn.XLOOKUP(C11,[3]Gastos!$B:$B,[3]Gastos!$V:$V)</f>
        <v>203690</v>
      </c>
      <c r="I11" s="24">
        <f>_xlfn.XLOOKUP(C11,[3]Gastos!$B:$B,[3]Gastos!$AA:$AA)</f>
        <v>216310</v>
      </c>
      <c r="J11" s="24">
        <f>_xlfn.XLOOKUP(C11,[3]Gastos!$B:$B,[3]Gastos!$AF:$AF)</f>
        <v>217106</v>
      </c>
      <c r="K11" s="24">
        <f>SUM(Tabla1[[#This Row],[april]:[june]])</f>
        <v>637106</v>
      </c>
      <c r="L11" s="24">
        <f>_xlfn.XLOOKUP(C11,[3]Gastos!$B:$B,[3]Gastos!$AK:$AK)</f>
        <v>189969</v>
      </c>
      <c r="M11" s="24">
        <f>_xlfn.XLOOKUP(C11,[3]Gastos!$B:$B,[3]Gastos!$AP:$AP)</f>
        <v>219821</v>
      </c>
      <c r="N11" s="24">
        <f>_xlfn.XLOOKUP(Tabla1[[#This Row],[Subcuenta]],[3]Gastos!$B:$B,[3]Gastos!$AU:$AU)</f>
        <v>188717</v>
      </c>
      <c r="O11" s="24">
        <f>SUM(Tabla1[[#This Row],[july]:[september]])</f>
        <v>598507</v>
      </c>
      <c r="P11" s="24">
        <f>_xlfn.XLOOKUP(Tabla1[[#This Row],[Subcuenta]],[3]Gastos!$B:$B,[3]Gastos!$AZ:$AZ)</f>
        <v>194279</v>
      </c>
      <c r="Q11" s="24">
        <f>_xlfn.XLOOKUP(Tabla1[[#This Row],[Subcuenta]],[3]Gastos!$B:$B,[3]Gastos!$BE:$BE)</f>
        <v>184313</v>
      </c>
      <c r="R11" s="24">
        <f>_xlfn.XLOOKUP(Tabla1[[#This Row],[Subcuenta]],[3]Gastos!$B:$B,[3]Gastos!$BJ:$BJ)</f>
        <v>196693</v>
      </c>
      <c r="S11" s="24">
        <f>SUM(Tabla1[[#This Row],[october]:[december]])</f>
        <v>575285</v>
      </c>
      <c r="T11" s="43">
        <f t="shared" si="0"/>
        <v>2442503</v>
      </c>
    </row>
    <row r="12" spans="2:20" x14ac:dyDescent="0.3">
      <c r="B12" s="35" t="s">
        <v>260</v>
      </c>
      <c r="C12" s="23" t="s">
        <v>124</v>
      </c>
      <c r="D12" s="24">
        <f>_xlfn.XLOOKUP(C12,[3]Gastos!$B:$B,[3]Gastos!$G:$G)</f>
        <v>0</v>
      </c>
      <c r="E12" s="24">
        <f>_xlfn.XLOOKUP(C12,[3]Gastos!$B:$B,[3]Gastos!$L:$L)</f>
        <v>0</v>
      </c>
      <c r="F12" s="24">
        <f>_xlfn.XLOOKUP(C12,[3]Gastos!$B:$B,[3]Gastos!$Q:$Q)</f>
        <v>0</v>
      </c>
      <c r="G12" s="24">
        <f>SUM(Tabla1[[#This Row],[january]:[march]])</f>
        <v>0</v>
      </c>
      <c r="H12" s="24">
        <f>_xlfn.XLOOKUP(C12,[3]Gastos!$B:$B,[3]Gastos!$V:$V)</f>
        <v>0</v>
      </c>
      <c r="I12" s="24">
        <f>_xlfn.XLOOKUP(C12,[3]Gastos!$B:$B,[3]Gastos!$AA:$AA)</f>
        <v>0</v>
      </c>
      <c r="J12" s="24">
        <f>_xlfn.XLOOKUP(C12,[3]Gastos!$B:$B,[3]Gastos!$AF:$AF)</f>
        <v>0</v>
      </c>
      <c r="K12" s="24">
        <f>SUM(Tabla1[[#This Row],[april]:[june]])</f>
        <v>0</v>
      </c>
      <c r="L12" s="24">
        <f>_xlfn.XLOOKUP(C12,[3]Gastos!$B:$B,[3]Gastos!$AK:$AK)</f>
        <v>0</v>
      </c>
      <c r="M12" s="24">
        <f>_xlfn.XLOOKUP(C12,[3]Gastos!$B:$B,[3]Gastos!$AP:$AP)</f>
        <v>0</v>
      </c>
      <c r="N12" s="24">
        <f>_xlfn.XLOOKUP(Tabla1[[#This Row],[Subcuenta]],[3]Gastos!$B:$B,[3]Gastos!$AU:$AU)</f>
        <v>0</v>
      </c>
      <c r="O12" s="24">
        <f>SUM(Tabla1[[#This Row],[july]:[september]])</f>
        <v>0</v>
      </c>
      <c r="P12" s="24">
        <f>_xlfn.XLOOKUP(Tabla1[[#This Row],[Subcuenta]],[3]Gastos!$B:$B,[3]Gastos!$AZ:$AZ)</f>
        <v>0</v>
      </c>
      <c r="Q12" s="24">
        <f>_xlfn.XLOOKUP(Tabla1[[#This Row],[Subcuenta]],[3]Gastos!$B:$B,[3]Gastos!$BE:$BE)</f>
        <v>0</v>
      </c>
      <c r="R12" s="24">
        <f>_xlfn.XLOOKUP(Tabla1[[#This Row],[Subcuenta]],[3]Gastos!$B:$B,[3]Gastos!$BJ:$BJ)</f>
        <v>0</v>
      </c>
      <c r="S12" s="24">
        <f>SUM(Tabla1[[#This Row],[october]:[december]])</f>
        <v>0</v>
      </c>
      <c r="T12" s="43">
        <f t="shared" si="0"/>
        <v>0</v>
      </c>
    </row>
    <row r="13" spans="2:20" x14ac:dyDescent="0.3">
      <c r="B13" s="35" t="s">
        <v>260</v>
      </c>
      <c r="C13" s="23" t="s">
        <v>125</v>
      </c>
      <c r="D13" s="24">
        <f>_xlfn.XLOOKUP(C13,[3]Gastos!$B:$B,[3]Gastos!$G:$G)</f>
        <v>304940.5</v>
      </c>
      <c r="E13" s="24">
        <f>_xlfn.XLOOKUP(C13,[3]Gastos!$B:$B,[3]Gastos!$L:$L)</f>
        <v>305179.5</v>
      </c>
      <c r="F13" s="24">
        <f>_xlfn.XLOOKUP(C13,[3]Gastos!$B:$B,[3]Gastos!$Q:$Q)</f>
        <v>305580.5</v>
      </c>
      <c r="G13" s="24">
        <f>SUM(Tabla1[[#This Row],[january]:[march]])</f>
        <v>915700.5</v>
      </c>
      <c r="H13" s="24">
        <f>_xlfn.XLOOKUP(C13,[3]Gastos!$B:$B,[3]Gastos!$V:$V)</f>
        <v>305411.5</v>
      </c>
      <c r="I13" s="24">
        <f>_xlfn.XLOOKUP(C13,[3]Gastos!$B:$B,[3]Gastos!$AA:$AA)</f>
        <v>867011.96579341264</v>
      </c>
      <c r="J13" s="24">
        <f>_xlfn.XLOOKUP(C13,[3]Gastos!$B:$B,[3]Gastos!$AF:$AF)</f>
        <v>358929</v>
      </c>
      <c r="K13" s="24">
        <f>SUM(Tabla1[[#This Row],[april]:[june]])</f>
        <v>1531352.4657934126</v>
      </c>
      <c r="L13" s="24">
        <f>_xlfn.XLOOKUP(C13,[3]Gastos!$B:$B,[3]Gastos!$AK:$AK)</f>
        <v>359015.5</v>
      </c>
      <c r="M13" s="24">
        <f>_xlfn.XLOOKUP(C13,[3]Gastos!$B:$B,[3]Gastos!$AP:$AP)</f>
        <v>369230</v>
      </c>
      <c r="N13" s="24">
        <f>_xlfn.XLOOKUP(Tabla1[[#This Row],[Subcuenta]],[3]Gastos!$B:$B,[3]Gastos!$AU:$AU)</f>
        <v>369402.5</v>
      </c>
      <c r="O13" s="24">
        <f>SUM(Tabla1[[#This Row],[july]:[september]])</f>
        <v>1097648</v>
      </c>
      <c r="P13" s="24">
        <f>_xlfn.XLOOKUP(Tabla1[[#This Row],[Subcuenta]],[3]Gastos!$B:$B,[3]Gastos!$AZ:$AZ)</f>
        <v>359184.5</v>
      </c>
      <c r="Q13" s="24">
        <f>_xlfn.XLOOKUP(Tabla1[[#This Row],[Subcuenta]],[3]Gastos!$B:$B,[3]Gastos!$BE:$BE)</f>
        <v>369877.5</v>
      </c>
      <c r="R13" s="24">
        <f>_xlfn.XLOOKUP(Tabla1[[#This Row],[Subcuenta]],[3]Gastos!$B:$B,[3]Gastos!$BJ:$BJ)</f>
        <v>359760</v>
      </c>
      <c r="S13" s="24">
        <f>SUM(Tabla1[[#This Row],[october]:[december]])</f>
        <v>1088822</v>
      </c>
      <c r="T13" s="43">
        <f t="shared" si="0"/>
        <v>4633522.9657934122</v>
      </c>
    </row>
    <row r="14" spans="2:20" x14ac:dyDescent="0.3">
      <c r="B14" s="35" t="s">
        <v>260</v>
      </c>
      <c r="C14" s="23" t="s">
        <v>126</v>
      </c>
      <c r="D14" s="24">
        <f>_xlfn.XLOOKUP(C14,[3]Gastos!$B:$B,[3]Gastos!$G:$G)</f>
        <v>224021</v>
      </c>
      <c r="E14" s="24">
        <f>_xlfn.XLOOKUP(C14,[3]Gastos!$B:$B,[3]Gastos!$L:$L)</f>
        <v>205183</v>
      </c>
      <c r="F14" s="24">
        <f>_xlfn.XLOOKUP(C14,[3]Gastos!$B:$B,[3]Gastos!$Q:$Q)</f>
        <v>214506</v>
      </c>
      <c r="G14" s="24">
        <f>SUM(Tabla1[[#This Row],[january]:[march]])</f>
        <v>643710</v>
      </c>
      <c r="H14" s="24">
        <f>_xlfn.XLOOKUP(C14,[3]Gastos!$B:$B,[3]Gastos!$V:$V)</f>
        <v>216110.5</v>
      </c>
      <c r="I14" s="24">
        <f>_xlfn.XLOOKUP(C14,[3]Gastos!$B:$B,[3]Gastos!$AA:$AA)</f>
        <v>223958.5</v>
      </c>
      <c r="J14" s="24">
        <f>_xlfn.XLOOKUP(C14,[3]Gastos!$B:$B,[3]Gastos!$AF:$AF)</f>
        <v>228407.5</v>
      </c>
      <c r="K14" s="24">
        <f>SUM(Tabla1[[#This Row],[april]:[june]])</f>
        <v>668476.5</v>
      </c>
      <c r="L14" s="24">
        <f>_xlfn.XLOOKUP(C14,[3]Gastos!$B:$B,[3]Gastos!$AK:$AK)</f>
        <v>232310</v>
      </c>
      <c r="M14" s="24">
        <f>_xlfn.XLOOKUP(C14,[3]Gastos!$B:$B,[3]Gastos!$AP:$AP)</f>
        <v>241576</v>
      </c>
      <c r="N14" s="24">
        <f>_xlfn.XLOOKUP(Tabla1[[#This Row],[Subcuenta]],[3]Gastos!$B:$B,[3]Gastos!$AU:$AU)</f>
        <v>248480.5</v>
      </c>
      <c r="O14" s="24">
        <f>SUM(Tabla1[[#This Row],[july]:[september]])</f>
        <v>722366.5</v>
      </c>
      <c r="P14" s="24">
        <f>_xlfn.XLOOKUP(Tabla1[[#This Row],[Subcuenta]],[3]Gastos!$B:$B,[3]Gastos!$AZ:$AZ)</f>
        <v>252650</v>
      </c>
      <c r="Q14" s="24">
        <f>_xlfn.XLOOKUP(Tabla1[[#This Row],[Subcuenta]],[3]Gastos!$B:$B,[3]Gastos!$BE:$BE)</f>
        <v>249075.5</v>
      </c>
      <c r="R14" s="24">
        <f>_xlfn.XLOOKUP(Tabla1[[#This Row],[Subcuenta]],[3]Gastos!$B:$B,[3]Gastos!$BJ:$BJ)</f>
        <v>249075.5</v>
      </c>
      <c r="S14" s="24">
        <f>SUM(Tabla1[[#This Row],[october]:[december]])</f>
        <v>750801</v>
      </c>
      <c r="T14" s="43">
        <f t="shared" si="0"/>
        <v>2785354</v>
      </c>
    </row>
    <row r="15" spans="2:20" x14ac:dyDescent="0.3">
      <c r="B15" s="35" t="s">
        <v>260</v>
      </c>
      <c r="C15" s="23" t="s">
        <v>127</v>
      </c>
      <c r="D15" s="24">
        <f>_xlfn.XLOOKUP(C15,[3]Gastos!$B:$B,[3]Gastos!$G:$G)</f>
        <v>2960</v>
      </c>
      <c r="E15" s="24">
        <f>_xlfn.XLOOKUP(C15,[3]Gastos!$B:$B,[3]Gastos!$L:$L)</f>
        <v>3605</v>
      </c>
      <c r="F15" s="24">
        <f>_xlfn.XLOOKUP(C15,[3]Gastos!$B:$B,[3]Gastos!$Q:$Q)</f>
        <v>3665</v>
      </c>
      <c r="G15" s="24">
        <f>SUM(Tabla1[[#This Row],[january]:[march]])</f>
        <v>10230</v>
      </c>
      <c r="H15" s="24">
        <f>_xlfn.XLOOKUP(C15,[3]Gastos!$B:$B,[3]Gastos!$V:$V)</f>
        <v>1810</v>
      </c>
      <c r="I15" s="24">
        <f>_xlfn.XLOOKUP(C15,[3]Gastos!$B:$B,[3]Gastos!$AA:$AA)</f>
        <v>3090</v>
      </c>
      <c r="J15" s="24">
        <f>_xlfn.XLOOKUP(C15,[3]Gastos!$B:$B,[3]Gastos!$AF:$AF)</f>
        <v>2475</v>
      </c>
      <c r="K15" s="24">
        <f>SUM(Tabla1[[#This Row],[april]:[june]])</f>
        <v>7375</v>
      </c>
      <c r="L15" s="24">
        <f>_xlfn.XLOOKUP(C15,[3]Gastos!$B:$B,[3]Gastos!$AK:$AK)</f>
        <v>3740</v>
      </c>
      <c r="M15" s="24">
        <f>_xlfn.XLOOKUP(C15,[3]Gastos!$B:$B,[3]Gastos!$AP:$AP)</f>
        <v>2474</v>
      </c>
      <c r="N15" s="24">
        <f>_xlfn.XLOOKUP(Tabla1[[#This Row],[Subcuenta]],[3]Gastos!$B:$B,[3]Gastos!$AU:$AU)</f>
        <v>3635</v>
      </c>
      <c r="O15" s="24">
        <f>SUM(Tabla1[[#This Row],[july]:[september]])</f>
        <v>9849</v>
      </c>
      <c r="P15" s="24">
        <f>_xlfn.XLOOKUP(Tabla1[[#This Row],[Subcuenta]],[3]Gastos!$B:$B,[3]Gastos!$AZ:$AZ)</f>
        <v>2615</v>
      </c>
      <c r="Q15" s="24">
        <f>_xlfn.XLOOKUP(Tabla1[[#This Row],[Subcuenta]],[3]Gastos!$B:$B,[3]Gastos!$BE:$BE)</f>
        <v>3150</v>
      </c>
      <c r="R15" s="24">
        <f>_xlfn.XLOOKUP(Tabla1[[#This Row],[Subcuenta]],[3]Gastos!$B:$B,[3]Gastos!$BJ:$BJ)</f>
        <v>5090.5</v>
      </c>
      <c r="S15" s="24">
        <f>SUM(Tabla1[[#This Row],[october]:[december]])</f>
        <v>10855.5</v>
      </c>
      <c r="T15" s="43">
        <f t="shared" si="0"/>
        <v>38309.5</v>
      </c>
    </row>
    <row r="16" spans="2:20" x14ac:dyDescent="0.3">
      <c r="B16" s="35" t="s">
        <v>260</v>
      </c>
      <c r="C16" s="23" t="s">
        <v>128</v>
      </c>
      <c r="D16" s="24">
        <f>_xlfn.XLOOKUP(C16,[3]Gastos!$B:$B,[3]Gastos!$G:$G)</f>
        <v>0</v>
      </c>
      <c r="E16" s="24">
        <f>_xlfn.XLOOKUP(C16,[3]Gastos!$B:$B,[3]Gastos!$L:$L)</f>
        <v>65307</v>
      </c>
      <c r="F16" s="24">
        <f>_xlfn.XLOOKUP(C16,[3]Gastos!$B:$B,[3]Gastos!$Q:$Q)</f>
        <v>22831.5</v>
      </c>
      <c r="G16" s="24">
        <f>SUM(Tabla1[[#This Row],[january]:[march]])</f>
        <v>88138.5</v>
      </c>
      <c r="H16" s="24">
        <f>_xlfn.XLOOKUP(C16,[3]Gastos!$B:$B,[3]Gastos!$V:$V)</f>
        <v>28688.5</v>
      </c>
      <c r="I16" s="24">
        <f>_xlfn.XLOOKUP(C16,[3]Gastos!$B:$B,[3]Gastos!$AA:$AA)</f>
        <v>27180.5</v>
      </c>
      <c r="J16" s="24">
        <f>_xlfn.XLOOKUP(C16,[3]Gastos!$B:$B,[3]Gastos!$AF:$AF)</f>
        <v>43173</v>
      </c>
      <c r="K16" s="24">
        <f>SUM(Tabla1[[#This Row],[april]:[june]])</f>
        <v>99042</v>
      </c>
      <c r="L16" s="24">
        <f>_xlfn.XLOOKUP(C16,[3]Gastos!$B:$B,[3]Gastos!$AK:$AK)</f>
        <v>142513.5</v>
      </c>
      <c r="M16" s="24">
        <f>_xlfn.XLOOKUP(C16,[3]Gastos!$B:$B,[3]Gastos!$AP:$AP)</f>
        <v>89998</v>
      </c>
      <c r="N16" s="24">
        <f>_xlfn.XLOOKUP(Tabla1[[#This Row],[Subcuenta]],[3]Gastos!$B:$B,[3]Gastos!$AU:$AU)</f>
        <v>71590.5</v>
      </c>
      <c r="O16" s="24">
        <f>SUM(Tabla1[[#This Row],[july]:[september]])</f>
        <v>304102</v>
      </c>
      <c r="P16" s="24">
        <f>_xlfn.XLOOKUP(Tabla1[[#This Row],[Subcuenta]],[3]Gastos!$B:$B,[3]Gastos!$AZ:$AZ)</f>
        <v>67317</v>
      </c>
      <c r="Q16" s="24">
        <f>_xlfn.XLOOKUP(Tabla1[[#This Row],[Subcuenta]],[3]Gastos!$B:$B,[3]Gastos!$BE:$BE)</f>
        <v>46239</v>
      </c>
      <c r="R16" s="24">
        <f>_xlfn.XLOOKUP(Tabla1[[#This Row],[Subcuenta]],[3]Gastos!$B:$B,[3]Gastos!$BJ:$BJ)</f>
        <v>11741</v>
      </c>
      <c r="S16" s="24">
        <f>SUM(Tabla1[[#This Row],[october]:[december]])</f>
        <v>125297</v>
      </c>
      <c r="T16" s="43">
        <f t="shared" si="0"/>
        <v>616579.5</v>
      </c>
    </row>
    <row r="17" spans="2:21" x14ac:dyDescent="0.3">
      <c r="B17" s="35" t="s">
        <v>260</v>
      </c>
      <c r="C17" s="23" t="s">
        <v>129</v>
      </c>
      <c r="D17" s="24">
        <f>_xlfn.XLOOKUP(C17,[3]Gastos!$B:$B,[3]Gastos!$G:$G)</f>
        <v>3241786</v>
      </c>
      <c r="E17" s="24">
        <f>_xlfn.XLOOKUP(C17,[3]Gastos!$B:$B,[3]Gastos!$L:$L)</f>
        <v>3255357</v>
      </c>
      <c r="F17" s="24">
        <f>_xlfn.XLOOKUP(C17,[3]Gastos!$B:$B,[3]Gastos!$Q:$Q)</f>
        <v>3277365</v>
      </c>
      <c r="G17" s="24">
        <f>SUM(Tabla1[[#This Row],[january]:[march]])</f>
        <v>9774508</v>
      </c>
      <c r="H17" s="24">
        <f>_xlfn.XLOOKUP(C17,[3]Gastos!$B:$B,[3]Gastos!$V:$V)</f>
        <v>3280847</v>
      </c>
      <c r="I17" s="24">
        <f>_xlfn.XLOOKUP(C17,[3]Gastos!$B:$B,[3]Gastos!$AA:$AA)</f>
        <v>3308238</v>
      </c>
      <c r="J17" s="24">
        <f>_xlfn.XLOOKUP(C17,[3]Gastos!$B:$B,[3]Gastos!$AF:$AF)</f>
        <v>3325364</v>
      </c>
      <c r="K17" s="24">
        <f>SUM(Tabla1[[#This Row],[april]:[june]])</f>
        <v>9914449</v>
      </c>
      <c r="L17" s="24">
        <f>_xlfn.XLOOKUP(C17,[3]Gastos!$B:$B,[3]Gastos!$AK:$AK)</f>
        <v>3378694</v>
      </c>
      <c r="M17" s="24">
        <f>_xlfn.XLOOKUP(C17,[3]Gastos!$B:$B,[3]Gastos!$AP:$AP)</f>
        <v>4612098</v>
      </c>
      <c r="N17" s="24">
        <f>_xlfn.XLOOKUP(Tabla1[[#This Row],[Subcuenta]],[3]Gastos!$B:$B,[3]Gastos!$AU:$AU)</f>
        <v>3328613</v>
      </c>
      <c r="O17" s="24">
        <f>SUM(Tabla1[[#This Row],[july]:[september]])</f>
        <v>11319405</v>
      </c>
      <c r="P17" s="24">
        <f>_xlfn.XLOOKUP(Tabla1[[#This Row],[Subcuenta]],[3]Gastos!$B:$B,[3]Gastos!$AZ:$AZ)</f>
        <v>3341394</v>
      </c>
      <c r="Q17" s="24">
        <f>_xlfn.XLOOKUP(Tabla1[[#This Row],[Subcuenta]],[3]Gastos!$B:$B,[3]Gastos!$BE:$BE)</f>
        <v>3344310</v>
      </c>
      <c r="R17" s="24">
        <f>_xlfn.XLOOKUP(Tabla1[[#This Row],[Subcuenta]],[3]Gastos!$B:$B,[3]Gastos!$BJ:$BJ)</f>
        <v>3368569</v>
      </c>
      <c r="S17" s="24">
        <f>SUM(Tabla1[[#This Row],[october]:[december]])</f>
        <v>10054273</v>
      </c>
      <c r="T17" s="43">
        <f t="shared" si="0"/>
        <v>41062635</v>
      </c>
    </row>
    <row r="18" spans="2:21" x14ac:dyDescent="0.3">
      <c r="B18" s="35" t="s">
        <v>260</v>
      </c>
      <c r="C18" s="23" t="s">
        <v>130</v>
      </c>
      <c r="D18" s="24">
        <f>_xlfn.XLOOKUP(C18,[3]Gastos!$B:$B,[3]Gastos!$G:$G)</f>
        <v>456079</v>
      </c>
      <c r="E18" s="24">
        <f>_xlfn.XLOOKUP(C18,[3]Gastos!$B:$B,[3]Gastos!$L:$L)</f>
        <v>417666</v>
      </c>
      <c r="F18" s="24">
        <f>_xlfn.XLOOKUP(C18,[3]Gastos!$B:$B,[3]Gastos!$Q:$Q)</f>
        <v>436645</v>
      </c>
      <c r="G18" s="24">
        <f>SUM(Tabla1[[#This Row],[january]:[march]])</f>
        <v>1310390</v>
      </c>
      <c r="H18" s="24">
        <f>_xlfn.XLOOKUP(C18,[3]Gastos!$B:$B,[3]Gastos!$V:$V)</f>
        <v>439919</v>
      </c>
      <c r="I18" s="24">
        <f>_xlfn.XLOOKUP(C18,[3]Gastos!$B:$B,[3]Gastos!$AA:$AA)</f>
        <v>455897</v>
      </c>
      <c r="J18" s="24">
        <f>_xlfn.XLOOKUP(C18,[3]Gastos!$B:$B,[3]Gastos!$AF:$AF)</f>
        <v>464957</v>
      </c>
      <c r="K18" s="24">
        <f>SUM(Tabla1[[#This Row],[april]:[june]])</f>
        <v>1360773</v>
      </c>
      <c r="L18" s="24">
        <f>_xlfn.XLOOKUP(C18,[3]Gastos!$B:$B,[3]Gastos!$AK:$AK)</f>
        <v>472901</v>
      </c>
      <c r="M18" s="24">
        <f>_xlfn.XLOOKUP(C18,[3]Gastos!$B:$B,[3]Gastos!$AP:$AP)</f>
        <v>491767</v>
      </c>
      <c r="N18" s="24">
        <f>_xlfn.XLOOKUP(Tabla1[[#This Row],[Subcuenta]],[3]Gastos!$B:$B,[3]Gastos!$AU:$AU)</f>
        <v>505824</v>
      </c>
      <c r="O18" s="24">
        <f>SUM(Tabla1[[#This Row],[july]:[september]])</f>
        <v>1470492</v>
      </c>
      <c r="P18" s="24">
        <f>_xlfn.XLOOKUP(Tabla1[[#This Row],[Subcuenta]],[3]Gastos!$B:$B,[3]Gastos!$AZ:$AZ)</f>
        <v>514312</v>
      </c>
      <c r="Q18" s="24">
        <f>_xlfn.XLOOKUP(Tabla1[[#This Row],[Subcuenta]],[3]Gastos!$B:$B,[3]Gastos!$BE:$BE)</f>
        <v>507034</v>
      </c>
      <c r="R18" s="24">
        <f>_xlfn.XLOOKUP(Tabla1[[#This Row],[Subcuenta]],[3]Gastos!$B:$B,[3]Gastos!$BJ:$BJ)</f>
        <v>507034</v>
      </c>
      <c r="S18" s="24">
        <f>SUM(Tabla1[[#This Row],[october]:[december]])</f>
        <v>1528380</v>
      </c>
      <c r="T18" s="43">
        <f t="shared" si="0"/>
        <v>5670035</v>
      </c>
    </row>
    <row r="19" spans="2:21" x14ac:dyDescent="0.3">
      <c r="B19" s="35" t="s">
        <v>260</v>
      </c>
      <c r="C19" s="23" t="s">
        <v>131</v>
      </c>
      <c r="D19" s="24">
        <f>_xlfn.XLOOKUP(C19,[3]Gastos!$B:$B,[3]Gastos!$G:$G)</f>
        <v>15300</v>
      </c>
      <c r="E19" s="24">
        <f>_xlfn.XLOOKUP(C19,[3]Gastos!$B:$B,[3]Gastos!$L:$L)</f>
        <v>15520</v>
      </c>
      <c r="F19" s="24">
        <f>_xlfn.XLOOKUP(C19,[3]Gastos!$B:$B,[3]Gastos!$Q:$Q)</f>
        <v>15850</v>
      </c>
      <c r="G19" s="24">
        <f>SUM(Tabla1[[#This Row],[january]:[march]])</f>
        <v>46670</v>
      </c>
      <c r="H19" s="24">
        <f>_xlfn.XLOOKUP(C19,[3]Gastos!$B:$B,[3]Gastos!$V:$V)</f>
        <v>18330</v>
      </c>
      <c r="I19" s="24">
        <f>_xlfn.XLOOKUP(C19,[3]Gastos!$B:$B,[3]Gastos!$AA:$AA)</f>
        <v>13620</v>
      </c>
      <c r="J19" s="24">
        <f>_xlfn.XLOOKUP(C19,[3]Gastos!$B:$B,[3]Gastos!$AF:$AF)</f>
        <v>17250</v>
      </c>
      <c r="K19" s="24">
        <f>SUM(Tabla1[[#This Row],[april]:[june]])</f>
        <v>49200</v>
      </c>
      <c r="L19" s="24">
        <f>_xlfn.XLOOKUP(C19,[3]Gastos!$B:$B,[3]Gastos!$AK:$AK)</f>
        <v>16220</v>
      </c>
      <c r="M19" s="24">
        <f>_xlfn.XLOOKUP(C19,[3]Gastos!$B:$B,[3]Gastos!$AP:$AP)</f>
        <v>14795</v>
      </c>
      <c r="N19" s="24">
        <f>_xlfn.XLOOKUP(Tabla1[[#This Row],[Subcuenta]],[3]Gastos!$B:$B,[3]Gastos!$AU:$AU)</f>
        <v>13250</v>
      </c>
      <c r="O19" s="24">
        <f>SUM(Tabla1[[#This Row],[july]:[september]])</f>
        <v>44265</v>
      </c>
      <c r="P19" s="24">
        <f>_xlfn.XLOOKUP(Tabla1[[#This Row],[Subcuenta]],[3]Gastos!$B:$B,[3]Gastos!$AZ:$AZ)</f>
        <v>14860</v>
      </c>
      <c r="Q19" s="24">
        <f>_xlfn.XLOOKUP(Tabla1[[#This Row],[Subcuenta]],[3]Gastos!$B:$B,[3]Gastos!$BE:$BE)</f>
        <v>17948</v>
      </c>
      <c r="R19" s="24">
        <f>_xlfn.XLOOKUP(Tabla1[[#This Row],[Subcuenta]],[3]Gastos!$B:$B,[3]Gastos!$BJ:$BJ)</f>
        <v>22948</v>
      </c>
      <c r="S19" s="24">
        <f>SUM(Tabla1[[#This Row],[october]:[december]])</f>
        <v>55756</v>
      </c>
      <c r="T19" s="43">
        <f t="shared" si="0"/>
        <v>195891</v>
      </c>
    </row>
    <row r="20" spans="2:21" x14ac:dyDescent="0.3">
      <c r="B20" s="35" t="s">
        <v>260</v>
      </c>
      <c r="C20" s="23" t="s">
        <v>132</v>
      </c>
      <c r="D20" s="24">
        <f>_xlfn.XLOOKUP(C20,[3]Gastos!$B:$B,[3]Gastos!$G:$G)</f>
        <v>96165</v>
      </c>
      <c r="E20" s="24">
        <f>_xlfn.XLOOKUP(C20,[3]Gastos!$B:$B,[3]Gastos!$L:$L)</f>
        <v>82818</v>
      </c>
      <c r="F20" s="24">
        <f>_xlfn.XLOOKUP(C20,[3]Gastos!$B:$B,[3]Gastos!$Q:$Q)</f>
        <v>83103</v>
      </c>
      <c r="G20" s="24">
        <f>SUM(Tabla1[[#This Row],[january]:[march]])</f>
        <v>262086</v>
      </c>
      <c r="H20" s="24">
        <f>_xlfn.XLOOKUP(C20,[3]Gastos!$B:$B,[3]Gastos!$V:$V)</f>
        <v>83060</v>
      </c>
      <c r="I20" s="24">
        <f>_xlfn.XLOOKUP(C20,[3]Gastos!$B:$B,[3]Gastos!$AA:$AA)</f>
        <v>78596</v>
      </c>
      <c r="J20" s="24">
        <f>_xlfn.XLOOKUP(C20,[3]Gastos!$B:$B,[3]Gastos!$AF:$AF)</f>
        <v>136949</v>
      </c>
      <c r="K20" s="24">
        <f>SUM(Tabla1[[#This Row],[april]:[june]])</f>
        <v>298605</v>
      </c>
      <c r="L20" s="24">
        <f>_xlfn.XLOOKUP(C20,[3]Gastos!$B:$B,[3]Gastos!$AK:$AK)</f>
        <v>278918</v>
      </c>
      <c r="M20" s="24">
        <f>_xlfn.XLOOKUP(C20,[3]Gastos!$B:$B,[3]Gastos!$AP:$AP)</f>
        <v>196664</v>
      </c>
      <c r="N20" s="24">
        <f>_xlfn.XLOOKUP(Tabla1[[#This Row],[Subcuenta]],[3]Gastos!$B:$B,[3]Gastos!$AU:$AU)</f>
        <v>179572</v>
      </c>
      <c r="O20" s="24">
        <f>SUM(Tabla1[[#This Row],[july]:[september]])</f>
        <v>655154</v>
      </c>
      <c r="P20" s="24">
        <f>_xlfn.XLOOKUP(Tabla1[[#This Row],[Subcuenta]],[3]Gastos!$B:$B,[3]Gastos!$AZ:$AZ)</f>
        <v>129559</v>
      </c>
      <c r="Q20" s="24">
        <f>_xlfn.XLOOKUP(Tabla1[[#This Row],[Subcuenta]],[3]Gastos!$B:$B,[3]Gastos!$BE:$BE)</f>
        <v>84389</v>
      </c>
      <c r="R20" s="24">
        <f>_xlfn.XLOOKUP(Tabla1[[#This Row],[Subcuenta]],[3]Gastos!$B:$B,[3]Gastos!$BJ:$BJ)</f>
        <v>116276</v>
      </c>
      <c r="S20" s="24">
        <f>SUM(Tabla1[[#This Row],[october]:[december]])</f>
        <v>330224</v>
      </c>
      <c r="T20" s="43">
        <f t="shared" si="0"/>
        <v>1546069</v>
      </c>
    </row>
    <row r="21" spans="2:21" x14ac:dyDescent="0.3">
      <c r="B21" s="35" t="s">
        <v>260</v>
      </c>
      <c r="C21" s="23" t="s">
        <v>133</v>
      </c>
      <c r="D21" s="24">
        <f>_xlfn.XLOOKUP(C21,[3]Gastos!$B:$B,[3]Gastos!$G:$G)</f>
        <v>1213502</v>
      </c>
      <c r="E21" s="24">
        <f>_xlfn.XLOOKUP(C21,[3]Gastos!$B:$B,[3]Gastos!$L:$L)</f>
        <v>1208313</v>
      </c>
      <c r="F21" s="24">
        <f>_xlfn.XLOOKUP(C21,[3]Gastos!$B:$B,[3]Gastos!$Q:$Q)</f>
        <v>1220132</v>
      </c>
      <c r="G21" s="24">
        <f>SUM(Tabla1[[#This Row],[january]:[march]])</f>
        <v>3641947</v>
      </c>
      <c r="H21" s="24">
        <f>_xlfn.XLOOKUP(C21,[3]Gastos!$B:$B,[3]Gastos!$V:$V)</f>
        <v>1222501</v>
      </c>
      <c r="I21" s="24">
        <f>_xlfn.XLOOKUP(C21,[3]Gastos!$B:$B,[3]Gastos!$AA:$AA)</f>
        <v>1236167</v>
      </c>
      <c r="J21" s="24">
        <f>_xlfn.XLOOKUP(C21,[3]Gastos!$B:$B,[3]Gastos!$AF:$AF)</f>
        <v>1243490</v>
      </c>
      <c r="K21" s="24">
        <f>SUM(Tabla1[[#This Row],[april]:[june]])</f>
        <v>3702158</v>
      </c>
      <c r="L21" s="24">
        <f>_xlfn.XLOOKUP(C21,[3]Gastos!$B:$B,[3]Gastos!$AK:$AK)</f>
        <v>1195763</v>
      </c>
      <c r="M21" s="24">
        <f>_xlfn.XLOOKUP(C21,[3]Gastos!$B:$B,[3]Gastos!$AP:$AP)</f>
        <v>1250575</v>
      </c>
      <c r="N21" s="24">
        <f>_xlfn.XLOOKUP(Tabla1[[#This Row],[Subcuenta]],[3]Gastos!$B:$B,[3]Gastos!$AU:$AU)</f>
        <v>1257087</v>
      </c>
      <c r="O21" s="24">
        <f>SUM(Tabla1[[#This Row],[july]:[september]])</f>
        <v>3703425</v>
      </c>
      <c r="P21" s="24">
        <f>_xlfn.XLOOKUP(Tabla1[[#This Row],[Subcuenta]],[3]Gastos!$B:$B,[3]Gastos!$AZ:$AZ)</f>
        <v>1261298</v>
      </c>
      <c r="Q21" s="24">
        <f>_xlfn.XLOOKUP(Tabla1[[#This Row],[Subcuenta]],[3]Gastos!$B:$B,[3]Gastos!$BE:$BE)</f>
        <v>1213815</v>
      </c>
      <c r="R21" s="24">
        <f>_xlfn.XLOOKUP(Tabla1[[#This Row],[Subcuenta]],[3]Gastos!$B:$B,[3]Gastos!$BJ:$BJ)</f>
        <v>1270924</v>
      </c>
      <c r="S21" s="24">
        <f>SUM(Tabla1[[#This Row],[october]:[december]])</f>
        <v>3746037</v>
      </c>
      <c r="T21" s="43">
        <f t="shared" si="0"/>
        <v>14793567</v>
      </c>
    </row>
    <row r="22" spans="2:21" x14ac:dyDescent="0.3">
      <c r="B22" s="35" t="s">
        <v>260</v>
      </c>
      <c r="C22" s="23" t="s">
        <v>134</v>
      </c>
      <c r="D22" s="24">
        <f>_xlfn.XLOOKUP(C22,[3]Gastos!$B:$B,[3]Gastos!$G:$G)</f>
        <v>18131</v>
      </c>
      <c r="E22" s="24">
        <f>_xlfn.XLOOKUP(C22,[3]Gastos!$B:$B,[3]Gastos!$L:$L)</f>
        <v>16640</v>
      </c>
      <c r="F22" s="24">
        <f>_xlfn.XLOOKUP(C22,[3]Gastos!$B:$B,[3]Gastos!$Q:$Q)</f>
        <v>17066</v>
      </c>
      <c r="G22" s="24">
        <f>SUM(Tabla1[[#This Row],[january]:[march]])</f>
        <v>51837</v>
      </c>
      <c r="H22" s="24">
        <f>_xlfn.XLOOKUP(C22,[3]Gastos!$B:$B,[3]Gastos!$V:$V)</f>
        <v>23691</v>
      </c>
      <c r="I22" s="24">
        <f>_xlfn.XLOOKUP(C22,[3]Gastos!$B:$B,[3]Gastos!$AA:$AA)</f>
        <v>24569</v>
      </c>
      <c r="J22" s="24">
        <f>_xlfn.XLOOKUP(C22,[3]Gastos!$B:$B,[3]Gastos!$AF:$AF)</f>
        <v>20601</v>
      </c>
      <c r="K22" s="24">
        <f>SUM(Tabla1[[#This Row],[april]:[june]])</f>
        <v>68861</v>
      </c>
      <c r="L22" s="24">
        <f>_xlfn.XLOOKUP(C22,[3]Gastos!$B:$B,[3]Gastos!$AK:$AK)</f>
        <v>18347</v>
      </c>
      <c r="M22" s="24">
        <f>_xlfn.XLOOKUP(C22,[3]Gastos!$B:$B,[3]Gastos!$AP:$AP)</f>
        <v>18642</v>
      </c>
      <c r="N22" s="24">
        <f>_xlfn.XLOOKUP(Tabla1[[#This Row],[Subcuenta]],[3]Gastos!$B:$B,[3]Gastos!$AU:$AU)</f>
        <v>20176</v>
      </c>
      <c r="O22" s="24">
        <f>SUM(Tabla1[[#This Row],[july]:[september]])</f>
        <v>57165</v>
      </c>
      <c r="P22" s="24">
        <f>_xlfn.XLOOKUP(Tabla1[[#This Row],[Subcuenta]],[3]Gastos!$B:$B,[3]Gastos!$AZ:$AZ)</f>
        <v>16100</v>
      </c>
      <c r="Q22" s="24">
        <f>_xlfn.XLOOKUP(Tabla1[[#This Row],[Subcuenta]],[3]Gastos!$B:$B,[3]Gastos!$BE:$BE)</f>
        <v>19222</v>
      </c>
      <c r="R22" s="24">
        <f>_xlfn.XLOOKUP(Tabla1[[#This Row],[Subcuenta]],[3]Gastos!$B:$B,[3]Gastos!$BJ:$BJ)</f>
        <v>20823</v>
      </c>
      <c r="S22" s="24">
        <f>SUM(Tabla1[[#This Row],[october]:[december]])</f>
        <v>56145</v>
      </c>
      <c r="T22" s="43">
        <f t="shared" si="0"/>
        <v>234008</v>
      </c>
    </row>
    <row r="23" spans="2:21" x14ac:dyDescent="0.3">
      <c r="B23" s="35" t="s">
        <v>260</v>
      </c>
      <c r="C23" s="23" t="s">
        <v>135</v>
      </c>
      <c r="D23" s="24">
        <f>_xlfn.XLOOKUP(C23,[3]Gastos!$B:$B,[3]Gastos!$G:$G)</f>
        <v>297500</v>
      </c>
      <c r="E23" s="24">
        <f>_xlfn.XLOOKUP(C23,[3]Gastos!$B:$B,[3]Gastos!$L:$L)</f>
        <v>297500</v>
      </c>
      <c r="F23" s="24">
        <f>_xlfn.XLOOKUP(C23,[3]Gastos!$B:$B,[3]Gastos!$Q:$Q)</f>
        <v>297500</v>
      </c>
      <c r="G23" s="24">
        <f>SUM(Tabla1[[#This Row],[january]:[march]])</f>
        <v>892500</v>
      </c>
      <c r="H23" s="24">
        <f>_xlfn.XLOOKUP(C23,[3]Gastos!$B:$B,[3]Gastos!$V:$V)</f>
        <v>297500</v>
      </c>
      <c r="I23" s="24">
        <f>_xlfn.XLOOKUP(C23,[3]Gastos!$B:$B,[3]Gastos!$AA:$AA)</f>
        <v>297500</v>
      </c>
      <c r="J23" s="24">
        <f>_xlfn.XLOOKUP(C23,[3]Gastos!$B:$B,[3]Gastos!$AF:$AF)</f>
        <v>297500</v>
      </c>
      <c r="K23" s="24">
        <f>SUM(Tabla1[[#This Row],[april]:[june]])</f>
        <v>892500</v>
      </c>
      <c r="L23" s="24">
        <f>_xlfn.XLOOKUP(C23,[3]Gastos!$B:$B,[3]Gastos!$AK:$AK)</f>
        <v>357000</v>
      </c>
      <c r="M23" s="24">
        <f>_xlfn.XLOOKUP(C23,[3]Gastos!$B:$B,[3]Gastos!$AP:$AP)</f>
        <v>1017000</v>
      </c>
      <c r="N23" s="24">
        <f>_xlfn.XLOOKUP(Tabla1[[#This Row],[Subcuenta]],[3]Gastos!$B:$B,[3]Gastos!$AU:$AU)</f>
        <v>357000</v>
      </c>
      <c r="O23" s="24">
        <f>SUM(Tabla1[[#This Row],[july]:[september]])</f>
        <v>1731000</v>
      </c>
      <c r="P23" s="24">
        <f>_xlfn.XLOOKUP(Tabla1[[#This Row],[Subcuenta]],[3]Gastos!$B:$B,[3]Gastos!$AZ:$AZ)</f>
        <v>357000</v>
      </c>
      <c r="Q23" s="24">
        <f>_xlfn.XLOOKUP(Tabla1[[#This Row],[Subcuenta]],[3]Gastos!$B:$B,[3]Gastos!$BE:$BE)</f>
        <v>357000</v>
      </c>
      <c r="R23" s="24">
        <f>_xlfn.XLOOKUP(Tabla1[[#This Row],[Subcuenta]],[3]Gastos!$B:$B,[3]Gastos!$BJ:$BJ)</f>
        <v>357000</v>
      </c>
      <c r="S23" s="24">
        <f>SUM(Tabla1[[#This Row],[october]:[december]])</f>
        <v>1071000</v>
      </c>
      <c r="T23" s="43">
        <f t="shared" si="0"/>
        <v>4587000</v>
      </c>
    </row>
    <row r="24" spans="2:21" x14ac:dyDescent="0.3">
      <c r="B24" s="35" t="s">
        <v>260</v>
      </c>
      <c r="C24" s="23" t="s">
        <v>136</v>
      </c>
      <c r="D24" s="24">
        <f>_xlfn.XLOOKUP(C24,[3]Gastos!$B:$B,[3]Gastos!$G:$G)</f>
        <v>0</v>
      </c>
      <c r="E24" s="24">
        <f>_xlfn.XLOOKUP(C24,[3]Gastos!$B:$B,[3]Gastos!$L:$L)</f>
        <v>0</v>
      </c>
      <c r="F24" s="24">
        <f>_xlfn.XLOOKUP(C24,[3]Gastos!$B:$B,[3]Gastos!$Q:$Q)</f>
        <v>1622690</v>
      </c>
      <c r="G24" s="24">
        <f>SUM(Tabla1[[#This Row],[january]:[march]])</f>
        <v>1622690</v>
      </c>
      <c r="H24" s="24">
        <f>_xlfn.XLOOKUP(C24,[3]Gastos!$B:$B,[3]Gastos!$V:$V)</f>
        <v>4161177</v>
      </c>
      <c r="I24" s="24">
        <f>_xlfn.XLOOKUP(C24,[3]Gastos!$B:$B,[3]Gastos!$AA:$AA)</f>
        <v>0</v>
      </c>
      <c r="J24" s="24">
        <f>_xlfn.XLOOKUP(C24,[3]Gastos!$B:$B,[3]Gastos!$AF:$AF)</f>
        <v>0</v>
      </c>
      <c r="K24" s="24">
        <f>SUM(Tabla1[[#This Row],[april]:[june]])</f>
        <v>4161177</v>
      </c>
      <c r="L24" s="24">
        <f>_xlfn.XLOOKUP(C24,[3]Gastos!$B:$B,[3]Gastos!$AK:$AK)</f>
        <v>4510143</v>
      </c>
      <c r="M24" s="24">
        <f>_xlfn.XLOOKUP(C24,[3]Gastos!$B:$B,[3]Gastos!$AP:$AP)</f>
        <v>430080</v>
      </c>
      <c r="N24" s="24">
        <f>_xlfn.XLOOKUP(Tabla1[[#This Row],[Subcuenta]],[3]Gastos!$B:$B,[3]Gastos!$AU:$AU)</f>
        <v>0</v>
      </c>
      <c r="O24" s="24">
        <f>SUM(Tabla1[[#This Row],[july]:[september]])</f>
        <v>4940223</v>
      </c>
      <c r="P24" s="24">
        <f>_xlfn.XLOOKUP(Tabla1[[#This Row],[Subcuenta]],[3]Gastos!$B:$B,[3]Gastos!$AZ:$AZ)</f>
        <v>180000</v>
      </c>
      <c r="Q24" s="24">
        <f>_xlfn.XLOOKUP(Tabla1[[#This Row],[Subcuenta]],[3]Gastos!$B:$B,[3]Gastos!$BE:$BE)</f>
        <v>0</v>
      </c>
      <c r="R24" s="24">
        <f>_xlfn.XLOOKUP(Tabla1[[#This Row],[Subcuenta]],[3]Gastos!$B:$B,[3]Gastos!$BJ:$BJ)</f>
        <v>0</v>
      </c>
      <c r="S24" s="24">
        <f>SUM(Tabla1[[#This Row],[october]:[december]])</f>
        <v>180000</v>
      </c>
      <c r="T24" s="43">
        <f t="shared" si="0"/>
        <v>10904090</v>
      </c>
    </row>
    <row r="25" spans="2:21" x14ac:dyDescent="0.3">
      <c r="B25" s="35" t="s">
        <v>260</v>
      </c>
      <c r="C25" s="23" t="s">
        <v>288</v>
      </c>
      <c r="D25" s="24">
        <f>_xlfn.XLOOKUP(C25,[3]Gastos!$B:$B,[3]Gastos!$G:$G)</f>
        <v>480000</v>
      </c>
      <c r="E25" s="24">
        <f>_xlfn.XLOOKUP(C25,[3]Gastos!$B:$B,[3]Gastos!$L:$L)</f>
        <v>360000</v>
      </c>
      <c r="F25" s="24">
        <f>_xlfn.XLOOKUP(C25,[3]Gastos!$B:$B,[3]Gastos!$Q:$Q)</f>
        <v>480000</v>
      </c>
      <c r="G25" s="24">
        <f>SUM(Tabla1[[#This Row],[january]:[march]])</f>
        <v>1320000</v>
      </c>
      <c r="H25" s="24">
        <f>_xlfn.XLOOKUP(C25,[3]Gastos!$B:$B,[3]Gastos!$V:$V)</f>
        <v>0</v>
      </c>
      <c r="I25" s="24">
        <f>_xlfn.XLOOKUP(C25,[3]Gastos!$B:$B,[3]Gastos!$AA:$AA)</f>
        <v>420000</v>
      </c>
      <c r="J25" s="24">
        <f>_xlfn.XLOOKUP(C25,[3]Gastos!$B:$B,[3]Gastos!$AF:$AF)</f>
        <v>480000</v>
      </c>
      <c r="K25" s="24">
        <f>SUM(Tabla1[[#This Row],[april]:[june]])</f>
        <v>900000</v>
      </c>
      <c r="L25" s="24">
        <f>_xlfn.XLOOKUP(C25,[3]Gastos!$B:$B,[3]Gastos!$AK:$AK)</f>
        <v>480000</v>
      </c>
      <c r="M25" s="24">
        <f>_xlfn.XLOOKUP(C25,[3]Gastos!$B:$B,[3]Gastos!$AP:$AP)</f>
        <v>3990000</v>
      </c>
      <c r="N25" s="24">
        <f>_xlfn.XLOOKUP(Tabla1[[#This Row],[Subcuenta]],[3]Gastos!$B:$B,[3]Gastos!$AU:$AU)</f>
        <v>300000</v>
      </c>
      <c r="O25" s="24">
        <f>SUM(Tabla1[[#This Row],[july]:[september]])</f>
        <v>4770000</v>
      </c>
      <c r="P25" s="24">
        <f>_xlfn.XLOOKUP(Tabla1[[#This Row],[Subcuenta]],[3]Gastos!$B:$B,[3]Gastos!$AZ:$AZ)</f>
        <v>340000</v>
      </c>
      <c r="Q25" s="24">
        <f>_xlfn.XLOOKUP(Tabla1[[#This Row],[Subcuenta]],[3]Gastos!$B:$B,[3]Gastos!$BE:$BE)</f>
        <v>240000</v>
      </c>
      <c r="R25" s="24">
        <f>_xlfn.XLOOKUP(Tabla1[[#This Row],[Subcuenta]],[3]Gastos!$B:$B,[3]Gastos!$BJ:$BJ)</f>
        <v>240000</v>
      </c>
      <c r="S25" s="24">
        <f>SUM(Tabla1[[#This Row],[october]:[december]])</f>
        <v>820000</v>
      </c>
      <c r="T25" s="43">
        <f t="shared" si="0"/>
        <v>7810000</v>
      </c>
    </row>
    <row r="26" spans="2:21" x14ac:dyDescent="0.3">
      <c r="B26" s="35" t="s">
        <v>260</v>
      </c>
      <c r="C26" s="23" t="s">
        <v>137</v>
      </c>
      <c r="D26" s="24">
        <f>_xlfn.XLOOKUP(C26,[3]Gastos!$B:$B,[3]Gastos!$G:$G)</f>
        <v>314498</v>
      </c>
      <c r="E26" s="24">
        <f>_xlfn.XLOOKUP(C26,[3]Gastos!$B:$B,[3]Gastos!$L:$L)</f>
        <v>192354</v>
      </c>
      <c r="F26" s="24">
        <f>_xlfn.XLOOKUP(C26,[3]Gastos!$B:$B,[3]Gastos!$Q:$Q)</f>
        <v>193693</v>
      </c>
      <c r="G26" s="24">
        <f>SUM(Tabla1[[#This Row],[january]:[march]])</f>
        <v>700545</v>
      </c>
      <c r="H26" s="24">
        <f>_xlfn.XLOOKUP(C26,[3]Gastos!$B:$B,[3]Gastos!$V:$V)</f>
        <v>193849</v>
      </c>
      <c r="I26" s="24">
        <f>_xlfn.XLOOKUP(C26,[3]Gastos!$B:$B,[3]Gastos!$AA:$AA)</f>
        <v>195677</v>
      </c>
      <c r="J26" s="24">
        <f>_xlfn.XLOOKUP(C26,[3]Gastos!$B:$B,[3]Gastos!$AF:$AF)</f>
        <v>196417</v>
      </c>
      <c r="K26" s="24">
        <f>SUM(Tabla1[[#This Row],[april]:[june]])</f>
        <v>585943</v>
      </c>
      <c r="L26" s="24">
        <f>_xlfn.XLOOKUP(C26,[3]Gastos!$B:$B,[3]Gastos!$AK:$AK)</f>
        <v>196688</v>
      </c>
      <c r="M26" s="24">
        <f>_xlfn.XLOOKUP(C26,[3]Gastos!$B:$B,[3]Gastos!$AP:$AP)</f>
        <v>0</v>
      </c>
      <c r="N26" s="24">
        <f>_xlfn.XLOOKUP(Tabla1[[#This Row],[Subcuenta]],[3]Gastos!$B:$B,[3]Gastos!$AU:$AU)</f>
        <v>0</v>
      </c>
      <c r="O26" s="24">
        <f>SUM(Tabla1[[#This Row],[july]:[september]])</f>
        <v>196688</v>
      </c>
      <c r="P26" s="24">
        <f>_xlfn.XLOOKUP(Tabla1[[#This Row],[Subcuenta]],[3]Gastos!$B:$B,[3]Gastos!$AZ:$AZ)</f>
        <v>197296</v>
      </c>
      <c r="Q26" s="24">
        <f>_xlfn.XLOOKUP(Tabla1[[#This Row],[Subcuenta]],[3]Gastos!$B:$B,[3]Gastos!$BE:$BE)</f>
        <v>198583</v>
      </c>
      <c r="R26" s="24">
        <f>_xlfn.XLOOKUP(Tabla1[[#This Row],[Subcuenta]],[3]Gastos!$B:$B,[3]Gastos!$BJ:$BJ)</f>
        <v>199300</v>
      </c>
      <c r="S26" s="24">
        <f>SUM(Tabla1[[#This Row],[october]:[december]])</f>
        <v>595179</v>
      </c>
      <c r="T26" s="43">
        <f t="shared" si="0"/>
        <v>2078355</v>
      </c>
    </row>
    <row r="27" spans="2:21" x14ac:dyDescent="0.3">
      <c r="B27" s="35" t="s">
        <v>260</v>
      </c>
      <c r="C27" s="23" t="s">
        <v>138</v>
      </c>
      <c r="D27" s="24">
        <f>_xlfn.XLOOKUP(C27,[3]Gastos!$B:$B,[3]Gastos!$G:$G)</f>
        <v>0</v>
      </c>
      <c r="E27" s="24">
        <f>_xlfn.XLOOKUP(C27,[3]Gastos!$B:$B,[3]Gastos!$L:$L)</f>
        <v>0</v>
      </c>
      <c r="F27" s="24">
        <f>_xlfn.XLOOKUP(C27,[3]Gastos!$B:$B,[3]Gastos!$Q:$Q)</f>
        <v>0</v>
      </c>
      <c r="G27" s="24">
        <f>SUM(Tabla1[[#This Row],[january]:[march]])</f>
        <v>0</v>
      </c>
      <c r="H27" s="24">
        <f>_xlfn.XLOOKUP(C27,[3]Gastos!$B:$B,[3]Gastos!$V:$V)</f>
        <v>0</v>
      </c>
      <c r="I27" s="24">
        <f>_xlfn.XLOOKUP(C27,[3]Gastos!$B:$B,[3]Gastos!$AA:$AA)</f>
        <v>0</v>
      </c>
      <c r="J27" s="24">
        <f>_xlfn.XLOOKUP(C27,[3]Gastos!$B:$B,[3]Gastos!$AF:$AF)</f>
        <v>0</v>
      </c>
      <c r="K27" s="24">
        <f>SUM(Tabla1[[#This Row],[april]:[june]])</f>
        <v>0</v>
      </c>
      <c r="L27" s="24">
        <f>_xlfn.XLOOKUP(C27,[3]Gastos!$B:$B,[3]Gastos!$AK:$AK)</f>
        <v>0</v>
      </c>
      <c r="M27" s="24">
        <f>_xlfn.XLOOKUP(C27,[3]Gastos!$B:$B,[3]Gastos!$AP:$AP)</f>
        <v>0</v>
      </c>
      <c r="N27" s="24">
        <f>_xlfn.XLOOKUP(Tabla1[[#This Row],[Subcuenta]],[3]Gastos!$B:$B,[3]Gastos!$AU:$AU)</f>
        <v>0</v>
      </c>
      <c r="O27" s="24">
        <f>SUM(Tabla1[[#This Row],[july]:[september]])</f>
        <v>0</v>
      </c>
      <c r="P27" s="24">
        <f>_xlfn.XLOOKUP(Tabla1[[#This Row],[Subcuenta]],[3]Gastos!$B:$B,[3]Gastos!$AZ:$AZ)</f>
        <v>0</v>
      </c>
      <c r="Q27" s="24">
        <f>_xlfn.XLOOKUP(Tabla1[[#This Row],[Subcuenta]],[3]Gastos!$B:$B,[3]Gastos!$BE:$BE)</f>
        <v>0</v>
      </c>
      <c r="R27" s="24">
        <f>_xlfn.XLOOKUP(Tabla1[[#This Row],[Subcuenta]],[3]Gastos!$B:$B,[3]Gastos!$BJ:$BJ)</f>
        <v>0</v>
      </c>
      <c r="S27" s="24">
        <f>SUM(Tabla1[[#This Row],[october]:[december]])</f>
        <v>0</v>
      </c>
      <c r="T27" s="43">
        <f t="shared" si="0"/>
        <v>0</v>
      </c>
    </row>
    <row r="28" spans="2:21" ht="14.5" thickBot="1" x14ac:dyDescent="0.35">
      <c r="B28" s="36" t="s">
        <v>260</v>
      </c>
      <c r="C28" s="37" t="s">
        <v>139</v>
      </c>
      <c r="D28" s="38">
        <f>_xlfn.XLOOKUP(C28,[3]Gastos!$B:$B,[3]Gastos!$G:$G)</f>
        <v>284892</v>
      </c>
      <c r="E28" s="38">
        <f>_xlfn.XLOOKUP(C28,[3]Gastos!$B:$B,[3]Gastos!$L:$L)</f>
        <v>427103</v>
      </c>
      <c r="F28" s="38">
        <f>_xlfn.XLOOKUP(C28,[3]Gastos!$B:$B,[3]Gastos!$Q:$Q)</f>
        <v>1143587</v>
      </c>
      <c r="G28" s="38">
        <f>SUM(Tabla1[[#This Row],[january]:[march]])</f>
        <v>1855582</v>
      </c>
      <c r="H28" s="38">
        <f>_xlfn.XLOOKUP(C28,[3]Gastos!$B:$B,[3]Gastos!$V:$V)</f>
        <v>1389788</v>
      </c>
      <c r="I28" s="38">
        <f>_xlfn.XLOOKUP(C28,[3]Gastos!$B:$B,[3]Gastos!$AA:$AA)</f>
        <v>419287</v>
      </c>
      <c r="J28" s="38">
        <f>_xlfn.XLOOKUP(C28,[3]Gastos!$B:$B,[3]Gastos!$AF:$AF)</f>
        <v>1979452</v>
      </c>
      <c r="K28" s="38">
        <f>SUM(Tabla1[[#This Row],[april]:[june]])</f>
        <v>3788527</v>
      </c>
      <c r="L28" s="38">
        <f>_xlfn.XLOOKUP(C28,[3]Gastos!$B:$B,[3]Gastos!$AK:$AK)</f>
        <v>554667</v>
      </c>
      <c r="M28" s="38">
        <f>_xlfn.XLOOKUP(C28,[3]Gastos!$B:$B,[3]Gastos!$AP:$AP)</f>
        <v>826890.28</v>
      </c>
      <c r="N28" s="38">
        <f>_xlfn.XLOOKUP(Tabla1[[#This Row],[Subcuenta]],[3]Gastos!$B:$B,[3]Gastos!$AU:$AU)</f>
        <v>956499</v>
      </c>
      <c r="O28" s="38">
        <f>SUM(Tabla1[[#This Row],[july]:[september]])</f>
        <v>2338056.2800000003</v>
      </c>
      <c r="P28" s="38">
        <f>_xlfn.XLOOKUP(Tabla1[[#This Row],[Subcuenta]],[3]Gastos!$B:$B,[3]Gastos!$AZ:$AZ)</f>
        <v>1924381</v>
      </c>
      <c r="Q28" s="38">
        <f>_xlfn.XLOOKUP(Tabla1[[#This Row],[Subcuenta]],[3]Gastos!$B:$B,[3]Gastos!$BE:$BE)</f>
        <v>722300</v>
      </c>
      <c r="R28" s="38">
        <f>_xlfn.XLOOKUP(Tabla1[[#This Row],[Subcuenta]],[3]Gastos!$B:$B,[3]Gastos!$BJ:$BJ)</f>
        <v>1605403.05</v>
      </c>
      <c r="S28" s="38">
        <f>SUM(Tabla1[[#This Row],[october]:[december]])</f>
        <v>4252084.05</v>
      </c>
      <c r="T28" s="43">
        <f t="shared" si="0"/>
        <v>12234249.33</v>
      </c>
      <c r="U28" s="64" t="e">
        <f>SUM(#REF!)</f>
        <v>#REF!</v>
      </c>
    </row>
    <row r="29" spans="2:21" x14ac:dyDescent="0.3">
      <c r="B29" s="32" t="s">
        <v>261</v>
      </c>
      <c r="C29" s="33" t="s">
        <v>140</v>
      </c>
      <c r="D29" s="34">
        <f>_xlfn.XLOOKUP(C29,[3]Gastos!$B:$B,[3]Gastos!$G:$G)</f>
        <v>2876438</v>
      </c>
      <c r="E29" s="34">
        <f>_xlfn.XLOOKUP(C29,[3]Gastos!$B:$B,[3]Gastos!$L:$L)</f>
        <v>10090517</v>
      </c>
      <c r="F29" s="34">
        <f>_xlfn.XLOOKUP(C29,[3]Gastos!$B:$B,[3]Gastos!$Q:$Q)</f>
        <v>13541392</v>
      </c>
      <c r="G29" s="34">
        <f>SUM(Tabla1[[#This Row],[january]:[march]])</f>
        <v>26508347</v>
      </c>
      <c r="H29" s="34">
        <f>_xlfn.XLOOKUP(C29,[3]Gastos!$B:$B,[3]Gastos!$V:$V)</f>
        <v>3058386</v>
      </c>
      <c r="I29" s="34">
        <f>_xlfn.XLOOKUP(C29,[3]Gastos!$B:$B,[3]Gastos!$AA:$AA)</f>
        <v>10408611</v>
      </c>
      <c r="J29" s="34">
        <f>_xlfn.XLOOKUP(C29,[3]Gastos!$B:$B,[3]Gastos!$AF:$AF)</f>
        <v>10487407</v>
      </c>
      <c r="K29" s="34">
        <f>SUM(Tabla1[[#This Row],[april]:[june]])</f>
        <v>23954404</v>
      </c>
      <c r="L29" s="34">
        <f>_xlfn.XLOOKUP(C29,[3]Gastos!$B:$B,[3]Gastos!$AK:$AK)</f>
        <v>10488024</v>
      </c>
      <c r="M29" s="34">
        <f>_xlfn.XLOOKUP(C29,[3]Gastos!$B:$B,[3]Gastos!$AP:$AP)</f>
        <v>3123403</v>
      </c>
      <c r="N29" s="34">
        <v>3124075</v>
      </c>
      <c r="O29" s="34">
        <f>SUM(Tabla1[[#This Row],[july]:[september]])</f>
        <v>16735502</v>
      </c>
      <c r="P29" s="24">
        <f>_xlfn.XLOOKUP(Tabla1[[#This Row],[Subcuenta]],[3]Gastos!$B:$B,[3]Gastos!$AZ:$AZ)</f>
        <v>3125981</v>
      </c>
      <c r="Q29" s="34">
        <f>_xlfn.XLOOKUP(Tabla1[[#This Row],[Subcuenta]],[3]Gastos!$B:$B,[3]Gastos!$BE:$BE)</f>
        <v>3127739</v>
      </c>
      <c r="R29" s="34">
        <f>_xlfn.XLOOKUP(Tabla1[[#This Row],[Subcuenta]],[3]Gastos!$B:$B,[3]Gastos!$BJ:$BJ)</f>
        <v>2345394</v>
      </c>
      <c r="S29" s="31">
        <f>SUM(Tabla1[[#This Row],[october]:[december]])</f>
        <v>8599114</v>
      </c>
      <c r="T29" s="43">
        <f t="shared" si="0"/>
        <v>75797367</v>
      </c>
    </row>
    <row r="30" spans="2:21" x14ac:dyDescent="0.3">
      <c r="B30" s="35" t="s">
        <v>261</v>
      </c>
      <c r="C30" s="23" t="s">
        <v>141</v>
      </c>
      <c r="D30" s="24">
        <f>_xlfn.XLOOKUP(C30,[3]Gastos!$B:$B,[3]Gastos!$G:$G)</f>
        <v>275093</v>
      </c>
      <c r="E30" s="24">
        <f>_xlfn.XLOOKUP(C30,[3]Gastos!$B:$B,[3]Gastos!$L:$L)</f>
        <v>245023</v>
      </c>
      <c r="F30" s="24">
        <f>_xlfn.XLOOKUP(C30,[3]Gastos!$B:$B,[3]Gastos!$Q:$Q)</f>
        <v>182898</v>
      </c>
      <c r="G30" s="24">
        <f>SUM(Tabla1[[#This Row],[january]:[march]])</f>
        <v>703014</v>
      </c>
      <c r="H30" s="24">
        <f>_xlfn.XLOOKUP(C30,[3]Gastos!$B:$B,[3]Gastos!$V:$V)</f>
        <v>251948</v>
      </c>
      <c r="I30" s="24">
        <f>_xlfn.XLOOKUP(C30,[3]Gastos!$B:$B,[3]Gastos!$AA:$AA)</f>
        <v>213415</v>
      </c>
      <c r="J30" s="24">
        <f>_xlfn.XLOOKUP(C30,[3]Gastos!$B:$B,[3]Gastos!$AF:$AF)</f>
        <v>269392</v>
      </c>
      <c r="K30" s="24">
        <f>SUM(Tabla1[[#This Row],[april]:[june]])</f>
        <v>734755</v>
      </c>
      <c r="L30" s="24">
        <f>_xlfn.XLOOKUP(C30,[3]Gastos!$B:$B,[3]Gastos!$AK:$AK)</f>
        <v>226822</v>
      </c>
      <c r="M30" s="24">
        <f>_xlfn.XLOOKUP(C30,[3]Gastos!$B:$B,[3]Gastos!$AP:$AP)</f>
        <v>91758</v>
      </c>
      <c r="N30" s="24">
        <v>122224.15</v>
      </c>
      <c r="O30" s="24">
        <f>SUM(Tabla1[[#This Row],[july]:[september]])</f>
        <v>440804.15</v>
      </c>
      <c r="P30" s="24">
        <f>_xlfn.XLOOKUP(Tabla1[[#This Row],[Subcuenta]],[3]Gastos!$B:$B,[3]Gastos!$AZ:$AZ)</f>
        <v>19581</v>
      </c>
      <c r="Q30" s="24">
        <f>_xlfn.XLOOKUP(Tabla1[[#This Row],[Subcuenta]],[3]Gastos!$B:$B,[3]Gastos!$BE:$BE)</f>
        <v>33089</v>
      </c>
      <c r="R30" s="24">
        <f>_xlfn.XLOOKUP(Tabla1[[#This Row],[Subcuenta]],[3]Gastos!$B:$B,[3]Gastos!$BJ:$BJ)</f>
        <v>91754.44</v>
      </c>
      <c r="S30" s="24">
        <f>SUM(Tabla1[[#This Row],[october]:[december]])</f>
        <v>144424.44</v>
      </c>
      <c r="T30" s="43">
        <f t="shared" si="0"/>
        <v>2022997.5899999999</v>
      </c>
    </row>
    <row r="31" spans="2:21" x14ac:dyDescent="0.3">
      <c r="B31" s="35" t="s">
        <v>261</v>
      </c>
      <c r="C31" s="23" t="s">
        <v>142</v>
      </c>
      <c r="D31" s="24">
        <f>_xlfn.XLOOKUP(C31,[3]Gastos!$B:$B,[3]Gastos!$G:$G)</f>
        <v>185557</v>
      </c>
      <c r="E31" s="24">
        <f>_xlfn.XLOOKUP(C31,[3]Gastos!$B:$B,[3]Gastos!$L:$L)</f>
        <v>211090</v>
      </c>
      <c r="F31" s="24">
        <f>_xlfn.XLOOKUP(C31,[3]Gastos!$B:$B,[3]Gastos!$Q:$Q)</f>
        <v>192281</v>
      </c>
      <c r="G31" s="24">
        <f>SUM(Tabla1[[#This Row],[january]:[march]])</f>
        <v>588928</v>
      </c>
      <c r="H31" s="24">
        <f>_xlfn.XLOOKUP(C31,[3]Gastos!$B:$B,[3]Gastos!$V:$V)</f>
        <v>251712</v>
      </c>
      <c r="I31" s="24">
        <f>_xlfn.XLOOKUP(C31,[3]Gastos!$B:$B,[3]Gastos!$AA:$AA)</f>
        <v>217861</v>
      </c>
      <c r="J31" s="24">
        <f>_xlfn.XLOOKUP(C31,[3]Gastos!$B:$B,[3]Gastos!$AF:$AF)</f>
        <v>208211</v>
      </c>
      <c r="K31" s="24">
        <f>SUM(Tabla1[[#This Row],[april]:[june]])</f>
        <v>677784</v>
      </c>
      <c r="L31" s="24">
        <f>_xlfn.XLOOKUP(C31,[3]Gastos!$B:$B,[3]Gastos!$AK:$AK)</f>
        <v>183999</v>
      </c>
      <c r="M31" s="24">
        <f>_xlfn.XLOOKUP(C31,[3]Gastos!$B:$B,[3]Gastos!$AP:$AP)</f>
        <v>21330</v>
      </c>
      <c r="N31" s="24">
        <v>8631.9699999999993</v>
      </c>
      <c r="O31" s="24">
        <f>SUM(Tabla1[[#This Row],[july]:[september]])</f>
        <v>213960.97</v>
      </c>
      <c r="P31" s="24">
        <f>_xlfn.XLOOKUP(Tabla1[[#This Row],[Subcuenta]],[3]Gastos!$B:$B,[3]Gastos!$AZ:$AZ)</f>
        <v>21460</v>
      </c>
      <c r="Q31" s="24">
        <f>_xlfn.XLOOKUP(Tabla1[[#This Row],[Subcuenta]],[3]Gastos!$B:$B,[3]Gastos!$BE:$BE)</f>
        <v>12500</v>
      </c>
      <c r="R31" s="24">
        <f>_xlfn.XLOOKUP(Tabla1[[#This Row],[Subcuenta]],[3]Gastos!$B:$B,[3]Gastos!$BJ:$BJ)</f>
        <v>31099.47</v>
      </c>
      <c r="S31" s="24">
        <f>SUM(Tabla1[[#This Row],[october]:[december]])</f>
        <v>65059.47</v>
      </c>
      <c r="T31" s="43">
        <f t="shared" si="0"/>
        <v>1545732.44</v>
      </c>
    </row>
    <row r="32" spans="2:21" x14ac:dyDescent="0.3">
      <c r="B32" s="35" t="s">
        <v>261</v>
      </c>
      <c r="C32" s="23" t="s">
        <v>143</v>
      </c>
      <c r="D32" s="24">
        <f>_xlfn.XLOOKUP(C32,[3]Gastos!$B:$B,[3]Gastos!$G:$G)</f>
        <v>217916</v>
      </c>
      <c r="E32" s="24">
        <f>_xlfn.XLOOKUP(C32,[3]Gastos!$B:$B,[3]Gastos!$L:$L)</f>
        <v>185977</v>
      </c>
      <c r="F32" s="24">
        <f>_xlfn.XLOOKUP(C32,[3]Gastos!$B:$B,[3]Gastos!$Q:$Q)</f>
        <v>159569</v>
      </c>
      <c r="G32" s="24">
        <f>SUM(Tabla1[[#This Row],[january]:[march]])</f>
        <v>563462</v>
      </c>
      <c r="H32" s="24">
        <f>_xlfn.XLOOKUP(C32,[3]Gastos!$B:$B,[3]Gastos!$V:$V)</f>
        <v>236348</v>
      </c>
      <c r="I32" s="24">
        <f>_xlfn.XLOOKUP(C32,[3]Gastos!$B:$B,[3]Gastos!$AA:$AA)</f>
        <v>246599</v>
      </c>
      <c r="J32" s="24">
        <f>_xlfn.XLOOKUP(C32,[3]Gastos!$B:$B,[3]Gastos!$AF:$AF)</f>
        <v>258803</v>
      </c>
      <c r="K32" s="24">
        <f>SUM(Tabla1[[#This Row],[april]:[june]])</f>
        <v>741750</v>
      </c>
      <c r="L32" s="24">
        <f>_xlfn.XLOOKUP(C32,[3]Gastos!$B:$B,[3]Gastos!$AK:$AK)</f>
        <v>248837</v>
      </c>
      <c r="M32" s="24">
        <f>_xlfn.XLOOKUP(C32,[3]Gastos!$B:$B,[3]Gastos!$AP:$AP)</f>
        <v>59887</v>
      </c>
      <c r="N32" s="24">
        <v>88110.05</v>
      </c>
      <c r="O32" s="24">
        <f>SUM(Tabla1[[#This Row],[july]:[september]])</f>
        <v>396834.05</v>
      </c>
      <c r="P32" s="24">
        <f>_xlfn.XLOOKUP(Tabla1[[#This Row],[Subcuenta]],[3]Gastos!$B:$B,[3]Gastos!$AZ:$AZ)</f>
        <v>71422</v>
      </c>
      <c r="Q32" s="24">
        <f>_xlfn.XLOOKUP(Tabla1[[#This Row],[Subcuenta]],[3]Gastos!$B:$B,[3]Gastos!$BE:$BE)</f>
        <v>73463</v>
      </c>
      <c r="R32" s="24">
        <f>_xlfn.XLOOKUP(Tabla1[[#This Row],[Subcuenta]],[3]Gastos!$B:$B,[3]Gastos!$BJ:$BJ)</f>
        <v>55663.85</v>
      </c>
      <c r="S32" s="24">
        <f>SUM(Tabla1[[#This Row],[october]:[december]])</f>
        <v>200548.85</v>
      </c>
      <c r="T32" s="43">
        <f t="shared" si="0"/>
        <v>1902594.9000000001</v>
      </c>
    </row>
    <row r="33" spans="2:20" x14ac:dyDescent="0.3">
      <c r="B33" s="35" t="s">
        <v>261</v>
      </c>
      <c r="C33" s="23" t="s">
        <v>144</v>
      </c>
      <c r="D33" s="24">
        <f>_xlfn.XLOOKUP(C33,[3]Gastos!$B:$B,[3]Gastos!$G:$G)</f>
        <v>450377</v>
      </c>
      <c r="E33" s="24">
        <f>_xlfn.XLOOKUP(C33,[3]Gastos!$B:$B,[3]Gastos!$L:$L)</f>
        <v>196987</v>
      </c>
      <c r="F33" s="24">
        <f>_xlfn.XLOOKUP(C33,[3]Gastos!$B:$B,[3]Gastos!$Q:$Q)</f>
        <v>200151</v>
      </c>
      <c r="G33" s="24">
        <f>SUM(Tabla1[[#This Row],[january]:[march]])</f>
        <v>847515</v>
      </c>
      <c r="H33" s="24">
        <f>_xlfn.XLOOKUP(C33,[3]Gastos!$B:$B,[3]Gastos!$V:$V)</f>
        <v>204795</v>
      </c>
      <c r="I33" s="24">
        <f>_xlfn.XLOOKUP(C33,[3]Gastos!$B:$B,[3]Gastos!$AA:$AA)</f>
        <v>282693</v>
      </c>
      <c r="J33" s="24">
        <f>_xlfn.XLOOKUP(C33,[3]Gastos!$B:$B,[3]Gastos!$AF:$AF)</f>
        <v>214627</v>
      </c>
      <c r="K33" s="24">
        <f>SUM(Tabla1[[#This Row],[april]:[june]])</f>
        <v>702115</v>
      </c>
      <c r="L33" s="24">
        <f>_xlfn.XLOOKUP(C33,[3]Gastos!$B:$B,[3]Gastos!$AK:$AK)</f>
        <v>254868</v>
      </c>
      <c r="M33" s="24">
        <f>_xlfn.XLOOKUP(C33,[3]Gastos!$B:$B,[3]Gastos!$AP:$AP)</f>
        <v>112746</v>
      </c>
      <c r="N33" s="24">
        <v>274539.34999999998</v>
      </c>
      <c r="O33" s="24">
        <f>SUM(Tabla1[[#This Row],[july]:[september]])</f>
        <v>642153.35</v>
      </c>
      <c r="P33" s="24">
        <f>_xlfn.XLOOKUP(Tabla1[[#This Row],[Subcuenta]],[3]Gastos!$B:$B,[3]Gastos!$AZ:$AZ)</f>
        <v>131010</v>
      </c>
      <c r="Q33" s="24">
        <f>_xlfn.XLOOKUP(Tabla1[[#This Row],[Subcuenta]],[3]Gastos!$B:$B,[3]Gastos!$BE:$BE)</f>
        <v>116448</v>
      </c>
      <c r="R33" s="24">
        <f>_xlfn.XLOOKUP(Tabla1[[#This Row],[Subcuenta]],[3]Gastos!$B:$B,[3]Gastos!$BJ:$BJ)</f>
        <v>124530.04000000001</v>
      </c>
      <c r="S33" s="24">
        <f>SUM(Tabla1[[#This Row],[october]:[december]])</f>
        <v>371988.04000000004</v>
      </c>
      <c r="T33" s="43">
        <f t="shared" si="0"/>
        <v>2563771.39</v>
      </c>
    </row>
    <row r="34" spans="2:20" x14ac:dyDescent="0.3">
      <c r="B34" s="35" t="s">
        <v>261</v>
      </c>
      <c r="C34" s="23" t="s">
        <v>145</v>
      </c>
      <c r="D34" s="24">
        <f>_xlfn.XLOOKUP(C34,[3]Gastos!$B:$B,[3]Gastos!$G:$G)</f>
        <v>47012</v>
      </c>
      <c r="E34" s="24">
        <f>_xlfn.XLOOKUP(C34,[3]Gastos!$B:$B,[3]Gastos!$L:$L)</f>
        <v>25600</v>
      </c>
      <c r="F34" s="24">
        <f>_xlfn.XLOOKUP(C34,[3]Gastos!$B:$B,[3]Gastos!$Q:$Q)</f>
        <v>69800</v>
      </c>
      <c r="G34" s="24">
        <f>SUM(Tabla1[[#This Row],[january]:[march]])</f>
        <v>142412</v>
      </c>
      <c r="H34" s="24">
        <f>_xlfn.XLOOKUP(C34,[3]Gastos!$B:$B,[3]Gastos!$V:$V)</f>
        <v>27668</v>
      </c>
      <c r="I34" s="24">
        <f>_xlfn.XLOOKUP(C34,[3]Gastos!$B:$B,[3]Gastos!$AA:$AA)</f>
        <v>61056</v>
      </c>
      <c r="J34" s="24">
        <f>_xlfn.XLOOKUP(C34,[3]Gastos!$B:$B,[3]Gastos!$AF:$AF)</f>
        <v>54929</v>
      </c>
      <c r="K34" s="24">
        <f>SUM(Tabla1[[#This Row],[april]:[june]])</f>
        <v>143653</v>
      </c>
      <c r="L34" s="24">
        <f>_xlfn.XLOOKUP(C34,[3]Gastos!$B:$B,[3]Gastos!$AK:$AK)</f>
        <v>69800</v>
      </c>
      <c r="M34" s="24">
        <f>_xlfn.XLOOKUP(C34,[3]Gastos!$B:$B,[3]Gastos!$AP:$AP)</f>
        <v>6200</v>
      </c>
      <c r="N34" s="24">
        <v>66000</v>
      </c>
      <c r="O34" s="24">
        <f>SUM(Tabla1[[#This Row],[july]:[september]])</f>
        <v>142000</v>
      </c>
      <c r="P34" s="24">
        <f>_xlfn.XLOOKUP(Tabla1[[#This Row],[Subcuenta]],[3]Gastos!$B:$B,[3]Gastos!$AZ:$AZ)</f>
        <v>17500</v>
      </c>
      <c r="Q34" s="24">
        <f>_xlfn.XLOOKUP(Tabla1[[#This Row],[Subcuenta]],[3]Gastos!$B:$B,[3]Gastos!$BE:$BE)</f>
        <v>30168</v>
      </c>
      <c r="R34" s="24">
        <f>_xlfn.XLOOKUP(Tabla1[[#This Row],[Subcuenta]],[3]Gastos!$B:$B,[3]Gastos!$BJ:$BJ)</f>
        <v>0</v>
      </c>
      <c r="S34" s="24">
        <f>SUM(Tabla1[[#This Row],[october]:[december]])</f>
        <v>47668</v>
      </c>
      <c r="T34" s="43">
        <f t="shared" si="0"/>
        <v>475733</v>
      </c>
    </row>
    <row r="35" spans="2:20" x14ac:dyDescent="0.3">
      <c r="B35" s="35" t="s">
        <v>261</v>
      </c>
      <c r="C35" s="23" t="s">
        <v>146</v>
      </c>
      <c r="D35" s="24">
        <f>_xlfn.XLOOKUP(C35,[3]Gastos!$B:$B,[3]Gastos!$G:$G)</f>
        <v>61140</v>
      </c>
      <c r="E35" s="24">
        <f>_xlfn.XLOOKUP(C35,[3]Gastos!$B:$B,[3]Gastos!$L:$L)</f>
        <v>46369</v>
      </c>
      <c r="F35" s="24">
        <f>_xlfn.XLOOKUP(C35,[3]Gastos!$B:$B,[3]Gastos!$Q:$Q)</f>
        <v>24800</v>
      </c>
      <c r="G35" s="24">
        <f>SUM(Tabla1[[#This Row],[january]:[march]])</f>
        <v>132309</v>
      </c>
      <c r="H35" s="24">
        <f>_xlfn.XLOOKUP(C35,[3]Gastos!$B:$B,[3]Gastos!$V:$V)</f>
        <v>13500</v>
      </c>
      <c r="I35" s="24">
        <f>_xlfn.XLOOKUP(C35,[3]Gastos!$B:$B,[3]Gastos!$AA:$AA)</f>
        <v>24742</v>
      </c>
      <c r="J35" s="24">
        <f>_xlfn.XLOOKUP(C35,[3]Gastos!$B:$B,[3]Gastos!$AF:$AF)</f>
        <v>13600</v>
      </c>
      <c r="K35" s="24">
        <f>SUM(Tabla1[[#This Row],[april]:[june]])</f>
        <v>51842</v>
      </c>
      <c r="L35" s="24">
        <f>_xlfn.XLOOKUP(C35,[3]Gastos!$B:$B,[3]Gastos!$AK:$AK)</f>
        <v>11500</v>
      </c>
      <c r="M35" s="45">
        <f>_xlfn.XLOOKUP(C35,[3]Gastos!$B:$B,[3]Gastos!$AP:$AP)</f>
        <v>0</v>
      </c>
      <c r="N35" s="45">
        <v>0</v>
      </c>
      <c r="O35" s="24">
        <f>SUM(Tabla1[[#This Row],[july]:[september]])</f>
        <v>11500</v>
      </c>
      <c r="P35" s="24">
        <f>_xlfn.XLOOKUP(Tabla1[[#This Row],[Subcuenta]],[3]Gastos!$B:$B,[3]Gastos!$AZ:$AZ)</f>
        <v>1400</v>
      </c>
      <c r="Q35" s="45">
        <f>_xlfn.XLOOKUP(Tabla1[[#This Row],[Subcuenta]],[3]Gastos!$B:$B,[3]Gastos!$BE:$BE)</f>
        <v>9000</v>
      </c>
      <c r="R35" s="45">
        <f>_xlfn.XLOOKUP(Tabla1[[#This Row],[Subcuenta]],[3]Gastos!$B:$B,[3]Gastos!$BJ:$BJ)</f>
        <v>1600</v>
      </c>
      <c r="S35" s="24">
        <f>SUM(Tabla1[[#This Row],[october]:[december]])</f>
        <v>12000</v>
      </c>
      <c r="T35" s="43">
        <f t="shared" si="0"/>
        <v>207651</v>
      </c>
    </row>
    <row r="36" spans="2:20" x14ac:dyDescent="0.3">
      <c r="B36" s="35" t="s">
        <v>261</v>
      </c>
      <c r="C36" s="23" t="s">
        <v>147</v>
      </c>
      <c r="D36" s="24">
        <f>_xlfn.XLOOKUP(C36,[3]Gastos!$B:$B,[3]Gastos!$G:$G)</f>
        <v>67611</v>
      </c>
      <c r="E36" s="24">
        <f>_xlfn.XLOOKUP(C36,[3]Gastos!$B:$B,[3]Gastos!$L:$L)</f>
        <v>134522</v>
      </c>
      <c r="F36" s="24">
        <f>_xlfn.XLOOKUP(C36,[3]Gastos!$B:$B,[3]Gastos!$Q:$Q)</f>
        <v>58493</v>
      </c>
      <c r="G36" s="24">
        <f>SUM(Tabla1[[#This Row],[january]:[march]])</f>
        <v>260626</v>
      </c>
      <c r="H36" s="24">
        <f>_xlfn.XLOOKUP(C36,[3]Gastos!$B:$B,[3]Gastos!$V:$V)</f>
        <v>80196</v>
      </c>
      <c r="I36" s="24">
        <f>_xlfn.XLOOKUP(C36,[3]Gastos!$B:$B,[3]Gastos!$AA:$AA)</f>
        <v>80389</v>
      </c>
      <c r="J36" s="24">
        <f>_xlfn.XLOOKUP(C36,[3]Gastos!$B:$B,[3]Gastos!$AF:$AF)</f>
        <v>77680</v>
      </c>
      <c r="K36" s="24">
        <f>SUM(Tabla1[[#This Row],[april]:[june]])</f>
        <v>238265</v>
      </c>
      <c r="L36" s="24">
        <f>_xlfn.XLOOKUP(C36,[3]Gastos!$B:$B,[3]Gastos!$AK:$AK)</f>
        <v>65731</v>
      </c>
      <c r="M36" s="24">
        <f>_xlfn.XLOOKUP(C36,[3]Gastos!$B:$B,[3]Gastos!$AP:$AP)</f>
        <v>43858</v>
      </c>
      <c r="N36" s="24">
        <v>59142</v>
      </c>
      <c r="O36" s="24">
        <f>SUM(Tabla1[[#This Row],[july]:[september]])</f>
        <v>168731</v>
      </c>
      <c r="P36" s="24">
        <f>_xlfn.XLOOKUP(Tabla1[[#This Row],[Subcuenta]],[3]Gastos!$B:$B,[3]Gastos!$AZ:$AZ)</f>
        <v>19836</v>
      </c>
      <c r="Q36" s="24">
        <f>_xlfn.XLOOKUP(Tabla1[[#This Row],[Subcuenta]],[3]Gastos!$B:$B,[3]Gastos!$BE:$BE)</f>
        <v>32687</v>
      </c>
      <c r="R36" s="24">
        <f>_xlfn.XLOOKUP(Tabla1[[#This Row],[Subcuenta]],[3]Gastos!$B:$B,[3]Gastos!$BJ:$BJ)</f>
        <v>45351</v>
      </c>
      <c r="S36" s="24">
        <f>SUM(Tabla1[[#This Row],[october]:[december]])</f>
        <v>97874</v>
      </c>
      <c r="T36" s="43">
        <f t="shared" si="0"/>
        <v>765496</v>
      </c>
    </row>
    <row r="37" spans="2:20" x14ac:dyDescent="0.3">
      <c r="B37" s="35" t="s">
        <v>261</v>
      </c>
      <c r="C37" s="23" t="s">
        <v>148</v>
      </c>
      <c r="D37" s="24">
        <f>_xlfn.XLOOKUP(C37,[3]Gastos!$B:$B,[3]Gastos!$G:$G)</f>
        <v>62407</v>
      </c>
      <c r="E37" s="24">
        <f>_xlfn.XLOOKUP(C37,[3]Gastos!$B:$B,[3]Gastos!$L:$L)</f>
        <v>37192</v>
      </c>
      <c r="F37" s="24">
        <f>_xlfn.XLOOKUP(C37,[3]Gastos!$B:$B,[3]Gastos!$Q:$Q)</f>
        <v>41677</v>
      </c>
      <c r="G37" s="24">
        <f>SUM(Tabla1[[#This Row],[january]:[march]])</f>
        <v>141276</v>
      </c>
      <c r="H37" s="24">
        <f>_xlfn.XLOOKUP(C37,[3]Gastos!$B:$B,[3]Gastos!$V:$V)</f>
        <v>43316</v>
      </c>
      <c r="I37" s="24">
        <f>_xlfn.XLOOKUP(C37,[3]Gastos!$B:$B,[3]Gastos!$AA:$AA)</f>
        <v>52974</v>
      </c>
      <c r="J37" s="24">
        <f>_xlfn.XLOOKUP(C37,[3]Gastos!$B:$B,[3]Gastos!$AF:$AF)</f>
        <v>42934</v>
      </c>
      <c r="K37" s="24">
        <f>SUM(Tabla1[[#This Row],[april]:[june]])</f>
        <v>139224</v>
      </c>
      <c r="L37" s="24">
        <f>_xlfn.XLOOKUP(C37,[3]Gastos!$B:$B,[3]Gastos!$AK:$AK)</f>
        <v>65649</v>
      </c>
      <c r="M37" s="45">
        <f>_xlfn.XLOOKUP(C37,[3]Gastos!$B:$B,[3]Gastos!$AP:$AP)</f>
        <v>0</v>
      </c>
      <c r="N37" s="45">
        <v>9290</v>
      </c>
      <c r="O37" s="24">
        <f>SUM(Tabla1[[#This Row],[july]:[september]])</f>
        <v>74939</v>
      </c>
      <c r="P37" s="24">
        <f>_xlfn.XLOOKUP(Tabla1[[#This Row],[Subcuenta]],[3]Gastos!$B:$B,[3]Gastos!$AZ:$AZ)</f>
        <v>3450</v>
      </c>
      <c r="Q37" s="45">
        <f>_xlfn.XLOOKUP(Tabla1[[#This Row],[Subcuenta]],[3]Gastos!$B:$B,[3]Gastos!$BE:$BE)</f>
        <v>0</v>
      </c>
      <c r="R37" s="45">
        <f>_xlfn.XLOOKUP(Tabla1[[#This Row],[Subcuenta]],[3]Gastos!$B:$B,[3]Gastos!$BJ:$BJ)</f>
        <v>3410</v>
      </c>
      <c r="S37" s="24">
        <f>SUM(Tabla1[[#This Row],[october]:[december]])</f>
        <v>6860</v>
      </c>
      <c r="T37" s="43">
        <f t="shared" si="0"/>
        <v>362299</v>
      </c>
    </row>
    <row r="38" spans="2:20" x14ac:dyDescent="0.3">
      <c r="B38" s="35" t="s">
        <v>261</v>
      </c>
      <c r="C38" s="23" t="s">
        <v>149</v>
      </c>
      <c r="D38" s="24">
        <f>_xlfn.XLOOKUP(C38,[3]Gastos!$B:$B,[3]Gastos!$G:$G)</f>
        <v>0</v>
      </c>
      <c r="E38" s="24">
        <f>_xlfn.XLOOKUP(C38,[3]Gastos!$B:$B,[3]Gastos!$L:$L)</f>
        <v>16800</v>
      </c>
      <c r="F38" s="24">
        <f>_xlfn.XLOOKUP(C38,[3]Gastos!$B:$B,[3]Gastos!$Q:$Q)</f>
        <v>23626</v>
      </c>
      <c r="G38" s="24">
        <f>SUM(Tabla1[[#This Row],[january]:[march]])</f>
        <v>40426</v>
      </c>
      <c r="H38" s="24">
        <f>_xlfn.XLOOKUP(C38,[3]Gastos!$B:$B,[3]Gastos!$V:$V)</f>
        <v>0</v>
      </c>
      <c r="I38" s="24">
        <f>_xlfn.XLOOKUP(C38,[3]Gastos!$B:$B,[3]Gastos!$AA:$AA)</f>
        <v>20800</v>
      </c>
      <c r="J38" s="24">
        <f>_xlfn.XLOOKUP(C38,[3]Gastos!$B:$B,[3]Gastos!$AF:$AF)</f>
        <v>0</v>
      </c>
      <c r="K38" s="24">
        <f>SUM(Tabla1[[#This Row],[april]:[june]])</f>
        <v>20800</v>
      </c>
      <c r="L38" s="24">
        <f>_xlfn.XLOOKUP(C38,[3]Gastos!$B:$B,[3]Gastos!$AK:$AK)</f>
        <v>0</v>
      </c>
      <c r="M38" s="24">
        <f>_xlfn.XLOOKUP(C38,[3]Gastos!$B:$B,[3]Gastos!$AP:$AP)</f>
        <v>22400</v>
      </c>
      <c r="N38" s="24">
        <v>16800</v>
      </c>
      <c r="O38" s="24">
        <f>SUM(Tabla1[[#This Row],[july]:[september]])</f>
        <v>39200</v>
      </c>
      <c r="P38" s="24">
        <f>_xlfn.XLOOKUP(Tabla1[[#This Row],[Subcuenta]],[3]Gastos!$B:$B,[3]Gastos!$AZ:$AZ)</f>
        <v>5600</v>
      </c>
      <c r="Q38" s="24">
        <f>_xlfn.XLOOKUP(Tabla1[[#This Row],[Subcuenta]],[3]Gastos!$B:$B,[3]Gastos!$BE:$BE)</f>
        <v>11200</v>
      </c>
      <c r="R38" s="24">
        <f>_xlfn.XLOOKUP(Tabla1[[#This Row],[Subcuenta]],[3]Gastos!$B:$B,[3]Gastos!$BJ:$BJ)</f>
        <v>0</v>
      </c>
      <c r="S38" s="24">
        <f>SUM(Tabla1[[#This Row],[october]:[december]])</f>
        <v>16800</v>
      </c>
      <c r="T38" s="43">
        <f t="shared" si="0"/>
        <v>117226</v>
      </c>
    </row>
    <row r="39" spans="2:20" x14ac:dyDescent="0.3">
      <c r="B39" s="35" t="s">
        <v>261</v>
      </c>
      <c r="C39" s="23" t="s">
        <v>150</v>
      </c>
      <c r="D39" s="24">
        <f>_xlfn.XLOOKUP(C39,[3]Gastos!$B:$B,[3]Gastos!$G:$G)</f>
        <v>2467196</v>
      </c>
      <c r="E39" s="24">
        <f>_xlfn.XLOOKUP(C39,[3]Gastos!$B:$B,[3]Gastos!$L:$L)</f>
        <v>2036650</v>
      </c>
      <c r="F39" s="24">
        <f>_xlfn.XLOOKUP(C39,[3]Gastos!$B:$B,[3]Gastos!$Q:$Q)</f>
        <v>1604125</v>
      </c>
      <c r="G39" s="24">
        <f>SUM(Tabla1[[#This Row],[january]:[march]])</f>
        <v>6107971</v>
      </c>
      <c r="H39" s="24">
        <f>_xlfn.XLOOKUP(C39,[3]Gastos!$B:$B,[3]Gastos!$V:$V)</f>
        <v>1927155</v>
      </c>
      <c r="I39" s="24">
        <f>_xlfn.XLOOKUP(C39,[3]Gastos!$B:$B,[3]Gastos!$AA:$AA)</f>
        <v>2091559</v>
      </c>
      <c r="J39" s="24">
        <f>_xlfn.XLOOKUP(C39,[3]Gastos!$B:$B,[3]Gastos!$AF:$AF)</f>
        <v>2611777</v>
      </c>
      <c r="K39" s="24">
        <f>SUM(Tabla1[[#This Row],[april]:[june]])</f>
        <v>6630491</v>
      </c>
      <c r="L39" s="24">
        <f>_xlfn.XLOOKUP(C39,[3]Gastos!$B:$B,[3]Gastos!$AK:$AK)</f>
        <v>1955798</v>
      </c>
      <c r="M39" s="24">
        <f>_xlfn.XLOOKUP(C39,[3]Gastos!$B:$B,[3]Gastos!$AP:$AP)</f>
        <v>2020668</v>
      </c>
      <c r="N39" s="24">
        <v>2147835</v>
      </c>
      <c r="O39" s="24">
        <f>SUM(Tabla1[[#This Row],[july]:[september]])</f>
        <v>6124301</v>
      </c>
      <c r="P39" s="24">
        <f>_xlfn.XLOOKUP(Tabla1[[#This Row],[Subcuenta]],[3]Gastos!$B:$B,[3]Gastos!$AZ:$AZ)</f>
        <v>2274248</v>
      </c>
      <c r="Q39" s="24">
        <f>_xlfn.XLOOKUP(Tabla1[[#This Row],[Subcuenta]],[3]Gastos!$B:$B,[3]Gastos!$BE:$BE)</f>
        <v>2164142</v>
      </c>
      <c r="R39" s="24">
        <f>_xlfn.XLOOKUP(Tabla1[[#This Row],[Subcuenta]],[3]Gastos!$B:$B,[3]Gastos!$BJ:$BJ)</f>
        <v>2356586</v>
      </c>
      <c r="S39" s="24">
        <f>SUM(Tabla1[[#This Row],[october]:[december]])</f>
        <v>6794976</v>
      </c>
      <c r="T39" s="43">
        <f t="shared" si="0"/>
        <v>25657739</v>
      </c>
    </row>
    <row r="40" spans="2:20" x14ac:dyDescent="0.3">
      <c r="B40" s="35" t="s">
        <v>261</v>
      </c>
      <c r="C40" s="23" t="s">
        <v>151</v>
      </c>
      <c r="D40" s="24">
        <f>_xlfn.XLOOKUP(C40,[3]Gastos!$B:$B,[3]Gastos!$G:$G)</f>
        <v>556000</v>
      </c>
      <c r="E40" s="24">
        <f>_xlfn.XLOOKUP(C40,[3]Gastos!$B:$B,[3]Gastos!$L:$L)</f>
        <v>80000</v>
      </c>
      <c r="F40" s="24">
        <f>_xlfn.XLOOKUP(C40,[3]Gastos!$B:$B,[3]Gastos!$Q:$Q)</f>
        <v>20000</v>
      </c>
      <c r="G40" s="24">
        <f>SUM(Tabla1[[#This Row],[january]:[march]])</f>
        <v>656000</v>
      </c>
      <c r="H40" s="24">
        <f>_xlfn.XLOOKUP(C40,[3]Gastos!$B:$B,[3]Gastos!$V:$V)</f>
        <v>520000</v>
      </c>
      <c r="I40" s="24">
        <f>_xlfn.XLOOKUP(C40,[3]Gastos!$B:$B,[3]Gastos!$AA:$AA)</f>
        <v>30000</v>
      </c>
      <c r="J40" s="24">
        <f>_xlfn.XLOOKUP(C40,[3]Gastos!$B:$B,[3]Gastos!$AF:$AF)</f>
        <v>10000</v>
      </c>
      <c r="K40" s="24">
        <f>SUM(Tabla1[[#This Row],[april]:[june]])</f>
        <v>560000</v>
      </c>
      <c r="L40" s="24">
        <f>_xlfn.XLOOKUP(C40,[3]Gastos!$B:$B,[3]Gastos!$AK:$AK)</f>
        <v>20000</v>
      </c>
      <c r="M40" s="24">
        <f>_xlfn.XLOOKUP(C40,[3]Gastos!$B:$B,[3]Gastos!$AP:$AP)</f>
        <v>417000</v>
      </c>
      <c r="N40" s="24">
        <v>179400</v>
      </c>
      <c r="O40" s="24">
        <f>SUM(Tabla1[[#This Row],[july]:[september]])</f>
        <v>616400</v>
      </c>
      <c r="P40" s="24">
        <f>_xlfn.XLOOKUP(Tabla1[[#This Row],[Subcuenta]],[3]Gastos!$B:$B,[3]Gastos!$AZ:$AZ)</f>
        <v>440000</v>
      </c>
      <c r="Q40" s="24">
        <f>_xlfn.XLOOKUP(Tabla1[[#This Row],[Subcuenta]],[3]Gastos!$B:$B,[3]Gastos!$BE:$BE)</f>
        <v>611000</v>
      </c>
      <c r="R40" s="24">
        <f>_xlfn.XLOOKUP(Tabla1[[#This Row],[Subcuenta]],[3]Gastos!$B:$B,[3]Gastos!$BJ:$BJ)</f>
        <v>1042000</v>
      </c>
      <c r="S40" s="24">
        <f>SUM(Tabla1[[#This Row],[october]:[december]])</f>
        <v>2093000</v>
      </c>
      <c r="T40" s="43">
        <f t="shared" si="0"/>
        <v>3925400</v>
      </c>
    </row>
    <row r="41" spans="2:20" x14ac:dyDescent="0.3">
      <c r="B41" s="35" t="s">
        <v>261</v>
      </c>
      <c r="C41" s="23" t="s">
        <v>152</v>
      </c>
      <c r="D41" s="24">
        <f>_xlfn.XLOOKUP(C41,[3]Gastos!$B:$B,[3]Gastos!$G:$G)</f>
        <v>112000</v>
      </c>
      <c r="E41" s="24">
        <f>_xlfn.XLOOKUP(C41,[3]Gastos!$B:$B,[3]Gastos!$L:$L)</f>
        <v>250000</v>
      </c>
      <c r="F41" s="24">
        <f>_xlfn.XLOOKUP(C41,[3]Gastos!$B:$B,[3]Gastos!$Q:$Q)</f>
        <v>310000</v>
      </c>
      <c r="G41" s="24">
        <f>SUM(Tabla1[[#This Row],[january]:[march]])</f>
        <v>672000</v>
      </c>
      <c r="H41" s="24">
        <f>_xlfn.XLOOKUP(C41,[3]Gastos!$B:$B,[3]Gastos!$V:$V)</f>
        <v>150000</v>
      </c>
      <c r="I41" s="24">
        <f>_xlfn.XLOOKUP(C41,[3]Gastos!$B:$B,[3]Gastos!$AA:$AA)</f>
        <v>100000</v>
      </c>
      <c r="J41" s="24">
        <f>_xlfn.XLOOKUP(C41,[3]Gastos!$B:$B,[3]Gastos!$AF:$AF)</f>
        <v>0</v>
      </c>
      <c r="K41" s="24">
        <f>SUM(Tabla1[[#This Row],[april]:[june]])</f>
        <v>250000</v>
      </c>
      <c r="L41" s="24">
        <f>_xlfn.XLOOKUP(C41,[3]Gastos!$B:$B,[3]Gastos!$AK:$AK)</f>
        <v>0</v>
      </c>
      <c r="M41" s="24">
        <f>_xlfn.XLOOKUP(C41,[3]Gastos!$B:$B,[3]Gastos!$AP:$AP)</f>
        <v>0</v>
      </c>
      <c r="N41" s="24">
        <v>100000</v>
      </c>
      <c r="O41" s="24">
        <f>SUM(Tabla1[[#This Row],[july]:[september]])</f>
        <v>100000</v>
      </c>
      <c r="P41" s="24">
        <f>_xlfn.XLOOKUP(Tabla1[[#This Row],[Subcuenta]],[3]Gastos!$B:$B,[3]Gastos!$AZ:$AZ)</f>
        <v>0</v>
      </c>
      <c r="Q41" s="24">
        <f>_xlfn.XLOOKUP(Tabla1[[#This Row],[Subcuenta]],[3]Gastos!$B:$B,[3]Gastos!$BE:$BE)</f>
        <v>0</v>
      </c>
      <c r="R41" s="24">
        <f>_xlfn.XLOOKUP(Tabla1[[#This Row],[Subcuenta]],[3]Gastos!$B:$B,[3]Gastos!$BJ:$BJ)</f>
        <v>0</v>
      </c>
      <c r="S41" s="24">
        <f>SUM(Tabla1[[#This Row],[october]:[december]])</f>
        <v>0</v>
      </c>
      <c r="T41" s="43">
        <f t="shared" si="0"/>
        <v>1022000</v>
      </c>
    </row>
    <row r="42" spans="2:20" x14ac:dyDescent="0.3">
      <c r="B42" s="35" t="s">
        <v>261</v>
      </c>
      <c r="C42" s="23" t="s">
        <v>153</v>
      </c>
      <c r="D42" s="24">
        <f>_xlfn.XLOOKUP(C42,[3]Gastos!$B:$B,[3]Gastos!$G:$G)</f>
        <v>0</v>
      </c>
      <c r="E42" s="24">
        <f>_xlfn.XLOOKUP(C42,[3]Gastos!$B:$B,[3]Gastos!$L:$L)</f>
        <v>0</v>
      </c>
      <c r="F42" s="24">
        <f>_xlfn.XLOOKUP(C42,[3]Gastos!$B:$B,[3]Gastos!$Q:$Q)</f>
        <v>0</v>
      </c>
      <c r="G42" s="24">
        <f>SUM(Tabla1[[#This Row],[january]:[march]])</f>
        <v>0</v>
      </c>
      <c r="H42" s="24">
        <f>_xlfn.XLOOKUP(C42,[3]Gastos!$B:$B,[3]Gastos!$V:$V)</f>
        <v>0</v>
      </c>
      <c r="I42" s="24">
        <f>_xlfn.XLOOKUP(C42,[3]Gastos!$B:$B,[3]Gastos!$AA:$AA)</f>
        <v>0</v>
      </c>
      <c r="J42" s="24">
        <f>_xlfn.XLOOKUP(C42,[3]Gastos!$B:$B,[3]Gastos!$AF:$AF)</f>
        <v>0</v>
      </c>
      <c r="K42" s="24">
        <f>SUM(Tabla1[[#This Row],[april]:[june]])</f>
        <v>0</v>
      </c>
      <c r="L42" s="24">
        <f>_xlfn.XLOOKUP(C42,[3]Gastos!$B:$B,[3]Gastos!$AK:$AK)</f>
        <v>0</v>
      </c>
      <c r="M42" s="24">
        <f>_xlfn.XLOOKUP(C42,[3]Gastos!$B:$B,[3]Gastos!$AP:$AP)</f>
        <v>0</v>
      </c>
      <c r="N42" s="24"/>
      <c r="O42" s="24">
        <f>SUM(Tabla1[[#This Row],[july]:[september]])</f>
        <v>0</v>
      </c>
      <c r="P42" s="24">
        <f>_xlfn.XLOOKUP(Tabla1[[#This Row],[Subcuenta]],[3]Gastos!$B:$B,[3]Gastos!$AZ:$AZ)</f>
        <v>0</v>
      </c>
      <c r="Q42" s="24">
        <f>_xlfn.XLOOKUP(Tabla1[[#This Row],[Subcuenta]],[3]Gastos!$B:$B,[3]Gastos!$BE:$BE)</f>
        <v>0</v>
      </c>
      <c r="R42" s="24">
        <f>_xlfn.XLOOKUP(Tabla1[[#This Row],[Subcuenta]],[3]Gastos!$B:$B,[3]Gastos!$BJ:$BJ)</f>
        <v>805913</v>
      </c>
      <c r="S42" s="24">
        <f>SUM(Tabla1[[#This Row],[october]:[december]])</f>
        <v>805913</v>
      </c>
      <c r="T42" s="43">
        <f t="shared" si="0"/>
        <v>805913</v>
      </c>
    </row>
    <row r="43" spans="2:20" x14ac:dyDescent="0.3">
      <c r="B43" s="35" t="s">
        <v>261</v>
      </c>
      <c r="C43" s="23" t="s">
        <v>154</v>
      </c>
      <c r="D43" s="24">
        <f>_xlfn.XLOOKUP(C43,[3]Gastos!$B:$B,[3]Gastos!$G:$G)</f>
        <v>0</v>
      </c>
      <c r="E43" s="24">
        <f>_xlfn.XLOOKUP(C43,[3]Gastos!$B:$B,[3]Gastos!$L:$L)</f>
        <v>0</v>
      </c>
      <c r="F43" s="24">
        <f>_xlfn.XLOOKUP(C43,[3]Gastos!$B:$B,[3]Gastos!$Q:$Q)</f>
        <v>0</v>
      </c>
      <c r="G43" s="24">
        <f>SUM(Tabla1[[#This Row],[january]:[march]])</f>
        <v>0</v>
      </c>
      <c r="H43" s="24">
        <f>_xlfn.XLOOKUP(C43,[3]Gastos!$B:$B,[3]Gastos!$V:$V)</f>
        <v>0</v>
      </c>
      <c r="I43" s="24">
        <f>_xlfn.XLOOKUP(C43,[3]Gastos!$B:$B,[3]Gastos!$AA:$AA)</f>
        <v>0</v>
      </c>
      <c r="J43" s="24">
        <f>_xlfn.XLOOKUP(C43,[3]Gastos!$B:$B,[3]Gastos!$AF:$AF)</f>
        <v>0</v>
      </c>
      <c r="K43" s="24">
        <f>SUM(Tabla1[[#This Row],[april]:[june]])</f>
        <v>0</v>
      </c>
      <c r="L43" s="24">
        <f>_xlfn.XLOOKUP(C43,[3]Gastos!$B:$B,[3]Gastos!$AK:$AK)</f>
        <v>1442152</v>
      </c>
      <c r="M43" s="24">
        <f>_xlfn.XLOOKUP(C43,[3]Gastos!$B:$B,[3]Gastos!$AP:$AP)</f>
        <v>0</v>
      </c>
      <c r="N43" s="24"/>
      <c r="O43" s="24">
        <f>SUM(Tabla1[[#This Row],[july]:[september]])</f>
        <v>1442152</v>
      </c>
      <c r="P43" s="24">
        <f>_xlfn.XLOOKUP(Tabla1[[#This Row],[Subcuenta]],[3]Gastos!$B:$B,[3]Gastos!$AZ:$AZ)</f>
        <v>0</v>
      </c>
      <c r="Q43" s="24">
        <f>_xlfn.XLOOKUP(Tabla1[[#This Row],[Subcuenta]],[3]Gastos!$B:$B,[3]Gastos!$BE:$BE)</f>
        <v>0</v>
      </c>
      <c r="R43" s="24">
        <f>_xlfn.XLOOKUP(Tabla1[[#This Row],[Subcuenta]],[3]Gastos!$B:$B,[3]Gastos!$BJ:$BJ)</f>
        <v>0</v>
      </c>
      <c r="S43" s="24">
        <f>SUM(Tabla1[[#This Row],[october]:[december]])</f>
        <v>0</v>
      </c>
      <c r="T43" s="43">
        <f t="shared" si="0"/>
        <v>1442152</v>
      </c>
    </row>
    <row r="44" spans="2:20" x14ac:dyDescent="0.3">
      <c r="B44" s="35" t="s">
        <v>261</v>
      </c>
      <c r="C44" s="23" t="s">
        <v>155</v>
      </c>
      <c r="D44" s="24">
        <f>_xlfn.XLOOKUP(C44,[3]Gastos!$B:$B,[3]Gastos!$G:$G)</f>
        <v>0</v>
      </c>
      <c r="E44" s="24">
        <f>_xlfn.XLOOKUP(C44,[3]Gastos!$B:$B,[3]Gastos!$L:$L)</f>
        <v>321839</v>
      </c>
      <c r="F44" s="24">
        <f>_xlfn.XLOOKUP(C44,[3]Gastos!$B:$B,[3]Gastos!$Q:$Q)</f>
        <v>0</v>
      </c>
      <c r="G44" s="24">
        <f>SUM(Tabla1[[#This Row],[january]:[march]])</f>
        <v>321839</v>
      </c>
      <c r="H44" s="24">
        <f>_xlfn.XLOOKUP(C44,[3]Gastos!$B:$B,[3]Gastos!$V:$V)</f>
        <v>0</v>
      </c>
      <c r="I44" s="24">
        <f>_xlfn.XLOOKUP(C44,[3]Gastos!$B:$B,[3]Gastos!$AA:$AA)</f>
        <v>148000</v>
      </c>
      <c r="J44" s="24">
        <f>_xlfn.XLOOKUP(C44,[3]Gastos!$B:$B,[3]Gastos!$AF:$AF)</f>
        <v>2177234</v>
      </c>
      <c r="K44" s="24">
        <f>SUM(Tabla1[[#This Row],[april]:[june]])</f>
        <v>2325234</v>
      </c>
      <c r="L44" s="24">
        <f>_xlfn.XLOOKUP(C44,[3]Gastos!$B:$B,[3]Gastos!$AK:$AK)</f>
        <v>448277</v>
      </c>
      <c r="M44" s="24">
        <f>_xlfn.XLOOKUP(C44,[3]Gastos!$B:$B,[3]Gastos!$AP:$AP)</f>
        <v>34483</v>
      </c>
      <c r="N44" s="24"/>
      <c r="O44" s="24">
        <f>SUM(Tabla1[[#This Row],[july]:[september]])</f>
        <v>482760</v>
      </c>
      <c r="P44" s="24">
        <f>_xlfn.XLOOKUP(Tabla1[[#This Row],[Subcuenta]],[3]Gastos!$B:$B,[3]Gastos!$AZ:$AZ)</f>
        <v>0</v>
      </c>
      <c r="Q44" s="24">
        <f>_xlfn.XLOOKUP(Tabla1[[#This Row],[Subcuenta]],[3]Gastos!$B:$B,[3]Gastos!$BE:$BE)</f>
        <v>0</v>
      </c>
      <c r="R44" s="24">
        <f>_xlfn.XLOOKUP(Tabla1[[#This Row],[Subcuenta]],[3]Gastos!$B:$B,[3]Gastos!$BJ:$BJ)</f>
        <v>30000</v>
      </c>
      <c r="S44" s="24">
        <f>SUM(Tabla1[[#This Row],[october]:[december]])</f>
        <v>30000</v>
      </c>
      <c r="T44" s="43">
        <f t="shared" si="0"/>
        <v>3159833</v>
      </c>
    </row>
    <row r="45" spans="2:20" x14ac:dyDescent="0.3">
      <c r="B45" s="35" t="s">
        <v>261</v>
      </c>
      <c r="C45" s="23" t="s">
        <v>156</v>
      </c>
      <c r="D45" s="24">
        <f>_xlfn.XLOOKUP(C45,[3]Gastos!$B:$B,[3]Gastos!$G:$G)</f>
        <v>4234500</v>
      </c>
      <c r="E45" s="24">
        <f>_xlfn.XLOOKUP(C45,[3]Gastos!$B:$B,[3]Gastos!$L:$L)</f>
        <v>4261162</v>
      </c>
      <c r="F45" s="24">
        <f>_xlfn.XLOOKUP(C45,[3]Gastos!$B:$B,[3]Gastos!$Q:$Q)</f>
        <v>4269196</v>
      </c>
      <c r="G45" s="24">
        <f>SUM(Tabla1[[#This Row],[january]:[march]])</f>
        <v>12764858</v>
      </c>
      <c r="H45" s="24">
        <f>_xlfn.XLOOKUP(C45,[3]Gastos!$B:$B,[3]Gastos!$V:$V)</f>
        <v>5727899</v>
      </c>
      <c r="I45" s="24">
        <f>_xlfn.XLOOKUP(C45,[3]Gastos!$B:$B,[3]Gastos!$AA:$AA)</f>
        <v>5764149</v>
      </c>
      <c r="J45" s="24">
        <f>_xlfn.XLOOKUP(C45,[3]Gastos!$B:$B,[3]Gastos!$AF:$AF)</f>
        <v>5774125</v>
      </c>
      <c r="K45" s="24">
        <f>SUM(Tabla1[[#This Row],[april]:[june]])</f>
        <v>17266173</v>
      </c>
      <c r="L45" s="24">
        <f>_xlfn.XLOOKUP(C45,[3]Gastos!$B:$B,[3]Gastos!$AK:$AK)</f>
        <v>5769338</v>
      </c>
      <c r="M45" s="24">
        <f>_xlfn.XLOOKUP(C45,[3]Gastos!$B:$B,[3]Gastos!$AP:$AP)</f>
        <v>5780106</v>
      </c>
      <c r="N45" s="24">
        <v>5791026</v>
      </c>
      <c r="O45" s="24">
        <f>SUM(Tabla1[[#This Row],[july]:[september]])</f>
        <v>17340470</v>
      </c>
      <c r="P45" s="24">
        <f>_xlfn.XLOOKUP(Tabla1[[#This Row],[Subcuenta]],[3]Gastos!$B:$B,[3]Gastos!$AZ:$AZ)</f>
        <v>5820780</v>
      </c>
      <c r="Q45" s="24">
        <f>_xlfn.XLOOKUP(Tabla1[[#This Row],[Subcuenta]],[3]Gastos!$B:$B,[3]Gastos!$BE:$BE)</f>
        <v>5849442</v>
      </c>
      <c r="R45" s="24">
        <f>_xlfn.XLOOKUP(Tabla1[[#This Row],[Subcuenta]],[3]Gastos!$B:$B,[3]Gastos!$BJ:$BJ)</f>
        <v>6107326</v>
      </c>
      <c r="S45" s="24">
        <f>SUM(Tabla1[[#This Row],[october]:[december]])</f>
        <v>17777548</v>
      </c>
      <c r="T45" s="43">
        <f t="shared" si="0"/>
        <v>65149049</v>
      </c>
    </row>
    <row r="46" spans="2:20" x14ac:dyDescent="0.3">
      <c r="B46" s="35" t="s">
        <v>261</v>
      </c>
      <c r="C46" s="23" t="s">
        <v>157</v>
      </c>
      <c r="D46" s="24">
        <f>_xlfn.XLOOKUP(C46,[3]Gastos!$B:$B,[3]Gastos!$G:$G)</f>
        <v>0</v>
      </c>
      <c r="E46" s="24">
        <f>_xlfn.XLOOKUP(C46,[3]Gastos!$B:$B,[3]Gastos!$L:$L)</f>
        <v>0</v>
      </c>
      <c r="F46" s="24">
        <f>_xlfn.XLOOKUP(C46,[3]Gastos!$B:$B,[3]Gastos!$Q:$Q)</f>
        <v>0</v>
      </c>
      <c r="G46" s="24">
        <f>SUM(Tabla1[[#This Row],[january]:[march]])</f>
        <v>0</v>
      </c>
      <c r="H46" s="24">
        <f>_xlfn.XLOOKUP(C46,[3]Gastos!$B:$B,[3]Gastos!$V:$V)</f>
        <v>0</v>
      </c>
      <c r="I46" s="24">
        <f>_xlfn.XLOOKUP(C46,[3]Gastos!$B:$B,[3]Gastos!$AA:$AA)</f>
        <v>0</v>
      </c>
      <c r="J46" s="24">
        <f>_xlfn.XLOOKUP(C46,[3]Gastos!$B:$B,[3]Gastos!$AF:$AF)</f>
        <v>0</v>
      </c>
      <c r="K46" s="24">
        <f>SUM(Tabla1[[#This Row],[april]:[june]])</f>
        <v>0</v>
      </c>
      <c r="L46" s="24">
        <f>_xlfn.XLOOKUP(C46,[3]Gastos!$B:$B,[3]Gastos!$AK:$AK)</f>
        <v>2180887</v>
      </c>
      <c r="M46" s="24">
        <f>_xlfn.XLOOKUP(C46,[3]Gastos!$B:$B,[3]Gastos!$AP:$AP)</f>
        <v>0</v>
      </c>
      <c r="N46" s="24"/>
      <c r="O46" s="24">
        <f>SUM(Tabla1[[#This Row],[july]:[september]])</f>
        <v>2180887</v>
      </c>
      <c r="P46" s="24">
        <f>_xlfn.XLOOKUP(Tabla1[[#This Row],[Subcuenta]],[3]Gastos!$B:$B,[3]Gastos!$AZ:$AZ)</f>
        <v>0</v>
      </c>
      <c r="Q46" s="24">
        <f>_xlfn.XLOOKUP(Tabla1[[#This Row],[Subcuenta]],[3]Gastos!$B:$B,[3]Gastos!$BE:$BE)</f>
        <v>0</v>
      </c>
      <c r="R46" s="24">
        <f>_xlfn.XLOOKUP(Tabla1[[#This Row],[Subcuenta]],[3]Gastos!$B:$B,[3]Gastos!$BJ:$BJ)</f>
        <v>0</v>
      </c>
      <c r="S46" s="24">
        <f>SUM(Tabla1[[#This Row],[october]:[december]])</f>
        <v>0</v>
      </c>
      <c r="T46" s="43">
        <f t="shared" si="0"/>
        <v>2180887</v>
      </c>
    </row>
    <row r="47" spans="2:20" x14ac:dyDescent="0.3">
      <c r="B47" s="35" t="s">
        <v>261</v>
      </c>
      <c r="C47" s="23" t="s">
        <v>158</v>
      </c>
      <c r="D47" s="24">
        <f>_xlfn.XLOOKUP(C47,[3]Gastos!$B:$B,[3]Gastos!$G:$G)</f>
        <v>0</v>
      </c>
      <c r="E47" s="24">
        <f>_xlfn.XLOOKUP(C47,[3]Gastos!$B:$B,[3]Gastos!$L:$L)</f>
        <v>0</v>
      </c>
      <c r="F47" s="24">
        <f>_xlfn.XLOOKUP(C47,[3]Gastos!$B:$B,[3]Gastos!$Q:$Q)</f>
        <v>0</v>
      </c>
      <c r="G47" s="24">
        <f>SUM(Tabla1[[#This Row],[january]:[march]])</f>
        <v>0</v>
      </c>
      <c r="H47" s="24">
        <f>_xlfn.XLOOKUP(C47,[3]Gastos!$B:$B,[3]Gastos!$V:$V)</f>
        <v>0</v>
      </c>
      <c r="I47" s="24">
        <f>_xlfn.XLOOKUP(C47,[3]Gastos!$B:$B,[3]Gastos!$AA:$AA)</f>
        <v>0</v>
      </c>
      <c r="J47" s="24">
        <f>_xlfn.XLOOKUP(C47,[3]Gastos!$B:$B,[3]Gastos!$AF:$AF)</f>
        <v>0</v>
      </c>
      <c r="K47" s="24">
        <f>SUM(Tabla1[[#This Row],[april]:[june]])</f>
        <v>0</v>
      </c>
      <c r="L47" s="24">
        <f>_xlfn.XLOOKUP(C47,[3]Gastos!$B:$B,[3]Gastos!$AK:$AK)</f>
        <v>0</v>
      </c>
      <c r="M47" s="24">
        <f>_xlfn.XLOOKUP(C47,[3]Gastos!$B:$B,[3]Gastos!$AP:$AP)</f>
        <v>0</v>
      </c>
      <c r="N47" s="24"/>
      <c r="O47" s="24">
        <f>SUM(Tabla1[[#This Row],[july]:[september]])</f>
        <v>0</v>
      </c>
      <c r="P47" s="24">
        <f>_xlfn.XLOOKUP(Tabla1[[#This Row],[Subcuenta]],[3]Gastos!$B:$B,[3]Gastos!$AZ:$AZ)</f>
        <v>0</v>
      </c>
      <c r="Q47" s="24">
        <f>_xlfn.XLOOKUP(Tabla1[[#This Row],[Subcuenta]],[3]Gastos!$B:$B,[3]Gastos!$BE:$BE)</f>
        <v>0</v>
      </c>
      <c r="R47" s="24">
        <f>_xlfn.XLOOKUP(Tabla1[[#This Row],[Subcuenta]],[3]Gastos!$B:$B,[3]Gastos!$BJ:$BJ)</f>
        <v>0</v>
      </c>
      <c r="S47" s="24">
        <f>SUM(Tabla1[[#This Row],[october]:[december]])</f>
        <v>0</v>
      </c>
      <c r="T47" s="43">
        <f t="shared" si="0"/>
        <v>0</v>
      </c>
    </row>
    <row r="48" spans="2:20" x14ac:dyDescent="0.3">
      <c r="B48" s="35" t="s">
        <v>261</v>
      </c>
      <c r="C48" s="23" t="s">
        <v>159</v>
      </c>
      <c r="D48" s="24">
        <f>_xlfn.XLOOKUP(C48,[3]Gastos!$B:$B,[3]Gastos!$G:$G)</f>
        <v>474000</v>
      </c>
      <c r="E48" s="24">
        <f>_xlfn.XLOOKUP(C48,[3]Gastos!$B:$B,[3]Gastos!$L:$L)</f>
        <v>475172</v>
      </c>
      <c r="F48" s="24">
        <f>_xlfn.XLOOKUP(C48,[3]Gastos!$B:$B,[3]Gastos!$Q:$Q)</f>
        <v>478369</v>
      </c>
      <c r="G48" s="24">
        <f>SUM(Tabla1[[#This Row],[january]:[march]])</f>
        <v>1427541</v>
      </c>
      <c r="H48" s="24">
        <f>_xlfn.XLOOKUP(C48,[3]Gastos!$B:$B,[3]Gastos!$V:$V)</f>
        <v>478754</v>
      </c>
      <c r="I48" s="24">
        <f>_xlfn.XLOOKUP(C48,[3]Gastos!$B:$B,[3]Gastos!$AA:$AA)</f>
        <v>483267</v>
      </c>
      <c r="J48" s="24">
        <f>_xlfn.XLOOKUP(C48,[3]Gastos!$B:$B,[3]Gastos!$AF:$AF)</f>
        <v>485097</v>
      </c>
      <c r="K48" s="24">
        <f>SUM(Tabla1[[#This Row],[april]:[june]])</f>
        <v>1447118</v>
      </c>
      <c r="L48" s="24">
        <f>_xlfn.XLOOKUP(C48,[3]Gastos!$B:$B,[3]Gastos!$AK:$AK)</f>
        <v>336754</v>
      </c>
      <c r="M48" s="45">
        <f>_xlfn.XLOOKUP(C48,[3]Gastos!$B:$B,[3]Gastos!$AP:$AP)</f>
        <v>0</v>
      </c>
      <c r="N48" s="45">
        <v>149295</v>
      </c>
      <c r="O48" s="24">
        <f>SUM(Tabla1[[#This Row],[july]:[september]])</f>
        <v>486049</v>
      </c>
      <c r="P48" s="24">
        <f>_xlfn.XLOOKUP(Tabla1[[#This Row],[Subcuenta]],[3]Gastos!$B:$B,[3]Gastos!$AZ:$AZ)</f>
        <v>2041766</v>
      </c>
      <c r="Q48" s="45">
        <f>_xlfn.XLOOKUP(Tabla1[[#This Row],[Subcuenta]],[3]Gastos!$B:$B,[3]Gastos!$BE:$BE)</f>
        <v>493360</v>
      </c>
      <c r="R48" s="45">
        <f>_xlfn.XLOOKUP(Tabla1[[#This Row],[Subcuenta]],[3]Gastos!$B:$B,[3]Gastos!$BJ:$BJ)</f>
        <v>495304</v>
      </c>
      <c r="S48" s="24">
        <f>SUM(Tabla1[[#This Row],[october]:[december]])</f>
        <v>3030430</v>
      </c>
      <c r="T48" s="43">
        <f t="shared" si="0"/>
        <v>6391138</v>
      </c>
    </row>
    <row r="49" spans="2:21" x14ac:dyDescent="0.3">
      <c r="B49" s="35" t="s">
        <v>261</v>
      </c>
      <c r="C49" s="23" t="s">
        <v>160</v>
      </c>
      <c r="D49" s="24"/>
      <c r="E49" s="24"/>
      <c r="F49" s="24"/>
      <c r="G49" s="24"/>
      <c r="H49" s="24"/>
      <c r="I49" s="24"/>
      <c r="J49" s="24"/>
      <c r="K49" s="24">
        <f>SUM(Tabla1[[#This Row],[april]:[june]])</f>
        <v>0</v>
      </c>
      <c r="L49" s="24"/>
      <c r="M49" s="24">
        <f>_xlfn.XLOOKUP(C49,[3]Gastos!$B:$B,[3]Gastos!$AP:$AP)</f>
        <v>5807394</v>
      </c>
      <c r="N49" s="24"/>
      <c r="O49" s="24">
        <f>SUM(Tabla1[[#This Row],[july]:[september]])</f>
        <v>5807394</v>
      </c>
      <c r="P49" s="24">
        <f>_xlfn.XLOOKUP(Tabla1[[#This Row],[Subcuenta]],[3]Gastos!$B:$B,[3]Gastos!$AZ:$AZ)</f>
        <v>2819419</v>
      </c>
      <c r="Q49" s="24">
        <f>_xlfn.XLOOKUP(Tabla1[[#This Row],[Subcuenta]],[3]Gastos!$B:$B,[3]Gastos!$BE:$BE)</f>
        <v>0</v>
      </c>
      <c r="R49" s="24">
        <f>_xlfn.XLOOKUP(Tabla1[[#This Row],[Subcuenta]],[3]Gastos!$B:$B,[3]Gastos!$BJ:$BJ)</f>
        <v>0</v>
      </c>
      <c r="S49" s="24">
        <f>SUM(Tabla1[[#This Row],[october]:[december]])</f>
        <v>2819419</v>
      </c>
      <c r="T49" s="43">
        <f t="shared" si="0"/>
        <v>8626813</v>
      </c>
    </row>
    <row r="50" spans="2:21" ht="14.5" thickBot="1" x14ac:dyDescent="0.35">
      <c r="B50" s="36" t="s">
        <v>261</v>
      </c>
      <c r="C50" s="37" t="s">
        <v>161</v>
      </c>
      <c r="D50" s="38">
        <f>_xlfn.XLOOKUP(C50,[3]Gastos!$B:$B,[3]Gastos!$G:$G)</f>
        <v>1007199</v>
      </c>
      <c r="E50" s="38">
        <f>_xlfn.XLOOKUP(C50,[3]Gastos!$B:$B,[3]Gastos!$L:$L)</f>
        <v>1777683</v>
      </c>
      <c r="F50" s="38">
        <f>_xlfn.XLOOKUP(C50,[3]Gastos!$B:$B,[3]Gastos!$Q:$Q)</f>
        <v>3108359</v>
      </c>
      <c r="G50" s="38">
        <f>SUM(Tabla1[[#This Row],[january]:[march]])</f>
        <v>5893241</v>
      </c>
      <c r="H50" s="38">
        <f>_xlfn.XLOOKUP(C50,[3]Gastos!$B:$B,[3]Gastos!$V:$V)</f>
        <v>1228574</v>
      </c>
      <c r="I50" s="38">
        <f>_xlfn.XLOOKUP(C50,[3]Gastos!$B:$B,[3]Gastos!$AA:$AA)</f>
        <v>2251134</v>
      </c>
      <c r="J50" s="38">
        <f>_xlfn.XLOOKUP(C50,[3]Gastos!$B:$B,[3]Gastos!$AF:$AF)</f>
        <v>1328718</v>
      </c>
      <c r="K50" s="38">
        <f>SUM(Tabla1[[#This Row],[april]:[june]])</f>
        <v>4808426</v>
      </c>
      <c r="L50" s="38">
        <f>_xlfn.XLOOKUP(C50,[3]Gastos!$B:$B,[3]Gastos!$AK:$AK)</f>
        <v>797337</v>
      </c>
      <c r="M50" s="38">
        <f>_xlfn.XLOOKUP(C50,[3]Gastos!$B:$B,[3]Gastos!$AP:$AP)</f>
        <v>2591441.62</v>
      </c>
      <c r="N50" s="38">
        <v>1909376.3399999999</v>
      </c>
      <c r="O50" s="38">
        <f>SUM(Tabla1[[#This Row],[july]:[september]])</f>
        <v>5298154.96</v>
      </c>
      <c r="P50" s="38">
        <f>_xlfn.XLOOKUP(Tabla1[[#This Row],[Subcuenta]],[3]Gastos!$B:$B,[3]Gastos!$AZ:$AZ)</f>
        <v>1342243</v>
      </c>
      <c r="Q50" s="38">
        <f>_xlfn.XLOOKUP(Tabla1[[#This Row],[Subcuenta]],[3]Gastos!$B:$B,[3]Gastos!$BE:$BE)</f>
        <v>1588924.01</v>
      </c>
      <c r="R50" s="38">
        <f>_xlfn.XLOOKUP(Tabla1[[#This Row],[Subcuenta]],[3]Gastos!$B:$B,[3]Gastos!$BJ:$BJ)</f>
        <v>1164647</v>
      </c>
      <c r="S50" s="38">
        <f>SUM(Tabla1[[#This Row],[october]:[december]])</f>
        <v>4095814.01</v>
      </c>
      <c r="T50" s="43">
        <f t="shared" si="0"/>
        <v>20095635.969999999</v>
      </c>
      <c r="U50" s="64" t="e">
        <f>SUM(#REF!)</f>
        <v>#REF!</v>
      </c>
    </row>
    <row r="51" spans="2:21" x14ac:dyDescent="0.3">
      <c r="B51" s="32" t="s">
        <v>7</v>
      </c>
      <c r="C51" s="33" t="s">
        <v>162</v>
      </c>
      <c r="D51" s="34">
        <f>_xlfn.XLOOKUP(C51,[3]Gastos!$B:$B,[3]Gastos!$G:$G)</f>
        <v>0</v>
      </c>
      <c r="E51" s="34">
        <f>_xlfn.XLOOKUP(C51,[3]Gastos!$B:$B,[3]Gastos!$L:$L)</f>
        <v>0</v>
      </c>
      <c r="F51" s="34">
        <f>_xlfn.XLOOKUP(C51,[3]Gastos!$B:$B,[3]Gastos!$Q:$Q)</f>
        <v>0</v>
      </c>
      <c r="G51" s="34">
        <f>SUM(Tabla1[[#This Row],[january]:[march]])</f>
        <v>0</v>
      </c>
      <c r="H51" s="34">
        <f>_xlfn.XLOOKUP(C51,[3]Gastos!$B:$B,[3]Gastos!$V:$V)</f>
        <v>71400</v>
      </c>
      <c r="I51" s="34">
        <f>_xlfn.XLOOKUP(C51,[3]Gastos!$B:$B,[3]Gastos!$AA:$AA)</f>
        <v>0</v>
      </c>
      <c r="J51" s="34">
        <f>_xlfn.XLOOKUP(C51,[3]Gastos!$B:$B,[3]Gastos!$AF:$AF)</f>
        <v>0</v>
      </c>
      <c r="K51" s="34">
        <f>SUM(Tabla1[[#This Row],[april]:[june]])</f>
        <v>71400</v>
      </c>
      <c r="L51" s="34">
        <f>_xlfn.XLOOKUP(C51,[3]Gastos!$B:$B,[3]Gastos!$AK:$AK)</f>
        <v>0</v>
      </c>
      <c r="M51" s="34">
        <f>_xlfn.XLOOKUP(C51,[3]Gastos!$B:$B,[3]Gastos!$AP:$AP)</f>
        <v>0</v>
      </c>
      <c r="N51" s="34"/>
      <c r="O51" s="34">
        <f>SUM(Tabla1[[#This Row],[july]:[september]])</f>
        <v>0</v>
      </c>
      <c r="P51" s="24">
        <f>_xlfn.XLOOKUP(Tabla1[[#This Row],[Subcuenta]],[3]Gastos!$B:$B,[3]Gastos!$AZ:$AZ)</f>
        <v>0</v>
      </c>
      <c r="Q51" s="34">
        <f>_xlfn.XLOOKUP(Tabla1[[#This Row],[Subcuenta]],[3]Gastos!$B:$B,[3]Gastos!$BE:$BE)</f>
        <v>0</v>
      </c>
      <c r="R51" s="34">
        <f>_xlfn.XLOOKUP(Tabla1[[#This Row],[Subcuenta]],[3]Gastos!$B:$B,[3]Gastos!$BJ:$BJ)</f>
        <v>0</v>
      </c>
      <c r="S51" s="31">
        <f>SUM(Tabla1[[#This Row],[october]:[december]])</f>
        <v>0</v>
      </c>
      <c r="T51" s="43">
        <f t="shared" si="0"/>
        <v>71400</v>
      </c>
    </row>
    <row r="52" spans="2:21" x14ac:dyDescent="0.3">
      <c r="B52" s="35" t="s">
        <v>7</v>
      </c>
      <c r="C52" s="23" t="s">
        <v>163</v>
      </c>
      <c r="D52" s="24">
        <f>_xlfn.XLOOKUP(C52,[3]Gastos!$B:$B,[3]Gastos!$G:$G)</f>
        <v>2405332</v>
      </c>
      <c r="E52" s="24">
        <f>_xlfn.XLOOKUP(C52,[3]Gastos!$B:$B,[3]Gastos!$L:$L)</f>
        <v>323404</v>
      </c>
      <c r="F52" s="24">
        <f>_xlfn.XLOOKUP(C52,[3]Gastos!$B:$B,[3]Gastos!$Q:$Q)</f>
        <v>40143</v>
      </c>
      <c r="G52" s="24">
        <f>SUM(Tabla1[[#This Row],[january]:[march]])</f>
        <v>2768879</v>
      </c>
      <c r="H52" s="24">
        <f>_xlfn.XLOOKUP(C52,[3]Gastos!$B:$B,[3]Gastos!$V:$V)</f>
        <v>29838</v>
      </c>
      <c r="I52" s="24">
        <f>_xlfn.XLOOKUP(C52,[3]Gastos!$B:$B,[3]Gastos!$AA:$AA)</f>
        <v>0</v>
      </c>
      <c r="J52" s="24">
        <f>_xlfn.XLOOKUP(C52,[3]Gastos!$B:$B,[3]Gastos!$AF:$AF)</f>
        <v>0</v>
      </c>
      <c r="K52" s="24">
        <f>SUM(Tabla1[[#This Row],[april]:[june]])</f>
        <v>29838</v>
      </c>
      <c r="L52" s="24">
        <f>_xlfn.XLOOKUP(C52,[3]Gastos!$B:$B,[3]Gastos!$AK:$AK)</f>
        <v>0</v>
      </c>
      <c r="M52" s="24">
        <f>_xlfn.XLOOKUP(C52,[3]Gastos!$B:$B,[3]Gastos!$AP:$AP)</f>
        <v>0</v>
      </c>
      <c r="N52" s="24"/>
      <c r="O52" s="24">
        <f>SUM(Tabla1[[#This Row],[july]:[september]])</f>
        <v>0</v>
      </c>
      <c r="P52" s="24">
        <f>_xlfn.XLOOKUP(Tabla1[[#This Row],[Subcuenta]],[3]Gastos!$B:$B,[3]Gastos!$AZ:$AZ)</f>
        <v>0</v>
      </c>
      <c r="Q52" s="24">
        <f>_xlfn.XLOOKUP(Tabla1[[#This Row],[Subcuenta]],[3]Gastos!$B:$B,[3]Gastos!$BE:$BE)</f>
        <v>0</v>
      </c>
      <c r="R52" s="24">
        <f>_xlfn.XLOOKUP(Tabla1[[#This Row],[Subcuenta]],[3]Gastos!$B:$B,[3]Gastos!$BJ:$BJ)</f>
        <v>0</v>
      </c>
      <c r="S52" s="24">
        <f>SUM(Tabla1[[#This Row],[october]:[december]])</f>
        <v>0</v>
      </c>
      <c r="T52" s="43">
        <f t="shared" si="0"/>
        <v>2798717</v>
      </c>
    </row>
    <row r="53" spans="2:21" x14ac:dyDescent="0.3">
      <c r="B53" s="35" t="s">
        <v>7</v>
      </c>
      <c r="C53" s="23" t="s">
        <v>164</v>
      </c>
      <c r="D53" s="24">
        <f>_xlfn.XLOOKUP(C53,[3]Gastos!$B:$B,[3]Gastos!$G:$G)</f>
        <v>64448</v>
      </c>
      <c r="E53" s="24">
        <f>_xlfn.XLOOKUP(C53,[3]Gastos!$B:$B,[3]Gastos!$L:$L)</f>
        <v>61406</v>
      </c>
      <c r="F53" s="24">
        <f>_xlfn.XLOOKUP(C53,[3]Gastos!$B:$B,[3]Gastos!$Q:$Q)</f>
        <v>50722</v>
      </c>
      <c r="G53" s="24">
        <f>SUM(Tabla1[[#This Row],[january]:[march]])</f>
        <v>176576</v>
      </c>
      <c r="H53" s="24">
        <f>_xlfn.XLOOKUP(C53,[3]Gastos!$B:$B,[3]Gastos!$V:$V)</f>
        <v>50800</v>
      </c>
      <c r="I53" s="24">
        <f>_xlfn.XLOOKUP(C53,[3]Gastos!$B:$B,[3]Gastos!$AA:$AA)</f>
        <v>51196</v>
      </c>
      <c r="J53" s="24">
        <f>_xlfn.XLOOKUP(C53,[3]Gastos!$B:$B,[3]Gastos!$AF:$AF)</f>
        <v>51460</v>
      </c>
      <c r="K53" s="24">
        <f>SUM(Tabla1[[#This Row],[april]:[june]])</f>
        <v>153456</v>
      </c>
      <c r="L53" s="24">
        <f>_xlfn.XLOOKUP(C53,[3]Gastos!$B:$B,[3]Gastos!$AK:$AK)</f>
        <v>0</v>
      </c>
      <c r="M53" s="24">
        <f>_xlfn.XLOOKUP(C53,[3]Gastos!$B:$B,[3]Gastos!$AP:$AP)</f>
        <v>0</v>
      </c>
      <c r="N53" s="24"/>
      <c r="O53" s="24">
        <f>SUM(Tabla1[[#This Row],[july]:[september]])</f>
        <v>0</v>
      </c>
      <c r="P53" s="24">
        <v>51692</v>
      </c>
      <c r="Q53" s="24">
        <v>51974</v>
      </c>
      <c r="R53" s="24">
        <f>_xlfn.XLOOKUP(Tabla1[[#This Row],[Subcuenta]],[3]Gastos!$B:$B,[3]Gastos!$BJ:$BJ)</f>
        <v>52220</v>
      </c>
      <c r="S53" s="24">
        <f>SUM(Tabla1[[#This Row],[october]:[december]])</f>
        <v>155886</v>
      </c>
      <c r="T53" s="43">
        <f t="shared" si="0"/>
        <v>485918</v>
      </c>
    </row>
    <row r="54" spans="2:21" x14ac:dyDescent="0.3">
      <c r="B54" s="35" t="s">
        <v>7</v>
      </c>
      <c r="C54" s="23" t="s">
        <v>165</v>
      </c>
      <c r="D54" s="24">
        <f>_xlfn.XLOOKUP(C54,[3]Gastos!$B:$B,[3]Gastos!$G:$G)</f>
        <v>16790</v>
      </c>
      <c r="E54" s="24">
        <f>_xlfn.XLOOKUP(C54,[3]Gastos!$B:$B,[3]Gastos!$L:$L)</f>
        <v>18470</v>
      </c>
      <c r="F54" s="24">
        <f>_xlfn.XLOOKUP(C54,[3]Gastos!$B:$B,[3]Gastos!$Q:$Q)</f>
        <v>18470</v>
      </c>
      <c r="G54" s="24">
        <f>SUM(Tabla1[[#This Row],[january]:[march]])</f>
        <v>53730</v>
      </c>
      <c r="H54" s="24">
        <f>_xlfn.XLOOKUP(C54,[3]Gastos!$B:$B,[3]Gastos!$V:$V)</f>
        <v>18470</v>
      </c>
      <c r="I54" s="24">
        <f>_xlfn.XLOOKUP(C54,[3]Gastos!$B:$B,[3]Gastos!$AA:$AA)</f>
        <v>9235</v>
      </c>
      <c r="J54" s="24">
        <f>_xlfn.XLOOKUP(C54,[3]Gastos!$B:$B,[3]Gastos!$AF:$AF)</f>
        <v>9235</v>
      </c>
      <c r="K54" s="24">
        <f>SUM(Tabla1[[#This Row],[april]:[june]])</f>
        <v>36940</v>
      </c>
      <c r="L54" s="24">
        <f>_xlfn.XLOOKUP(C54,[3]Gastos!$B:$B,[3]Gastos!$AK:$AK)</f>
        <v>9235</v>
      </c>
      <c r="M54" s="24">
        <f>_xlfn.XLOOKUP(C54,[3]Gastos!$B:$B,[3]Gastos!$AP:$AP)</f>
        <v>9235</v>
      </c>
      <c r="N54" s="24">
        <v>21275</v>
      </c>
      <c r="O54" s="24">
        <f>SUM(Tabla1[[#This Row],[july]:[september]])</f>
        <v>39745</v>
      </c>
      <c r="P54" s="24">
        <f>_xlfn.XLOOKUP(Tabla1[[#This Row],[Subcuenta]],[3]Gastos!$B:$B,[3]Gastos!$AZ:$AZ)</f>
        <v>9235</v>
      </c>
      <c r="Q54" s="24">
        <f>_xlfn.XLOOKUP(Tabla1[[#This Row],[Subcuenta]],[3]Gastos!$B:$B,[3]Gastos!$BE:$BE)</f>
        <v>9235</v>
      </c>
      <c r="R54" s="24">
        <f>_xlfn.XLOOKUP(Tabla1[[#This Row],[Subcuenta]],[3]Gastos!$B:$B,[3]Gastos!$BJ:$BJ)</f>
        <v>9235</v>
      </c>
      <c r="S54" s="24">
        <f>SUM(Tabla1[[#This Row],[october]:[december]])</f>
        <v>27705</v>
      </c>
      <c r="T54" s="43">
        <f t="shared" si="0"/>
        <v>158120</v>
      </c>
    </row>
    <row r="55" spans="2:21" x14ac:dyDescent="0.3">
      <c r="B55" s="35" t="s">
        <v>7</v>
      </c>
      <c r="C55" s="23" t="s">
        <v>166</v>
      </c>
      <c r="D55" s="24">
        <f>_xlfn.XLOOKUP(C55,[3]Gastos!$B:$B,[3]Gastos!$G:$G)</f>
        <v>883344</v>
      </c>
      <c r="E55" s="24">
        <f>_xlfn.XLOOKUP(C55,[3]Gastos!$B:$B,[3]Gastos!$L:$L)</f>
        <v>833217</v>
      </c>
      <c r="F55" s="24">
        <f>_xlfn.XLOOKUP(C55,[3]Gastos!$B:$B,[3]Gastos!$Q:$Q)</f>
        <v>902882</v>
      </c>
      <c r="G55" s="24">
        <f>SUM(Tabla1[[#This Row],[january]:[march]])</f>
        <v>2619443</v>
      </c>
      <c r="H55" s="24">
        <f>_xlfn.XLOOKUP(C55,[3]Gastos!$B:$B,[3]Gastos!$V:$V)</f>
        <v>905178</v>
      </c>
      <c r="I55" s="24">
        <f>_xlfn.XLOOKUP(C55,[3]Gastos!$B:$B,[3]Gastos!$AA:$AA)</f>
        <v>916557</v>
      </c>
      <c r="J55" s="24">
        <f>_xlfn.XLOOKUP(C55,[3]Gastos!$B:$B,[3]Gastos!$AF:$AF)</f>
        <v>921778</v>
      </c>
      <c r="K55" s="24">
        <f>SUM(Tabla1[[#This Row],[april]:[june]])</f>
        <v>2743513</v>
      </c>
      <c r="L55" s="24">
        <f>_xlfn.XLOOKUP(C55,[3]Gastos!$B:$B,[3]Gastos!$AK:$AK)</f>
        <v>976608</v>
      </c>
      <c r="M55" s="24">
        <f>_xlfn.XLOOKUP(C55,[3]Gastos!$B:$B,[3]Gastos!$AP:$AP)</f>
        <v>930857</v>
      </c>
      <c r="N55" s="24">
        <f>784129+125944+20640</f>
        <v>930713</v>
      </c>
      <c r="O55" s="24">
        <f>SUM(Tabla1[[#This Row],[july]:[september]])</f>
        <v>2838178</v>
      </c>
      <c r="P55" s="24">
        <f>_xlfn.XLOOKUP(Tabla1[[#This Row],[Subcuenta]],[3]Gastos!$B:$B,[3]Gastos!$AZ:$AZ)</f>
        <v>935988</v>
      </c>
      <c r="Q55" s="24">
        <f>_xlfn.XLOOKUP(Tabla1[[#This Row],[Subcuenta]],[3]Gastos!$B:$B,[3]Gastos!$BE:$BE)</f>
        <v>942329</v>
      </c>
      <c r="R55" s="24">
        <f>_xlfn.XLOOKUP(Tabla1[[#This Row],[Subcuenta]],[3]Gastos!$B:$B,[3]Gastos!$BJ:$BJ)</f>
        <v>971197</v>
      </c>
      <c r="S55" s="24">
        <f>SUM(Tabla1[[#This Row],[october]:[december]])</f>
        <v>2849514</v>
      </c>
      <c r="T55" s="43">
        <f t="shared" si="0"/>
        <v>11050648</v>
      </c>
    </row>
    <row r="56" spans="2:21" x14ac:dyDescent="0.3">
      <c r="B56" s="35" t="s">
        <v>7</v>
      </c>
      <c r="C56" s="23" t="s">
        <v>167</v>
      </c>
      <c r="D56" s="24">
        <f>_xlfn.XLOOKUP(C56,[3]Gastos!$B:$B,[3]Gastos!$G:$G)</f>
        <v>3885</v>
      </c>
      <c r="E56" s="24">
        <f>_xlfn.XLOOKUP(C56,[3]Gastos!$B:$B,[3]Gastos!$L:$L)</f>
        <v>3492</v>
      </c>
      <c r="F56" s="24">
        <f>_xlfn.XLOOKUP(C56,[3]Gastos!$B:$B,[3]Gastos!$Q:$Q)</f>
        <v>2178</v>
      </c>
      <c r="G56" s="24">
        <f>SUM(Tabla1[[#This Row],[january]:[march]])</f>
        <v>9555</v>
      </c>
      <c r="H56" s="24">
        <f>_xlfn.XLOOKUP(C56,[3]Gastos!$B:$B,[3]Gastos!$V:$V)</f>
        <v>4966</v>
      </c>
      <c r="I56" s="24">
        <f>_xlfn.XLOOKUP(C56,[3]Gastos!$B:$B,[3]Gastos!$AA:$AA)</f>
        <v>7667</v>
      </c>
      <c r="J56" s="24">
        <f>_xlfn.XLOOKUP(C56,[3]Gastos!$B:$B,[3]Gastos!$AF:$AF)</f>
        <v>14083</v>
      </c>
      <c r="K56" s="24">
        <f>SUM(Tabla1[[#This Row],[april]:[june]])</f>
        <v>26716</v>
      </c>
      <c r="L56" s="24">
        <f>_xlfn.XLOOKUP(C56,[3]Gastos!$B:$B,[3]Gastos!$AK:$AK)</f>
        <v>4230</v>
      </c>
      <c r="M56" s="24">
        <f>_xlfn.XLOOKUP(C56,[3]Gastos!$B:$B,[3]Gastos!$AP:$AP)</f>
        <v>10356</v>
      </c>
      <c r="N56" s="24">
        <f>830+4233</f>
        <v>5063</v>
      </c>
      <c r="O56" s="24">
        <f>SUM(Tabla1[[#This Row],[july]:[september]])</f>
        <v>19649</v>
      </c>
      <c r="P56" s="24">
        <f>_xlfn.XLOOKUP(Tabla1[[#This Row],[Subcuenta]],[3]Gastos!$B:$B,[3]Gastos!$AZ:$AZ)</f>
        <v>5115</v>
      </c>
      <c r="Q56" s="24">
        <f>_xlfn.XLOOKUP(Tabla1[[#This Row],[Subcuenta]],[3]Gastos!$B:$B,[3]Gastos!$BE:$BE)</f>
        <v>9604</v>
      </c>
      <c r="R56" s="24">
        <f>_xlfn.XLOOKUP(Tabla1[[#This Row],[Subcuenta]],[3]Gastos!$B:$B,[3]Gastos!$BJ:$BJ)</f>
        <v>4861</v>
      </c>
      <c r="S56" s="24">
        <f>SUM(Tabla1[[#This Row],[october]:[december]])</f>
        <v>19580</v>
      </c>
      <c r="T56" s="43">
        <f t="shared" si="0"/>
        <v>75500</v>
      </c>
    </row>
    <row r="57" spans="2:21" x14ac:dyDescent="0.3">
      <c r="B57" s="35" t="s">
        <v>7</v>
      </c>
      <c r="C57" s="23" t="s">
        <v>168</v>
      </c>
      <c r="D57" s="24">
        <f>_xlfn.XLOOKUP(C57,[3]Gastos!$B:$B,[3]Gastos!$G:$G)</f>
        <v>367675</v>
      </c>
      <c r="E57" s="24">
        <f>_xlfn.XLOOKUP(C57,[3]Gastos!$B:$B,[3]Gastos!$L:$L)</f>
        <v>406360</v>
      </c>
      <c r="F57" s="24">
        <f>_xlfn.XLOOKUP(C57,[3]Gastos!$B:$B,[3]Gastos!$Q:$Q)</f>
        <v>399456</v>
      </c>
      <c r="G57" s="24">
        <f>SUM(Tabla1[[#This Row],[january]:[march]])</f>
        <v>1173491</v>
      </c>
      <c r="H57" s="24">
        <f>_xlfn.XLOOKUP(C57,[3]Gastos!$B:$B,[3]Gastos!$V:$V)</f>
        <v>400259</v>
      </c>
      <c r="I57" s="24">
        <f>_xlfn.XLOOKUP(C57,[3]Gastos!$B:$B,[3]Gastos!$AA:$AA)</f>
        <v>397565</v>
      </c>
      <c r="J57" s="24">
        <f>_xlfn.XLOOKUP(C57,[3]Gastos!$B:$B,[3]Gastos!$AF:$AF)</f>
        <v>397039</v>
      </c>
      <c r="K57" s="24">
        <f>SUM(Tabla1[[#This Row],[april]:[june]])</f>
        <v>1194863</v>
      </c>
      <c r="L57" s="24">
        <f>_xlfn.XLOOKUP(C57,[3]Gastos!$B:$B,[3]Gastos!$AK:$AK)</f>
        <v>391412</v>
      </c>
      <c r="M57" s="24">
        <f>_xlfn.XLOOKUP(C57,[3]Gastos!$B:$B,[3]Gastos!$AP:$AP)</f>
        <v>383571</v>
      </c>
      <c r="N57" s="24">
        <f>305000+79869+2203+22705</f>
        <v>409777</v>
      </c>
      <c r="O57" s="24">
        <f>SUM(Tabla1[[#This Row],[july]:[september]])</f>
        <v>1184760</v>
      </c>
      <c r="P57" s="24">
        <f>_xlfn.XLOOKUP(Tabla1[[#This Row],[Subcuenta]],[3]Gastos!$B:$B,[3]Gastos!$AZ:$AZ)</f>
        <v>409531</v>
      </c>
      <c r="Q57" s="24">
        <f>_xlfn.XLOOKUP(Tabla1[[#This Row],[Subcuenta]],[3]Gastos!$B:$B,[3]Gastos!$BE:$BE)</f>
        <v>425569</v>
      </c>
      <c r="R57" s="24">
        <f>_xlfn.XLOOKUP(Tabla1[[#This Row],[Subcuenta]],[3]Gastos!$B:$B,[3]Gastos!$BJ:$BJ)</f>
        <v>408388</v>
      </c>
      <c r="S57" s="24">
        <f>SUM(Tabla1[[#This Row],[october]:[december]])</f>
        <v>1243488</v>
      </c>
      <c r="T57" s="43">
        <f t="shared" si="0"/>
        <v>4796602</v>
      </c>
    </row>
    <row r="58" spans="2:21" x14ac:dyDescent="0.3">
      <c r="B58" s="35" t="s">
        <v>7</v>
      </c>
      <c r="C58" s="23" t="s">
        <v>379</v>
      </c>
      <c r="D58" s="24">
        <f>_xlfn.XLOOKUP(C58,[3]Gastos!$B:$B,[3]Gastos!$G:$G)</f>
        <v>21595</v>
      </c>
      <c r="E58" s="24">
        <f>_xlfn.XLOOKUP(C58,[3]Gastos!$B:$B,[3]Gastos!$L:$L)</f>
        <v>19980</v>
      </c>
      <c r="F58" s="24">
        <f>_xlfn.XLOOKUP(C58,[3]Gastos!$B:$B,[3]Gastos!$Q:$Q)</f>
        <v>0</v>
      </c>
      <c r="G58" s="24">
        <f>SUM(Tabla1[[#This Row],[january]:[march]])</f>
        <v>41575</v>
      </c>
      <c r="H58" s="24">
        <f>_xlfn.XLOOKUP(C58,[3]Gastos!$B:$B,[3]Gastos!$V:$V)</f>
        <v>17900</v>
      </c>
      <c r="I58" s="24">
        <f>_xlfn.XLOOKUP(C58,[3]Gastos!$B:$B,[3]Gastos!$AA:$AA)</f>
        <v>23639</v>
      </c>
      <c r="J58" s="24">
        <f>_xlfn.XLOOKUP(C58,[3]Gastos!$B:$B,[3]Gastos!$AF:$AF)</f>
        <v>106640</v>
      </c>
      <c r="K58" s="24">
        <f>SUM(Tabla1[[#This Row],[april]:[june]])</f>
        <v>148179</v>
      </c>
      <c r="L58" s="24">
        <f>_xlfn.XLOOKUP(C58,[3]Gastos!$B:$B,[3]Gastos!$AK:$AK)</f>
        <v>0</v>
      </c>
      <c r="M58" s="24">
        <f>_xlfn.XLOOKUP(C58,[3]Gastos!$B:$B,[3]Gastos!$AP:$AP)</f>
        <v>0</v>
      </c>
      <c r="N58" s="24">
        <v>12040</v>
      </c>
      <c r="O58" s="24">
        <f>SUM(Tabla1[[#This Row],[july]:[september]])</f>
        <v>12040</v>
      </c>
      <c r="P58" s="24"/>
      <c r="Q58" s="24">
        <f>_xlfn.XLOOKUP(Tabla1[[#This Row],[Subcuenta]],[3]Gastos!$B:$B,[3]Gastos!$BE:$BE)</f>
        <v>12040</v>
      </c>
      <c r="R58" s="24">
        <f>_xlfn.XLOOKUP(Tabla1[[#This Row],[Subcuenta]],[3]Gastos!$B:$B,[3]Gastos!$BJ:$BJ)</f>
        <v>107357</v>
      </c>
      <c r="S58" s="24">
        <f>SUM(Tabla1[[#This Row],[october]:[december]])</f>
        <v>119397</v>
      </c>
      <c r="T58" s="43">
        <f>SUM(G58,K58,O58,S58)</f>
        <v>321191</v>
      </c>
    </row>
    <row r="59" spans="2:21" x14ac:dyDescent="0.3">
      <c r="B59" s="35" t="s">
        <v>7</v>
      </c>
      <c r="C59" s="23" t="s">
        <v>170</v>
      </c>
      <c r="D59" s="24">
        <f>_xlfn.XLOOKUP(C59,[3]Gastos!$B:$B,[3]Gastos!$G:$G)</f>
        <v>1000000</v>
      </c>
      <c r="E59" s="24">
        <f>_xlfn.XLOOKUP(C59,[3]Gastos!$B:$B,[3]Gastos!$L:$L)</f>
        <v>0</v>
      </c>
      <c r="F59" s="24">
        <f>_xlfn.XLOOKUP(C59,[3]Gastos!$B:$B,[3]Gastos!$Q:$Q)</f>
        <v>0</v>
      </c>
      <c r="G59" s="24">
        <f>SUM(Tabla1[[#This Row],[january]:[march]])</f>
        <v>1000000</v>
      </c>
      <c r="H59" s="24">
        <f>_xlfn.XLOOKUP(C59,[3]Gastos!$B:$B,[3]Gastos!$V:$V)</f>
        <v>0</v>
      </c>
      <c r="I59" s="24">
        <f>_xlfn.XLOOKUP(C59,[3]Gastos!$B:$B,[3]Gastos!$AA:$AA)</f>
        <v>0</v>
      </c>
      <c r="J59" s="24">
        <f>_xlfn.XLOOKUP(C59,[3]Gastos!$B:$B,[3]Gastos!$AF:$AF)</f>
        <v>0</v>
      </c>
      <c r="K59" s="24">
        <f>SUM(Tabla1[[#This Row],[april]:[june]])</f>
        <v>0</v>
      </c>
      <c r="L59" s="24">
        <f>_xlfn.XLOOKUP(C59,[3]Gastos!$B:$B,[3]Gastos!$AK:$AK)</f>
        <v>0</v>
      </c>
      <c r="M59" s="24">
        <f>_xlfn.XLOOKUP(C59,[3]Gastos!$B:$B,[3]Gastos!$AP:$AP)</f>
        <v>0</v>
      </c>
      <c r="N59" s="24"/>
      <c r="O59" s="24">
        <f>SUM(Tabla1[[#This Row],[july]:[september]])</f>
        <v>0</v>
      </c>
      <c r="P59" s="24">
        <f>_xlfn.XLOOKUP(Tabla1[[#This Row],[Subcuenta]],[3]Gastos!$B:$B,[3]Gastos!$AZ:$AZ)</f>
        <v>0</v>
      </c>
      <c r="Q59" s="24">
        <f>_xlfn.XLOOKUP(Tabla1[[#This Row],[Subcuenta]],[3]Gastos!$B:$B,[3]Gastos!$BE:$BE)</f>
        <v>0</v>
      </c>
      <c r="R59" s="24">
        <f>_xlfn.XLOOKUP(Tabla1[[#This Row],[Subcuenta]],[3]Gastos!$B:$B,[3]Gastos!$BJ:$BJ)</f>
        <v>0</v>
      </c>
      <c r="S59" s="24">
        <f>SUM(Tabla1[[#This Row],[october]:[december]])</f>
        <v>0</v>
      </c>
      <c r="T59" s="43">
        <f t="shared" si="0"/>
        <v>1000000</v>
      </c>
    </row>
    <row r="60" spans="2:21" ht="14.5" thickBot="1" x14ac:dyDescent="0.35">
      <c r="B60" s="36" t="s">
        <v>7</v>
      </c>
      <c r="C60" s="37" t="s">
        <v>171</v>
      </c>
      <c r="D60" s="38">
        <f>_xlfn.XLOOKUP(C60,[3]Gastos!$B:$B,[3]Gastos!$G:$G)</f>
        <v>1956016</v>
      </c>
      <c r="E60" s="38">
        <f>_xlfn.XLOOKUP(C60,[3]Gastos!$B:$B,[3]Gastos!$L:$L)</f>
        <v>0</v>
      </c>
      <c r="F60" s="38">
        <f>_xlfn.XLOOKUP(C60,[3]Gastos!$B:$B,[3]Gastos!$Q:$Q)</f>
        <v>0</v>
      </c>
      <c r="G60" s="38">
        <f>SUM(Tabla1[[#This Row],[january]:[march]])</f>
        <v>1956016</v>
      </c>
      <c r="H60" s="38">
        <f>_xlfn.XLOOKUP(C60,[3]Gastos!$B:$B,[3]Gastos!$V:$V)</f>
        <v>0</v>
      </c>
      <c r="I60" s="38">
        <f>_xlfn.XLOOKUP(C60,[3]Gastos!$B:$B,[3]Gastos!$AA:$AA)</f>
        <v>0</v>
      </c>
      <c r="J60" s="38">
        <f>_xlfn.XLOOKUP(C60,[3]Gastos!$B:$B,[3]Gastos!$AF:$AF)</f>
        <v>0</v>
      </c>
      <c r="K60" s="38">
        <f>SUM(Tabla1[[#This Row],[april]:[june]])</f>
        <v>0</v>
      </c>
      <c r="L60" s="38">
        <f>_xlfn.XLOOKUP(C60,[3]Gastos!$B:$B,[3]Gastos!$AK:$AK)</f>
        <v>0</v>
      </c>
      <c r="M60" s="38">
        <f>_xlfn.XLOOKUP(C60,[3]Gastos!$B:$B,[3]Gastos!$AP:$AP)</f>
        <v>0</v>
      </c>
      <c r="N60" s="38"/>
      <c r="O60" s="38">
        <f>SUM(Tabla1[[#This Row],[july]:[september]])</f>
        <v>0</v>
      </c>
      <c r="P60" s="38">
        <f>_xlfn.XLOOKUP(Tabla1[[#This Row],[Subcuenta]],[3]Gastos!$B:$B,[3]Gastos!$AZ:$AZ)</f>
        <v>0</v>
      </c>
      <c r="Q60" s="38">
        <f>_xlfn.XLOOKUP(Tabla1[[#This Row],[Subcuenta]],[3]Gastos!$B:$B,[3]Gastos!$BE:$BE)</f>
        <v>0</v>
      </c>
      <c r="R60" s="38">
        <f>_xlfn.XLOOKUP(Tabla1[[#This Row],[Subcuenta]],[3]Gastos!$B:$B,[3]Gastos!$BJ:$BJ)</f>
        <v>0</v>
      </c>
      <c r="S60" s="38">
        <f>SUM(Tabla1[[#This Row],[october]:[december]])</f>
        <v>0</v>
      </c>
      <c r="T60" s="43">
        <f t="shared" si="0"/>
        <v>1956016</v>
      </c>
      <c r="U60" s="64" t="e">
        <f>SUM(#REF!)</f>
        <v>#REF!</v>
      </c>
    </row>
    <row r="61" spans="2:21" x14ac:dyDescent="0.3">
      <c r="B61" s="32" t="s">
        <v>262</v>
      </c>
      <c r="C61" s="33" t="s">
        <v>174</v>
      </c>
      <c r="D61" s="34">
        <f>_xlfn.XLOOKUP(C61,[3]Gastos!$B:$B,[3]Gastos!$G:$G)</f>
        <v>0</v>
      </c>
      <c r="E61" s="34">
        <f>_xlfn.XLOOKUP(C61,[3]Gastos!$B:$B,[3]Gastos!$L:$L)</f>
        <v>0</v>
      </c>
      <c r="F61" s="34">
        <f>_xlfn.XLOOKUP(C61,[3]Gastos!$B:$B,[3]Gastos!$Q:$Q)</f>
        <v>0</v>
      </c>
      <c r="G61" s="34">
        <f>SUM(Tabla1[[#This Row],[january]:[march]])</f>
        <v>0</v>
      </c>
      <c r="H61" s="34">
        <f>_xlfn.XLOOKUP(C61,[3]Gastos!$B:$B,[3]Gastos!$V:$V)</f>
        <v>0</v>
      </c>
      <c r="I61" s="34">
        <f>_xlfn.XLOOKUP(C61,[3]Gastos!$B:$B,[3]Gastos!$AA:$AA)</f>
        <v>0</v>
      </c>
      <c r="J61" s="34">
        <f>_xlfn.XLOOKUP(C61,[3]Gastos!$B:$B,[3]Gastos!$AF:$AF)</f>
        <v>0</v>
      </c>
      <c r="K61" s="34">
        <f>SUM(Tabla1[[#This Row],[april]:[june]])</f>
        <v>0</v>
      </c>
      <c r="L61" s="34">
        <f>_xlfn.XLOOKUP(C61,[3]Gastos!$B:$B,[3]Gastos!$AK:$AK)</f>
        <v>0</v>
      </c>
      <c r="M61" s="34">
        <f>_xlfn.XLOOKUP(C61,[3]Gastos!$B:$B,[3]Gastos!$AP:$AP)</f>
        <v>0</v>
      </c>
      <c r="N61" s="34"/>
      <c r="O61" s="34">
        <f>SUM(Tabla1[[#This Row],[july]:[september]])</f>
        <v>0</v>
      </c>
      <c r="P61" s="24">
        <f>_xlfn.XLOOKUP(Tabla1[[#This Row],[Subcuenta]],[3]Gastos!$B:$B,[3]Gastos!$AZ:$AZ)</f>
        <v>0</v>
      </c>
      <c r="Q61" s="34">
        <f>_xlfn.XLOOKUP(Tabla1[[#This Row],[Subcuenta]],[3]Gastos!$B:$B,[3]Gastos!$BE:$BE)</f>
        <v>0</v>
      </c>
      <c r="R61" s="34">
        <f>_xlfn.XLOOKUP(Tabla1[[#This Row],[Subcuenta]],[3]Gastos!$B:$B,[3]Gastos!$BJ:$BJ)</f>
        <v>0</v>
      </c>
      <c r="S61" s="31">
        <f>SUM(Tabla1[[#This Row],[october]:[december]])</f>
        <v>0</v>
      </c>
      <c r="T61" s="43">
        <f t="shared" si="0"/>
        <v>0</v>
      </c>
    </row>
    <row r="62" spans="2:21" x14ac:dyDescent="0.3">
      <c r="B62" s="35" t="s">
        <v>262</v>
      </c>
      <c r="C62" s="23" t="s">
        <v>175</v>
      </c>
      <c r="D62" s="24">
        <f>_xlfn.XLOOKUP(C62,[3]Gastos!$B:$B,[3]Gastos!$G:$G)</f>
        <v>0</v>
      </c>
      <c r="E62" s="24">
        <f>_xlfn.XLOOKUP(C62,[3]Gastos!$B:$B,[3]Gastos!$L:$L)</f>
        <v>557138</v>
      </c>
      <c r="F62" s="24">
        <f>_xlfn.XLOOKUP(C62,[3]Gastos!$B:$B,[3]Gastos!$Q:$Q)</f>
        <v>0</v>
      </c>
      <c r="G62" s="24">
        <f>SUM(Tabla1[[#This Row],[january]:[march]])</f>
        <v>557138</v>
      </c>
      <c r="H62" s="24">
        <f>_xlfn.XLOOKUP(C62,[3]Gastos!$B:$B,[3]Gastos!$V:$V)</f>
        <v>2505540</v>
      </c>
      <c r="I62" s="24">
        <f>_xlfn.XLOOKUP(C62,[3]Gastos!$B:$B,[3]Gastos!$AA:$AA)</f>
        <v>557956</v>
      </c>
      <c r="J62" s="24">
        <f>_xlfn.XLOOKUP(C62,[3]Gastos!$B:$B,[3]Gastos!$AF:$AF)</f>
        <v>0</v>
      </c>
      <c r="K62" s="24">
        <f>SUM(Tabla1[[#This Row],[april]:[june]])</f>
        <v>3063496</v>
      </c>
      <c r="L62" s="24">
        <f>_xlfn.XLOOKUP(C62,[3]Gastos!$B:$B,[3]Gastos!$AK:$AK)</f>
        <v>0</v>
      </c>
      <c r="M62" s="24">
        <f>_xlfn.XLOOKUP(C62,[3]Gastos!$B:$B,[3]Gastos!$AP:$AP)</f>
        <v>404759</v>
      </c>
      <c r="N62" s="24">
        <v>977243</v>
      </c>
      <c r="O62" s="24">
        <f>SUM(Tabla1[[#This Row],[july]:[september]])</f>
        <v>1382002</v>
      </c>
      <c r="P62" s="24">
        <f>_xlfn.XLOOKUP(Tabla1[[#This Row],[Subcuenta]],[3]Gastos!$B:$B,[3]Gastos!$AZ:$AZ)</f>
        <v>0</v>
      </c>
      <c r="Q62" s="24">
        <f>_xlfn.XLOOKUP(Tabla1[[#This Row],[Subcuenta]],[3]Gastos!$B:$B,[3]Gastos!$BE:$BE)</f>
        <v>0</v>
      </c>
      <c r="R62" s="24">
        <f>_xlfn.XLOOKUP(Tabla1[[#This Row],[Subcuenta]],[3]Gastos!$B:$B,[3]Gastos!$BJ:$BJ)</f>
        <v>0</v>
      </c>
      <c r="S62" s="24">
        <f>SUM(Tabla1[[#This Row],[october]:[december]])</f>
        <v>0</v>
      </c>
      <c r="T62" s="43">
        <f t="shared" si="0"/>
        <v>5002636</v>
      </c>
    </row>
    <row r="63" spans="2:21" ht="14.5" thickBot="1" x14ac:dyDescent="0.35">
      <c r="B63" s="36" t="s">
        <v>262</v>
      </c>
      <c r="C63" s="37" t="s">
        <v>176</v>
      </c>
      <c r="D63" s="38">
        <f>_xlfn.XLOOKUP(C63,[3]Gastos!$B:$B,[3]Gastos!$G:$G)</f>
        <v>0</v>
      </c>
      <c r="E63" s="38">
        <f>_xlfn.XLOOKUP(C63,[3]Gastos!$B:$B,[3]Gastos!$L:$L)</f>
        <v>0</v>
      </c>
      <c r="F63" s="38">
        <f>_xlfn.XLOOKUP(C63,[3]Gastos!$B:$B,[3]Gastos!$Q:$Q)</f>
        <v>0</v>
      </c>
      <c r="G63" s="38">
        <f>SUM(Tabla1[[#This Row],[january]:[march]])</f>
        <v>0</v>
      </c>
      <c r="H63" s="38">
        <f>_xlfn.XLOOKUP(C63,[3]Gastos!$B:$B,[3]Gastos!$V:$V)</f>
        <v>0</v>
      </c>
      <c r="I63" s="38">
        <f>_xlfn.XLOOKUP(C63,[3]Gastos!$B:$B,[3]Gastos!$AA:$AA)</f>
        <v>785739</v>
      </c>
      <c r="J63" s="38">
        <f>_xlfn.XLOOKUP(C63,[3]Gastos!$B:$B,[3]Gastos!$AF:$AF)</f>
        <v>0</v>
      </c>
      <c r="K63" s="38">
        <f>SUM(Tabla1[[#This Row],[april]:[june]])</f>
        <v>785739</v>
      </c>
      <c r="L63" s="38">
        <f>_xlfn.XLOOKUP(C63,[3]Gastos!$B:$B,[3]Gastos!$AK:$AK)</f>
        <v>0</v>
      </c>
      <c r="M63" s="38">
        <f>_xlfn.XLOOKUP(C63,[3]Gastos!$B:$B,[3]Gastos!$AP:$AP)</f>
        <v>65981</v>
      </c>
      <c r="N63" s="38"/>
      <c r="O63" s="38">
        <f>SUM(Tabla1[[#This Row],[july]:[september]])</f>
        <v>65981</v>
      </c>
      <c r="P63" s="38">
        <f>_xlfn.XLOOKUP(Tabla1[[#This Row],[Subcuenta]],[3]Gastos!$B:$B,[3]Gastos!$AZ:$AZ)</f>
        <v>271431</v>
      </c>
      <c r="Q63" s="38">
        <f>_xlfn.XLOOKUP(Tabla1[[#This Row],[Subcuenta]],[3]Gastos!$B:$B,[3]Gastos!$BE:$BE)</f>
        <v>277171</v>
      </c>
      <c r="R63" s="38">
        <f>_xlfn.XLOOKUP(Tabla1[[#This Row],[Subcuenta]],[3]Gastos!$B:$B,[3]Gastos!$BJ:$BJ)</f>
        <v>0</v>
      </c>
      <c r="S63" s="38">
        <f>SUM(Tabla1[[#This Row],[october]:[december]])</f>
        <v>548602</v>
      </c>
      <c r="T63" s="43">
        <f t="shared" si="0"/>
        <v>1400322</v>
      </c>
      <c r="U63" s="64" t="e">
        <f>SUM(#REF!)</f>
        <v>#REF!</v>
      </c>
    </row>
    <row r="64" spans="2:21" x14ac:dyDescent="0.3">
      <c r="B64" s="32" t="s">
        <v>263</v>
      </c>
      <c r="C64" s="33" t="s">
        <v>267</v>
      </c>
      <c r="D64" s="34">
        <f>_xlfn.XLOOKUP(C64,[3]Gastos!$B:$B,[3]Gastos!$G:$G)</f>
        <v>0</v>
      </c>
      <c r="E64" s="34">
        <f>_xlfn.XLOOKUP(C64,[3]Gastos!$B:$B,[3]Gastos!$L:$L)</f>
        <v>0</v>
      </c>
      <c r="F64" s="34">
        <f>_xlfn.XLOOKUP(C64,[3]Gastos!$B:$B,[3]Gastos!$Q:$Q)</f>
        <v>0</v>
      </c>
      <c r="G64" s="34">
        <f>SUM(Tabla1[[#This Row],[january]:[march]])</f>
        <v>0</v>
      </c>
      <c r="H64" s="34">
        <f>_xlfn.XLOOKUP(C64,[3]Gastos!$B:$B,[3]Gastos!$V:$V)</f>
        <v>0</v>
      </c>
      <c r="I64" s="34">
        <f>_xlfn.XLOOKUP(C64,[3]Gastos!$B:$B,[3]Gastos!$AA:$AA)</f>
        <v>0</v>
      </c>
      <c r="J64" s="34">
        <f>_xlfn.XLOOKUP(C64,[3]Gastos!$B:$B,[3]Gastos!$AF:$AF)</f>
        <v>0</v>
      </c>
      <c r="K64" s="34">
        <f>SUM(Tabla1[[#This Row],[april]:[june]])</f>
        <v>0</v>
      </c>
      <c r="L64" s="34">
        <f>_xlfn.XLOOKUP(C64,[3]Gastos!$B:$B,[3]Gastos!$AK:$AK)</f>
        <v>0</v>
      </c>
      <c r="M64" s="34">
        <f>_xlfn.XLOOKUP(C64,[3]Gastos!$B:$B,[3]Gastos!$AP:$AP)</f>
        <v>0</v>
      </c>
      <c r="N64" s="34"/>
      <c r="O64" s="34">
        <f>SUM(Tabla1[[#This Row],[july]:[september]])</f>
        <v>0</v>
      </c>
      <c r="P64" s="24">
        <f>_xlfn.XLOOKUP(Tabla1[[#This Row],[Subcuenta]],[3]Gastos!$B:$B,[3]Gastos!$AZ:$AZ)</f>
        <v>0</v>
      </c>
      <c r="Q64" s="34">
        <f>_xlfn.XLOOKUP(Tabla1[[#This Row],[Subcuenta]],[3]Gastos!$B:$B,[3]Gastos!$BE:$BE)</f>
        <v>0</v>
      </c>
      <c r="R64" s="34">
        <f>_xlfn.XLOOKUP(Tabla1[[#This Row],[Subcuenta]],[3]Gastos!$B:$B,[3]Gastos!$BJ:$BJ)</f>
        <v>0</v>
      </c>
      <c r="S64" s="31">
        <f>SUM(Tabla1[[#This Row],[october]:[december]])</f>
        <v>0</v>
      </c>
      <c r="T64" s="43">
        <f t="shared" si="0"/>
        <v>0</v>
      </c>
    </row>
    <row r="65" spans="2:21" x14ac:dyDescent="0.3">
      <c r="B65" s="35" t="s">
        <v>263</v>
      </c>
      <c r="C65" s="23" t="s">
        <v>268</v>
      </c>
      <c r="D65" s="24">
        <f>_xlfn.XLOOKUP(C65,[3]Gastos!$B:$B,[3]Gastos!$G:$G)</f>
        <v>0</v>
      </c>
      <c r="E65" s="24">
        <f>_xlfn.XLOOKUP(C65,[3]Gastos!$B:$B,[3]Gastos!$L:$L)</f>
        <v>0</v>
      </c>
      <c r="F65" s="24">
        <f>_xlfn.XLOOKUP(C65,[3]Gastos!$B:$B,[3]Gastos!$Q:$Q)</f>
        <v>0</v>
      </c>
      <c r="G65" s="24">
        <f>SUM(Tabla1[[#This Row],[january]:[march]])</f>
        <v>0</v>
      </c>
      <c r="H65" s="24">
        <f>_xlfn.XLOOKUP(C65,[3]Gastos!$B:$B,[3]Gastos!$V:$V)</f>
        <v>124950</v>
      </c>
      <c r="I65" s="24">
        <f>_xlfn.XLOOKUP(C65,[3]Gastos!$B:$B,[3]Gastos!$AA:$AA)</f>
        <v>0</v>
      </c>
      <c r="J65" s="24">
        <f>_xlfn.XLOOKUP(C65,[3]Gastos!$B:$B,[3]Gastos!$AF:$AF)</f>
        <v>0</v>
      </c>
      <c r="K65" s="24">
        <f>SUM(Tabla1[[#This Row],[april]:[june]])</f>
        <v>124950</v>
      </c>
      <c r="L65" s="24">
        <f>_xlfn.XLOOKUP(C65,[3]Gastos!$B:$B,[3]Gastos!$AK:$AK)</f>
        <v>0</v>
      </c>
      <c r="M65" s="24">
        <f>_xlfn.XLOOKUP(C65,[3]Gastos!$B:$B,[3]Gastos!$AP:$AP)</f>
        <v>404600</v>
      </c>
      <c r="N65" s="24">
        <v>95200</v>
      </c>
      <c r="O65" s="24">
        <f>SUM(Tabla1[[#This Row],[july]:[september]])</f>
        <v>499800</v>
      </c>
      <c r="P65" s="24">
        <f>_xlfn.XLOOKUP(Tabla1[[#This Row],[Subcuenta]],[3]Gastos!$B:$B,[3]Gastos!$AZ:$AZ)</f>
        <v>0</v>
      </c>
      <c r="Q65" s="24">
        <f>_xlfn.XLOOKUP(Tabla1[[#This Row],[Subcuenta]],[3]Gastos!$B:$B,[3]Gastos!$BE:$BE)</f>
        <v>0</v>
      </c>
      <c r="R65" s="24">
        <f>_xlfn.XLOOKUP(Tabla1[[#This Row],[Subcuenta]],[3]Gastos!$B:$B,[3]Gastos!$BJ:$BJ)</f>
        <v>0</v>
      </c>
      <c r="S65" s="24">
        <f>SUM(Tabla1[[#This Row],[october]:[december]])</f>
        <v>0</v>
      </c>
      <c r="T65" s="43">
        <f t="shared" si="0"/>
        <v>624750</v>
      </c>
    </row>
    <row r="66" spans="2:21" x14ac:dyDescent="0.3">
      <c r="B66" s="35" t="s">
        <v>263</v>
      </c>
      <c r="C66" s="23" t="s">
        <v>269</v>
      </c>
      <c r="D66" s="24">
        <f>_xlfn.XLOOKUP(C66,[3]Gastos!$B:$B,[3]Gastos!$G:$G)</f>
        <v>1754301</v>
      </c>
      <c r="E66" s="24">
        <f>_xlfn.XLOOKUP(C66,[3]Gastos!$B:$B,[3]Gastos!$L:$L)</f>
        <v>1652469</v>
      </c>
      <c r="F66" s="24">
        <f>_xlfn.XLOOKUP(C66,[3]Gastos!$B:$B,[3]Gastos!$Q:$Q)</f>
        <v>1813994</v>
      </c>
      <c r="G66" s="24">
        <f>SUM(Tabla1[[#This Row],[january]:[march]])</f>
        <v>5220764</v>
      </c>
      <c r="H66" s="24">
        <f>_xlfn.XLOOKUP(C66,[3]Gastos!$B:$B,[3]Gastos!$V:$V)</f>
        <v>1676574</v>
      </c>
      <c r="I66" s="24">
        <f>_xlfn.XLOOKUP(C66,[3]Gastos!$B:$B,[3]Gastos!$AA:$AA)</f>
        <v>1717382</v>
      </c>
      <c r="J66" s="24">
        <f>_xlfn.XLOOKUP(C66,[3]Gastos!$B:$B,[3]Gastos!$AF:$AF)</f>
        <v>1711419</v>
      </c>
      <c r="K66" s="24">
        <f>SUM(Tabla1[[#This Row],[april]:[june]])</f>
        <v>5105375</v>
      </c>
      <c r="L66" s="24">
        <f>_xlfn.XLOOKUP(C66,[3]Gastos!$B:$B,[3]Gastos!$AK:$AK)</f>
        <v>1709439</v>
      </c>
      <c r="M66" s="24">
        <f>_xlfn.XLOOKUP(C66,[3]Gastos!$B:$B,[3]Gastos!$AP:$AP)</f>
        <v>1478329</v>
      </c>
      <c r="N66" s="24">
        <v>1735716</v>
      </c>
      <c r="O66" s="24">
        <f>SUM(Tabla1[[#This Row],[july]:[september]])</f>
        <v>4923484</v>
      </c>
      <c r="P66" s="24">
        <f>_xlfn.XLOOKUP(Tabla1[[#This Row],[Subcuenta]],[3]Gastos!$B:$B,[3]Gastos!$AZ:$AZ)</f>
        <v>2524551</v>
      </c>
      <c r="Q66" s="24">
        <f>_xlfn.XLOOKUP(Tabla1[[#This Row],[Subcuenta]],[3]Gastos!$B:$B,[3]Gastos!$BE:$BE)</f>
        <v>1676488</v>
      </c>
      <c r="R66" s="24">
        <f>_xlfn.XLOOKUP(Tabla1[[#This Row],[Subcuenta]],[3]Gastos!$B:$B,[3]Gastos!$BJ:$BJ)</f>
        <v>1570052</v>
      </c>
      <c r="S66" s="24">
        <f>SUM(Tabla1[[#This Row],[october]:[december]])</f>
        <v>5771091</v>
      </c>
      <c r="T66" s="43">
        <f t="shared" si="0"/>
        <v>21020714</v>
      </c>
    </row>
    <row r="67" spans="2:21" x14ac:dyDescent="0.3">
      <c r="B67" s="35" t="s">
        <v>263</v>
      </c>
      <c r="C67" s="23" t="s">
        <v>270</v>
      </c>
      <c r="D67" s="24">
        <f>_xlfn.XLOOKUP(C67,[3]Gastos!$B:$B,[3]Gastos!$G:$G)</f>
        <v>131701</v>
      </c>
      <c r="E67" s="24">
        <f>_xlfn.XLOOKUP(C67,[3]Gastos!$B:$B,[3]Gastos!$L:$L)</f>
        <v>127908</v>
      </c>
      <c r="F67" s="24">
        <f>_xlfn.XLOOKUP(C67,[3]Gastos!$B:$B,[3]Gastos!$Q:$Q)</f>
        <v>126280</v>
      </c>
      <c r="G67" s="24">
        <f>SUM(Tabla1[[#This Row],[january]:[march]])</f>
        <v>385889</v>
      </c>
      <c r="H67" s="24">
        <f>_xlfn.XLOOKUP(C67,[3]Gastos!$B:$B,[3]Gastos!$V:$V)</f>
        <v>76818</v>
      </c>
      <c r="I67" s="24">
        <f>_xlfn.XLOOKUP(C67,[3]Gastos!$B:$B,[3]Gastos!$AA:$AA)</f>
        <v>19583</v>
      </c>
      <c r="J67" s="24">
        <f>_xlfn.XLOOKUP(C67,[3]Gastos!$B:$B,[3]Gastos!$AF:$AF)</f>
        <v>0</v>
      </c>
      <c r="K67" s="24">
        <f>SUM(Tabla1[[#This Row],[april]:[june]])</f>
        <v>96401</v>
      </c>
      <c r="L67" s="24">
        <f>_xlfn.XLOOKUP(C67,[3]Gastos!$B:$B,[3]Gastos!$AK:$AK)</f>
        <v>29080</v>
      </c>
      <c r="M67" s="24">
        <f>_xlfn.XLOOKUP(C67,[3]Gastos!$B:$B,[3]Gastos!$AP:$AP)</f>
        <v>0</v>
      </c>
      <c r="N67" s="24"/>
      <c r="O67" s="24">
        <f>SUM(Tabla1[[#This Row],[july]:[september]])</f>
        <v>29080</v>
      </c>
      <c r="P67" s="24">
        <f>_xlfn.XLOOKUP(Tabla1[[#This Row],[Subcuenta]],[3]Gastos!$B:$B,[3]Gastos!$AZ:$AZ)</f>
        <v>0</v>
      </c>
      <c r="Q67" s="24">
        <f>_xlfn.XLOOKUP(Tabla1[[#This Row],[Subcuenta]],[3]Gastos!$B:$B,[3]Gastos!$BE:$BE)</f>
        <v>0</v>
      </c>
      <c r="R67" s="24">
        <f>_xlfn.XLOOKUP(Tabla1[[#This Row],[Subcuenta]],[3]Gastos!$B:$B,[3]Gastos!$BJ:$BJ)</f>
        <v>2525323.4468</v>
      </c>
      <c r="S67" s="24">
        <f>SUM(Tabla1[[#This Row],[october]:[december]])</f>
        <v>2525323.4468</v>
      </c>
      <c r="T67" s="43">
        <f t="shared" si="0"/>
        <v>3036693.4468</v>
      </c>
    </row>
    <row r="68" spans="2:21" x14ac:dyDescent="0.3">
      <c r="B68" s="35" t="s">
        <v>263</v>
      </c>
      <c r="C68" s="23" t="s">
        <v>271</v>
      </c>
      <c r="D68" s="24">
        <f>_xlfn.XLOOKUP(C68,[3]Gastos!$B:$B,[3]Gastos!$G:$G)</f>
        <v>785849</v>
      </c>
      <c r="E68" s="24">
        <f>_xlfn.XLOOKUP(C68,[3]Gastos!$B:$B,[3]Gastos!$L:$L)</f>
        <v>876918</v>
      </c>
      <c r="F68" s="24">
        <f>_xlfn.XLOOKUP(C68,[3]Gastos!$B:$B,[3]Gastos!$Q:$Q)</f>
        <v>876918</v>
      </c>
      <c r="G68" s="24">
        <f>SUM(Tabla1[[#This Row],[january]:[march]])</f>
        <v>2539685</v>
      </c>
      <c r="H68" s="24">
        <f>_xlfn.XLOOKUP(C68,[3]Gastos!$B:$B,[3]Gastos!$V:$V)</f>
        <v>876918</v>
      </c>
      <c r="I68" s="24">
        <f>_xlfn.XLOOKUP(C68,[3]Gastos!$B:$B,[3]Gastos!$AA:$AA)</f>
        <v>814281</v>
      </c>
      <c r="J68" s="24">
        <f>_xlfn.XLOOKUP(C68,[3]Gastos!$B:$B,[3]Gastos!$AF:$AF)</f>
        <v>814281</v>
      </c>
      <c r="K68" s="24">
        <f>SUM(Tabla1[[#This Row],[april]:[june]])</f>
        <v>2505480</v>
      </c>
      <c r="L68" s="24">
        <f>_xlfn.XLOOKUP(C68,[3]Gastos!$B:$B,[3]Gastos!$AK:$AK)</f>
        <v>751644</v>
      </c>
      <c r="M68" s="24">
        <f>_xlfn.XLOOKUP(C68,[3]Gastos!$B:$B,[3]Gastos!$AP:$AP)</f>
        <v>876918</v>
      </c>
      <c r="N68" s="24">
        <v>814281</v>
      </c>
      <c r="O68" s="24">
        <f>SUM(Tabla1[[#This Row],[july]:[september]])</f>
        <v>2442843</v>
      </c>
      <c r="P68" s="24">
        <f>_xlfn.XLOOKUP(Tabla1[[#This Row],[Subcuenta]],[3]Gastos!$B:$B,[3]Gastos!$AZ:$AZ)</f>
        <v>1064829</v>
      </c>
      <c r="Q68" s="24">
        <f>_xlfn.XLOOKUP(Tabla1[[#This Row],[Subcuenta]],[3]Gastos!$B:$B,[3]Gastos!$BE:$BE)</f>
        <v>1127466</v>
      </c>
      <c r="R68" s="24">
        <f>_xlfn.XLOOKUP(Tabla1[[#This Row],[Subcuenta]],[3]Gastos!$B:$B,[3]Gastos!$BJ:$BJ)</f>
        <v>689007</v>
      </c>
      <c r="S68" s="24">
        <f>SUM(Tabla1[[#This Row],[october]:[december]])</f>
        <v>2881302</v>
      </c>
      <c r="T68" s="43">
        <f t="shared" si="0"/>
        <v>10369310</v>
      </c>
    </row>
    <row r="69" spans="2:21" ht="14.5" thickBot="1" x14ac:dyDescent="0.35">
      <c r="B69" s="36" t="s">
        <v>263</v>
      </c>
      <c r="C69" s="37" t="s">
        <v>272</v>
      </c>
      <c r="D69" s="38">
        <f>_xlfn.XLOOKUP(C69,[3]Gastos!$B:$B,[3]Gastos!$G:$G)</f>
        <v>2629900</v>
      </c>
      <c r="E69" s="38">
        <f>_xlfn.XLOOKUP(C69,[3]Gastos!$B:$B,[3]Gastos!$L:$L)</f>
        <v>2629900</v>
      </c>
      <c r="F69" s="38">
        <f>_xlfn.XLOOKUP(C69,[3]Gastos!$B:$B,[3]Gastos!$Q:$Q)</f>
        <v>2832200</v>
      </c>
      <c r="G69" s="38">
        <f>SUM(Tabla1[[#This Row],[january]:[march]])</f>
        <v>8092000</v>
      </c>
      <c r="H69" s="38">
        <f>_xlfn.XLOOKUP(C69,[3]Gastos!$B:$B,[3]Gastos!$V:$V)</f>
        <v>2629900</v>
      </c>
      <c r="I69" s="38">
        <f>_xlfn.XLOOKUP(C69,[3]Gastos!$B:$B,[3]Gastos!$AA:$AA)</f>
        <v>2629900</v>
      </c>
      <c r="J69" s="38">
        <f>_xlfn.XLOOKUP(C69,[3]Gastos!$B:$B,[3]Gastos!$AF:$AF)</f>
        <v>2629900</v>
      </c>
      <c r="K69" s="38">
        <f>SUM(Tabla1[[#This Row],[april]:[june]])</f>
        <v>7889700</v>
      </c>
      <c r="L69" s="38">
        <f>_xlfn.XLOOKUP(C69,[3]Gastos!$B:$B,[3]Gastos!$AK:$AK)</f>
        <v>2629900</v>
      </c>
      <c r="M69" s="38">
        <f>_xlfn.XLOOKUP(C69,[3]Gastos!$B:$B,[3]Gastos!$AP:$AP)</f>
        <v>2665600</v>
      </c>
      <c r="N69" s="38">
        <v>2427600</v>
      </c>
      <c r="O69" s="38">
        <f>SUM(Tabla1[[#This Row],[july]:[september]])</f>
        <v>7723100</v>
      </c>
      <c r="P69" s="38">
        <f>_xlfn.XLOOKUP(Tabla1[[#This Row],[Subcuenta]],[3]Gastos!$B:$B,[3]Gastos!$AZ:$AZ)</f>
        <v>3439100</v>
      </c>
      <c r="Q69" s="38">
        <f>_xlfn.XLOOKUP(Tabla1[[#This Row],[Subcuenta]],[3]Gastos!$B:$B,[3]Gastos!$BE:$BE)</f>
        <v>2225300</v>
      </c>
      <c r="R69" s="38">
        <f>_xlfn.XLOOKUP(Tabla1[[#This Row],[Subcuenta]],[3]Gastos!$B:$B,[3]Gastos!$BJ:$BJ)</f>
        <v>2225300</v>
      </c>
      <c r="S69" s="38">
        <f>SUM(Tabla1[[#This Row],[october]:[december]])</f>
        <v>7889700</v>
      </c>
      <c r="T69" s="43">
        <f t="shared" si="0"/>
        <v>31594500</v>
      </c>
      <c r="U69" s="64" t="e">
        <f>SUM(#REF!)</f>
        <v>#REF!</v>
      </c>
    </row>
    <row r="70" spans="2:21" x14ac:dyDescent="0.3">
      <c r="B70" s="32" t="s">
        <v>264</v>
      </c>
      <c r="C70" s="33" t="s">
        <v>273</v>
      </c>
      <c r="D70" s="34">
        <f>_xlfn.XLOOKUP(C70,[3]Gastos!$B:$B,[3]Gastos!$G:$G)</f>
        <v>202300</v>
      </c>
      <c r="E70" s="34">
        <f>_xlfn.XLOOKUP(C70,[3]Gastos!$B:$B,[3]Gastos!$L:$L)</f>
        <v>0</v>
      </c>
      <c r="F70" s="34">
        <f>_xlfn.XLOOKUP(C70,[3]Gastos!$B:$B,[3]Gastos!$Q:$Q)</f>
        <v>404600</v>
      </c>
      <c r="G70" s="34">
        <f>SUM(Tabla1[[#This Row],[january]:[march]])</f>
        <v>606900</v>
      </c>
      <c r="H70" s="34">
        <f>_xlfn.XLOOKUP(C70,[3]Gastos!$B:$B,[3]Gastos!$V:$V)</f>
        <v>404600</v>
      </c>
      <c r="I70" s="34">
        <f>_xlfn.XLOOKUP(C70,[3]Gastos!$B:$B,[3]Gastos!$AA:$AA)</f>
        <v>202300</v>
      </c>
      <c r="J70" s="34">
        <f>_xlfn.XLOOKUP(C70,[3]Gastos!$B:$B,[3]Gastos!$AF:$AF)</f>
        <v>404600</v>
      </c>
      <c r="K70" s="34">
        <f>SUM(Tabla1[[#This Row],[april]:[june]])</f>
        <v>1011500</v>
      </c>
      <c r="L70" s="34">
        <f>_xlfn.XLOOKUP(C70,[3]Gastos!$B:$B,[3]Gastos!$AK:$AK)</f>
        <v>606900</v>
      </c>
      <c r="M70" s="34">
        <f>_xlfn.XLOOKUP(C70,[3]Gastos!$B:$B,[3]Gastos!$AP:$AP)</f>
        <v>606900</v>
      </c>
      <c r="N70" s="34"/>
      <c r="O70" s="34">
        <f>SUM(Tabla1[[#This Row],[july]:[september]])</f>
        <v>1213800</v>
      </c>
      <c r="P70" s="24">
        <f>_xlfn.XLOOKUP(Tabla1[[#This Row],[Subcuenta]],[3]Gastos!$B:$B,[3]Gastos!$AZ:$AZ)</f>
        <v>404600</v>
      </c>
      <c r="Q70" s="34">
        <f>_xlfn.XLOOKUP(Tabla1[[#This Row],[Subcuenta]],[3]Gastos!$B:$B,[3]Gastos!$BE:$BE)</f>
        <v>404600</v>
      </c>
      <c r="R70" s="34">
        <f>_xlfn.XLOOKUP(Tabla1[[#This Row],[Subcuenta]],[3]Gastos!$B:$B,[3]Gastos!$BJ:$BJ)</f>
        <v>0</v>
      </c>
      <c r="S70" s="31">
        <f>SUM(Tabla1[[#This Row],[october]:[december]])</f>
        <v>809200</v>
      </c>
      <c r="T70" s="43">
        <f t="shared" si="0"/>
        <v>3641400</v>
      </c>
    </row>
    <row r="71" spans="2:21" x14ac:dyDescent="0.3">
      <c r="B71" s="35" t="s">
        <v>264</v>
      </c>
      <c r="C71" s="23" t="s">
        <v>274</v>
      </c>
      <c r="D71" s="24">
        <f>_xlfn.XLOOKUP(C71,[3]Gastos!$B:$B,[3]Gastos!$G:$G)</f>
        <v>0</v>
      </c>
      <c r="E71" s="24">
        <f>_xlfn.XLOOKUP(C71,[3]Gastos!$B:$B,[3]Gastos!$L:$L)</f>
        <v>0</v>
      </c>
      <c r="F71" s="24">
        <f>_xlfn.XLOOKUP(C71,[3]Gastos!$B:$B,[3]Gastos!$Q:$Q)</f>
        <v>0</v>
      </c>
      <c r="G71" s="24">
        <f>SUM(Tabla1[[#This Row],[january]:[march]])</f>
        <v>0</v>
      </c>
      <c r="H71" s="24">
        <f>_xlfn.XLOOKUP(C71,[3]Gastos!$B:$B,[3]Gastos!$V:$V)</f>
        <v>238000</v>
      </c>
      <c r="I71" s="24">
        <f>_xlfn.XLOOKUP(C71,[3]Gastos!$B:$B,[3]Gastos!$AA:$AA)</f>
        <v>0</v>
      </c>
      <c r="J71" s="24">
        <f>_xlfn.XLOOKUP(C71,[3]Gastos!$B:$B,[3]Gastos!$AF:$AF)</f>
        <v>214200</v>
      </c>
      <c r="K71" s="24">
        <f>SUM(Tabla1[[#This Row],[april]:[june]])</f>
        <v>452200</v>
      </c>
      <c r="L71" s="24">
        <f>_xlfn.XLOOKUP(C71,[3]Gastos!$B:$B,[3]Gastos!$AK:$AK)</f>
        <v>0</v>
      </c>
      <c r="M71" s="24">
        <f>_xlfn.XLOOKUP(C71,[3]Gastos!$B:$B,[3]Gastos!$AP:$AP)</f>
        <v>309400</v>
      </c>
      <c r="N71" s="24"/>
      <c r="O71" s="24">
        <f>SUM(Tabla1[[#This Row],[july]:[september]])</f>
        <v>309400</v>
      </c>
      <c r="P71" s="24">
        <f>_xlfn.XLOOKUP(Tabla1[[#This Row],[Subcuenta]],[3]Gastos!$B:$B,[3]Gastos!$AZ:$AZ)</f>
        <v>190400</v>
      </c>
      <c r="Q71" s="24">
        <f>_xlfn.XLOOKUP(Tabla1[[#This Row],[Subcuenta]],[3]Gastos!$B:$B,[3]Gastos!$BE:$BE)</f>
        <v>0</v>
      </c>
      <c r="R71" s="24">
        <f>_xlfn.XLOOKUP(Tabla1[[#This Row],[Subcuenta]],[3]Gastos!$B:$B,[3]Gastos!$BJ:$BJ)</f>
        <v>0</v>
      </c>
      <c r="S71" s="24">
        <f>SUM(Tabla1[[#This Row],[october]:[december]])</f>
        <v>190400</v>
      </c>
      <c r="T71" s="43">
        <f t="shared" ref="T71:T141" si="1">SUM(G71,K71,O71,S71)</f>
        <v>952000</v>
      </c>
    </row>
    <row r="72" spans="2:21" x14ac:dyDescent="0.3">
      <c r="B72" s="35" t="s">
        <v>264</v>
      </c>
      <c r="C72" s="23" t="s">
        <v>275</v>
      </c>
      <c r="D72" s="24">
        <f>_xlfn.XLOOKUP(C72,[3]Gastos!$B:$B,[3]Gastos!$G:$G)</f>
        <v>0</v>
      </c>
      <c r="E72" s="24">
        <f>_xlfn.XLOOKUP(C72,[3]Gastos!$B:$B,[3]Gastos!$L:$L)</f>
        <v>0</v>
      </c>
      <c r="F72" s="24">
        <f>_xlfn.XLOOKUP(C72,[3]Gastos!$B:$B,[3]Gastos!$Q:$Q)</f>
        <v>347796</v>
      </c>
      <c r="G72" s="24">
        <f>SUM(Tabla1[[#This Row],[january]:[march]])</f>
        <v>347796</v>
      </c>
      <c r="H72" s="24">
        <f>_xlfn.XLOOKUP(C72,[3]Gastos!$B:$B,[3]Gastos!$V:$V)</f>
        <v>353067</v>
      </c>
      <c r="I72" s="24">
        <f>_xlfn.XLOOKUP(C72,[3]Gastos!$B:$B,[3]Gastos!$AA:$AA)</f>
        <v>252806</v>
      </c>
      <c r="J72" s="24">
        <f>_xlfn.XLOOKUP(C72,[3]Gastos!$B:$B,[3]Gastos!$AF:$AF)</f>
        <v>491473</v>
      </c>
      <c r="K72" s="24">
        <f>SUM(Tabla1[[#This Row],[april]:[june]])</f>
        <v>1097346</v>
      </c>
      <c r="L72" s="24">
        <f>_xlfn.XLOOKUP(C72,[3]Gastos!$B:$B,[3]Gastos!$AK:$AK)</f>
        <v>622546</v>
      </c>
      <c r="M72" s="24">
        <f>_xlfn.XLOOKUP(C72,[3]Gastos!$B:$B,[3]Gastos!$AP:$AP)</f>
        <v>689477</v>
      </c>
      <c r="N72" s="24">
        <v>766537</v>
      </c>
      <c r="O72" s="24">
        <f>SUM(Tabla1[[#This Row],[july]:[september]])</f>
        <v>2078560</v>
      </c>
      <c r="P72" s="24">
        <f>_xlfn.XLOOKUP(Tabla1[[#This Row],[Subcuenta]],[3]Gastos!$B:$B,[3]Gastos!$AZ:$AZ)</f>
        <v>396295</v>
      </c>
      <c r="Q72" s="24">
        <f>_xlfn.XLOOKUP(Tabla1[[#This Row],[Subcuenta]],[3]Gastos!$B:$B,[3]Gastos!$BE:$BE)</f>
        <v>505501</v>
      </c>
      <c r="R72" s="24">
        <f>_xlfn.XLOOKUP(Tabla1[[#This Row],[Subcuenta]],[3]Gastos!$B:$B,[3]Gastos!$BJ:$BJ)</f>
        <v>0</v>
      </c>
      <c r="S72" s="24">
        <f>SUM(Tabla1[[#This Row],[october]:[december]])</f>
        <v>901796</v>
      </c>
      <c r="T72" s="43">
        <f t="shared" si="1"/>
        <v>4425498</v>
      </c>
    </row>
    <row r="73" spans="2:21" x14ac:dyDescent="0.3">
      <c r="B73" s="35" t="s">
        <v>264</v>
      </c>
      <c r="C73" s="23" t="s">
        <v>276</v>
      </c>
      <c r="D73" s="24">
        <f>_xlfn.XLOOKUP(C73,[3]Gastos!$B:$B,[3]Gastos!$G:$G)</f>
        <v>135599</v>
      </c>
      <c r="E73" s="24">
        <f>_xlfn.XLOOKUP(C73,[3]Gastos!$B:$B,[3]Gastos!$L:$L)</f>
        <v>0</v>
      </c>
      <c r="F73" s="24">
        <f>_xlfn.XLOOKUP(C73,[3]Gastos!$B:$B,[3]Gastos!$Q:$Q)</f>
        <v>0</v>
      </c>
      <c r="G73" s="24">
        <f>SUM(Tabla1[[#This Row],[january]:[march]])</f>
        <v>135599</v>
      </c>
      <c r="H73" s="24">
        <f>_xlfn.XLOOKUP(C73,[3]Gastos!$B:$B,[3]Gastos!$V:$V)</f>
        <v>350399</v>
      </c>
      <c r="I73" s="24">
        <f>_xlfn.XLOOKUP(C73,[3]Gastos!$B:$B,[3]Gastos!$AA:$AA)</f>
        <v>49347</v>
      </c>
      <c r="J73" s="24">
        <f>_xlfn.XLOOKUP(C73,[3]Gastos!$B:$B,[3]Gastos!$AF:$AF)</f>
        <v>362498</v>
      </c>
      <c r="K73" s="24">
        <f>SUM(Tabla1[[#This Row],[april]:[june]])</f>
        <v>762244</v>
      </c>
      <c r="L73" s="24">
        <f>_xlfn.XLOOKUP(C73,[3]Gastos!$B:$B,[3]Gastos!$AK:$AK)</f>
        <v>416556</v>
      </c>
      <c r="M73" s="24">
        <f>_xlfn.XLOOKUP(C73,[3]Gastos!$B:$B,[3]Gastos!$AP:$AP)</f>
        <v>735520</v>
      </c>
      <c r="N73" s="24">
        <v>152120</v>
      </c>
      <c r="O73" s="24">
        <f>SUM(Tabla1[[#This Row],[july]:[september]])</f>
        <v>1304196</v>
      </c>
      <c r="P73" s="24">
        <f>_xlfn.XLOOKUP(Tabla1[[#This Row],[Subcuenta]],[3]Gastos!$B:$B,[3]Gastos!$AZ:$AZ)</f>
        <v>496474</v>
      </c>
      <c r="Q73" s="24">
        <f>_xlfn.XLOOKUP(Tabla1[[#This Row],[Subcuenta]],[3]Gastos!$B:$B,[3]Gastos!$BE:$BE)</f>
        <v>69989</v>
      </c>
      <c r="R73" s="24">
        <f>_xlfn.XLOOKUP(Tabla1[[#This Row],[Subcuenta]],[3]Gastos!$B:$B,[3]Gastos!$BJ:$BJ)</f>
        <v>0</v>
      </c>
      <c r="S73" s="24">
        <f>SUM(Tabla1[[#This Row],[october]:[december]])</f>
        <v>566463</v>
      </c>
      <c r="T73" s="43">
        <f t="shared" si="1"/>
        <v>2768502</v>
      </c>
    </row>
    <row r="74" spans="2:21" x14ac:dyDescent="0.3">
      <c r="B74" s="35" t="s">
        <v>264</v>
      </c>
      <c r="C74" s="23" t="s">
        <v>277</v>
      </c>
      <c r="D74" s="24">
        <f>_xlfn.XLOOKUP(C74,[3]Gastos!$B:$B,[3]Gastos!$G:$G)</f>
        <v>209735</v>
      </c>
      <c r="E74" s="24">
        <f>_xlfn.XLOOKUP(C74,[3]Gastos!$B:$B,[3]Gastos!$L:$L)</f>
        <v>0</v>
      </c>
      <c r="F74" s="24">
        <f>_xlfn.XLOOKUP(C74,[3]Gastos!$B:$B,[3]Gastos!$Q:$Q)</f>
        <v>318372</v>
      </c>
      <c r="G74" s="24">
        <f>SUM(Tabla1[[#This Row],[january]:[march]])</f>
        <v>528107</v>
      </c>
      <c r="H74" s="24">
        <f>_xlfn.XLOOKUP(C74,[3]Gastos!$B:$B,[3]Gastos!$V:$V)</f>
        <v>1974992</v>
      </c>
      <c r="I74" s="24">
        <f>_xlfn.XLOOKUP(C74,[3]Gastos!$B:$B,[3]Gastos!$AA:$AA)</f>
        <v>876511.34550000005</v>
      </c>
      <c r="J74" s="24">
        <f>_xlfn.XLOOKUP(C74,[3]Gastos!$B:$B,[3]Gastos!$AF:$AF)</f>
        <v>1736192</v>
      </c>
      <c r="K74" s="24">
        <f>SUM(Tabla1[[#This Row],[april]:[june]])</f>
        <v>4587695.3454999998</v>
      </c>
      <c r="L74" s="24">
        <f>_xlfn.XLOOKUP(C74,[3]Gastos!$B:$B,[3]Gastos!$AK:$AK)</f>
        <v>677762</v>
      </c>
      <c r="M74" s="24">
        <f>_xlfn.XLOOKUP(C74,[3]Gastos!$B:$B,[3]Gastos!$AP:$AP)</f>
        <v>1845446.7616999999</v>
      </c>
      <c r="N74" s="24"/>
      <c r="O74" s="24">
        <f>SUM(Tabla1[[#This Row],[july]:[september]])</f>
        <v>2523208.7616999997</v>
      </c>
      <c r="P74" s="24">
        <f>_xlfn.XLOOKUP(Tabla1[[#This Row],[Subcuenta]],[3]Gastos!$B:$B,[3]Gastos!$AZ:$AZ)</f>
        <v>2254756</v>
      </c>
      <c r="Q74" s="24">
        <f>_xlfn.XLOOKUP(Tabla1[[#This Row],[Subcuenta]],[3]Gastos!$B:$B,[3]Gastos!$BE:$BE)</f>
        <v>1134795.5429999998</v>
      </c>
      <c r="R74" s="24">
        <f>_xlfn.XLOOKUP(Tabla1[[#This Row],[Subcuenta]],[3]Gastos!$B:$B,[3]Gastos!$BJ:$BJ)</f>
        <v>0</v>
      </c>
      <c r="S74" s="24">
        <f>SUM(Tabla1[[#This Row],[october]:[december]])</f>
        <v>3389551.5429999996</v>
      </c>
      <c r="T74" s="43">
        <f t="shared" si="1"/>
        <v>11028562.650199998</v>
      </c>
    </row>
    <row r="75" spans="2:21" ht="14.5" thickBot="1" x14ac:dyDescent="0.35">
      <c r="B75" s="36" t="s">
        <v>264</v>
      </c>
      <c r="C75" s="37" t="s">
        <v>278</v>
      </c>
      <c r="D75" s="38">
        <f>_xlfn.XLOOKUP(C75,[3]Gastos!$B:$B,[3]Gastos!$G:$G)</f>
        <v>55529</v>
      </c>
      <c r="E75" s="38">
        <f>_xlfn.XLOOKUP(C75,[3]Gastos!$B:$B,[3]Gastos!$L:$L)</f>
        <v>0</v>
      </c>
      <c r="F75" s="38">
        <f>_xlfn.XLOOKUP(C75,[3]Gastos!$B:$B,[3]Gastos!$Q:$Q)</f>
        <v>125274</v>
      </c>
      <c r="G75" s="38">
        <f>SUM(Tabla1[[#This Row],[january]:[march]])</f>
        <v>180803</v>
      </c>
      <c r="H75" s="38">
        <f>_xlfn.XLOOKUP(C75,[3]Gastos!$B:$B,[3]Gastos!$V:$V)</f>
        <v>125274</v>
      </c>
      <c r="I75" s="38">
        <f>_xlfn.XLOOKUP(C75,[3]Gastos!$B:$B,[3]Gastos!$AA:$AA)</f>
        <v>62637</v>
      </c>
      <c r="J75" s="38">
        <f>_xlfn.XLOOKUP(C75,[3]Gastos!$B:$B,[3]Gastos!$AF:$AF)</f>
        <v>125274</v>
      </c>
      <c r="K75" s="38">
        <f>SUM(Tabla1[[#This Row],[april]:[june]])</f>
        <v>313185</v>
      </c>
      <c r="L75" s="38">
        <f>_xlfn.XLOOKUP(C75,[3]Gastos!$B:$B,[3]Gastos!$AK:$AK)</f>
        <v>187911</v>
      </c>
      <c r="M75" s="38">
        <f>_xlfn.XLOOKUP(C75,[3]Gastos!$B:$B,[3]Gastos!$AP:$AP)</f>
        <v>187911</v>
      </c>
      <c r="N75" s="38"/>
      <c r="O75" s="38">
        <f>SUM(Tabla1[[#This Row],[july]:[september]])</f>
        <v>375822</v>
      </c>
      <c r="P75" s="38">
        <f>_xlfn.XLOOKUP(Tabla1[[#This Row],[Subcuenta]],[3]Gastos!$B:$B,[3]Gastos!$AZ:$AZ)</f>
        <v>125274</v>
      </c>
      <c r="Q75" s="38">
        <f>_xlfn.XLOOKUP(Tabla1[[#This Row],[Subcuenta]],[3]Gastos!$B:$B,[3]Gastos!$BE:$BE)</f>
        <v>125274</v>
      </c>
      <c r="R75" s="38">
        <f>_xlfn.XLOOKUP(Tabla1[[#This Row],[Subcuenta]],[3]Gastos!$B:$B,[3]Gastos!$BJ:$BJ)</f>
        <v>0</v>
      </c>
      <c r="S75" s="38">
        <f>SUM(Tabla1[[#This Row],[october]:[december]])</f>
        <v>250548</v>
      </c>
      <c r="T75" s="43">
        <f t="shared" si="1"/>
        <v>1120358</v>
      </c>
      <c r="U75" s="64" t="e">
        <f>SUM(#REF!)</f>
        <v>#REF!</v>
      </c>
    </row>
    <row r="76" spans="2:21" x14ac:dyDescent="0.3">
      <c r="B76" s="32" t="s">
        <v>265</v>
      </c>
      <c r="C76" s="33" t="s">
        <v>177</v>
      </c>
      <c r="D76" s="34">
        <f>_xlfn.XLOOKUP(C76,[3]Gastos!$B:$B,[3]Gastos!$G:$G)</f>
        <v>2105886</v>
      </c>
      <c r="E76" s="34">
        <f>_xlfn.XLOOKUP(C76,[3]Gastos!$B:$B,[3]Gastos!$L:$L)</f>
        <v>256534</v>
      </c>
      <c r="F76" s="34">
        <f>_xlfn.XLOOKUP(C76,[3]Gastos!$B:$B,[3]Gastos!$Q:$Q)</f>
        <v>0</v>
      </c>
      <c r="G76" s="34">
        <f>SUM(Tabla1[[#This Row],[january]:[march]])</f>
        <v>2362420</v>
      </c>
      <c r="H76" s="34">
        <f>_xlfn.XLOOKUP(C76,[3]Gastos!$B:$B,[3]Gastos!$V:$V)</f>
        <v>81633</v>
      </c>
      <c r="I76" s="34">
        <f>_xlfn.XLOOKUP(C76,[3]Gastos!$B:$B,[3]Gastos!$AA:$AA)</f>
        <v>0</v>
      </c>
      <c r="J76" s="34">
        <f>_xlfn.XLOOKUP(C76,[3]Gastos!$B:$B,[3]Gastos!$AF:$AF)</f>
        <v>1556129</v>
      </c>
      <c r="K76" s="34">
        <f>SUM(Tabla1[[#This Row],[april]:[june]])</f>
        <v>1637762</v>
      </c>
      <c r="L76" s="34">
        <f>_xlfn.XLOOKUP(C76,[3]Gastos!$B:$B,[3]Gastos!$AK:$AK)</f>
        <v>0</v>
      </c>
      <c r="M76" s="34">
        <f>_xlfn.XLOOKUP(C76,[3]Gastos!$B:$B,[3]Gastos!$AP:$AP)</f>
        <v>283968</v>
      </c>
      <c r="N76" s="34">
        <f>_xlfn.XLOOKUP(Tabla1[[#This Row],[Subcuenta]],[3]Gastos!$B:$B,[3]Gastos!$AU:$AU)</f>
        <v>701680</v>
      </c>
      <c r="O76" s="34">
        <f>SUM(Tabla1[[#This Row],[july]:[september]])</f>
        <v>985648</v>
      </c>
      <c r="P76" s="24">
        <f>_xlfn.XLOOKUP(Tabla1[[#This Row],[Subcuenta]],[3]Gastos!$B:$B,[3]Gastos!$AZ:$AZ)</f>
        <v>1246648</v>
      </c>
      <c r="Q76" s="34">
        <f>_xlfn.XLOOKUP(Tabla1[[#This Row],[Subcuenta]],[3]Gastos!$B:$B,[3]Gastos!$BE:$BE)</f>
        <v>1481578</v>
      </c>
      <c r="R76" s="34">
        <f>_xlfn.XLOOKUP(Tabla1[[#This Row],[Subcuenta]],[3]Gastos!$B:$B,[3]Gastos!$BJ:$BJ)</f>
        <v>1559117</v>
      </c>
      <c r="S76" s="31">
        <f>SUM(Tabla1[[#This Row],[october]:[december]])</f>
        <v>4287343</v>
      </c>
      <c r="T76" s="43">
        <f t="shared" si="1"/>
        <v>9273173</v>
      </c>
    </row>
    <row r="77" spans="2:21" x14ac:dyDescent="0.3">
      <c r="B77" s="35" t="s">
        <v>265</v>
      </c>
      <c r="C77" s="23" t="s">
        <v>178</v>
      </c>
      <c r="D77" s="24">
        <f>_xlfn.XLOOKUP(C77,[3]Gastos!$B:$B,[3]Gastos!$G:$G)</f>
        <v>0</v>
      </c>
      <c r="E77" s="24">
        <f>_xlfn.XLOOKUP(C77,[3]Gastos!$B:$B,[3]Gastos!$L:$L)</f>
        <v>0</v>
      </c>
      <c r="F77" s="24">
        <f>_xlfn.XLOOKUP(C77,[3]Gastos!$B:$B,[3]Gastos!$Q:$Q)</f>
        <v>0</v>
      </c>
      <c r="G77" s="24">
        <f>SUM(Tabla1[[#This Row],[january]:[march]])</f>
        <v>0</v>
      </c>
      <c r="H77" s="24">
        <f>_xlfn.XLOOKUP(C77,[3]Gastos!$B:$B,[3]Gastos!$V:$V)</f>
        <v>0</v>
      </c>
      <c r="I77" s="24">
        <f>_xlfn.XLOOKUP(C77,[3]Gastos!$B:$B,[3]Gastos!$AA:$AA)</f>
        <v>0</v>
      </c>
      <c r="J77" s="24">
        <f>_xlfn.XLOOKUP(C77,[3]Gastos!$B:$B,[3]Gastos!$AF:$AF)</f>
        <v>239428</v>
      </c>
      <c r="K77" s="24">
        <f>SUM(Tabla1[[#This Row],[april]:[june]])</f>
        <v>239428</v>
      </c>
      <c r="L77" s="24">
        <f>_xlfn.XLOOKUP(C77,[3]Gastos!$B:$B,[3]Gastos!$AK:$AK)</f>
        <v>0</v>
      </c>
      <c r="M77" s="24">
        <f>_xlfn.XLOOKUP(C77,[3]Gastos!$B:$B,[3]Gastos!$AP:$AP)</f>
        <v>0</v>
      </c>
      <c r="N77" s="24">
        <f>_xlfn.XLOOKUP(Tabla1[[#This Row],[Subcuenta]],[3]Gastos!$B:$B,[3]Gastos!$AU:$AU)</f>
        <v>0</v>
      </c>
      <c r="O77" s="24">
        <f>SUM(Tabla1[[#This Row],[july]:[september]])</f>
        <v>0</v>
      </c>
      <c r="P77" s="24">
        <f>_xlfn.XLOOKUP(Tabla1[[#This Row],[Subcuenta]],[3]Gastos!$B:$B,[3]Gastos!$AZ:$AZ)</f>
        <v>0</v>
      </c>
      <c r="Q77" s="24">
        <f>_xlfn.XLOOKUP(Tabla1[[#This Row],[Subcuenta]],[3]Gastos!$B:$B,[3]Gastos!$BE:$BE)</f>
        <v>0</v>
      </c>
      <c r="R77" s="24">
        <f>_xlfn.XLOOKUP(Tabla1[[#This Row],[Subcuenta]],[3]Gastos!$B:$B,[3]Gastos!$BJ:$BJ)</f>
        <v>0</v>
      </c>
      <c r="S77" s="24">
        <f>SUM(Tabla1[[#This Row],[october]:[december]])</f>
        <v>0</v>
      </c>
      <c r="T77" s="43">
        <f t="shared" si="1"/>
        <v>239428</v>
      </c>
    </row>
    <row r="78" spans="2:21" x14ac:dyDescent="0.3">
      <c r="B78" s="35" t="s">
        <v>265</v>
      </c>
      <c r="C78" s="23" t="s">
        <v>179</v>
      </c>
      <c r="D78" s="24">
        <f>_xlfn.XLOOKUP(C78,[3]Gastos!$B:$B,[3]Gastos!$G:$G)</f>
        <v>0</v>
      </c>
      <c r="E78" s="24">
        <f>_xlfn.XLOOKUP(C78,[3]Gastos!$B:$B,[3]Gastos!$L:$L)</f>
        <v>0</v>
      </c>
      <c r="F78" s="24">
        <f>_xlfn.XLOOKUP(C78,[3]Gastos!$B:$B,[3]Gastos!$Q:$Q)</f>
        <v>0</v>
      </c>
      <c r="G78" s="24">
        <f>SUM(Tabla1[[#This Row],[january]:[march]])</f>
        <v>0</v>
      </c>
      <c r="H78" s="24">
        <f>_xlfn.XLOOKUP(C78,[3]Gastos!$B:$B,[3]Gastos!$V:$V)</f>
        <v>0</v>
      </c>
      <c r="I78" s="24">
        <f>_xlfn.XLOOKUP(C78,[3]Gastos!$B:$B,[3]Gastos!$AA:$AA)</f>
        <v>0</v>
      </c>
      <c r="J78" s="24">
        <f>_xlfn.XLOOKUP(C78,[3]Gastos!$B:$B,[3]Gastos!$AF:$AF)</f>
        <v>232050</v>
      </c>
      <c r="K78" s="24">
        <f>SUM(Tabla1[[#This Row],[april]:[june]])</f>
        <v>232050</v>
      </c>
      <c r="L78" s="24">
        <f>_xlfn.XLOOKUP(C78,[3]Gastos!$B:$B,[3]Gastos!$AK:$AK)</f>
        <v>0</v>
      </c>
      <c r="M78" s="24">
        <f>_xlfn.XLOOKUP(C78,[3]Gastos!$B:$B,[3]Gastos!$AP:$AP)</f>
        <v>0</v>
      </c>
      <c r="N78" s="24">
        <f>_xlfn.XLOOKUP(Tabla1[[#This Row],[Subcuenta]],[3]Gastos!$B:$B,[3]Gastos!$AU:$AU)</f>
        <v>0</v>
      </c>
      <c r="O78" s="24">
        <f>SUM(Tabla1[[#This Row],[july]:[september]])</f>
        <v>0</v>
      </c>
      <c r="P78" s="24">
        <f>_xlfn.XLOOKUP(Tabla1[[#This Row],[Subcuenta]],[3]Gastos!$B:$B,[3]Gastos!$AZ:$AZ)</f>
        <v>0</v>
      </c>
      <c r="Q78" s="24">
        <f>_xlfn.XLOOKUP(Tabla1[[#This Row],[Subcuenta]],[3]Gastos!$B:$B,[3]Gastos!$BE:$BE)</f>
        <v>250548</v>
      </c>
      <c r="R78" s="24">
        <f>_xlfn.XLOOKUP(Tabla1[[#This Row],[Subcuenta]],[3]Gastos!$B:$B,[3]Gastos!$BJ:$BJ)</f>
        <v>0</v>
      </c>
      <c r="S78" s="24">
        <f>SUM(Tabla1[[#This Row],[october]:[december]])</f>
        <v>250548</v>
      </c>
      <c r="T78" s="43">
        <f t="shared" si="1"/>
        <v>482598</v>
      </c>
    </row>
    <row r="79" spans="2:21" x14ac:dyDescent="0.3">
      <c r="B79" s="35" t="s">
        <v>265</v>
      </c>
      <c r="C79" s="23" t="s">
        <v>180</v>
      </c>
      <c r="D79" s="24">
        <f>_xlfn.XLOOKUP(C79,[3]Gastos!$B:$B,[3]Gastos!$G:$G)</f>
        <v>0</v>
      </c>
      <c r="E79" s="24">
        <f>_xlfn.XLOOKUP(C79,[3]Gastos!$B:$B,[3]Gastos!$L:$L)</f>
        <v>0</v>
      </c>
      <c r="F79" s="24">
        <f>_xlfn.XLOOKUP(C79,[3]Gastos!$B:$B,[3]Gastos!$Q:$Q)</f>
        <v>0</v>
      </c>
      <c r="G79" s="24">
        <f>SUM(Tabla1[[#This Row],[january]:[march]])</f>
        <v>0</v>
      </c>
      <c r="H79" s="24">
        <f>_xlfn.XLOOKUP(C79,[3]Gastos!$B:$B,[3]Gastos!$V:$V)</f>
        <v>0</v>
      </c>
      <c r="I79" s="24">
        <f>_xlfn.XLOOKUP(C79,[3]Gastos!$B:$B,[3]Gastos!$AA:$AA)</f>
        <v>0</v>
      </c>
      <c r="J79" s="24">
        <f>_xlfn.XLOOKUP(C79,[3]Gastos!$B:$B,[3]Gastos!$AF:$AF)</f>
        <v>606907</v>
      </c>
      <c r="K79" s="24">
        <f>SUM(Tabla1[[#This Row],[april]:[june]])</f>
        <v>606907</v>
      </c>
      <c r="L79" s="24">
        <f>_xlfn.XLOOKUP(C79,[3]Gastos!$B:$B,[3]Gastos!$AK:$AK)</f>
        <v>0</v>
      </c>
      <c r="M79" s="24">
        <f>_xlfn.XLOOKUP(C79,[3]Gastos!$B:$B,[3]Gastos!$AP:$AP)</f>
        <v>0</v>
      </c>
      <c r="N79" s="24">
        <f>_xlfn.XLOOKUP(Tabla1[[#This Row],[Subcuenta]],[3]Gastos!$B:$B,[3]Gastos!$AU:$AU)</f>
        <v>0</v>
      </c>
      <c r="O79" s="24">
        <f>SUM(Tabla1[[#This Row],[july]:[september]])</f>
        <v>0</v>
      </c>
      <c r="P79" s="24">
        <f>_xlfn.XLOOKUP(Tabla1[[#This Row],[Subcuenta]],[3]Gastos!$B:$B,[3]Gastos!$AZ:$AZ)</f>
        <v>0</v>
      </c>
      <c r="Q79" s="24">
        <f>_xlfn.XLOOKUP(Tabla1[[#This Row],[Subcuenta]],[3]Gastos!$B:$B,[3]Gastos!$BE:$BE)</f>
        <v>1741084</v>
      </c>
      <c r="R79" s="24">
        <f>_xlfn.XLOOKUP(Tabla1[[#This Row],[Subcuenta]],[3]Gastos!$B:$B,[3]Gastos!$BJ:$BJ)</f>
        <v>0</v>
      </c>
      <c r="S79" s="24">
        <f>SUM(Tabla1[[#This Row],[october]:[december]])</f>
        <v>1741084</v>
      </c>
      <c r="T79" s="43">
        <f t="shared" si="1"/>
        <v>2347991</v>
      </c>
    </row>
    <row r="80" spans="2:21" x14ac:dyDescent="0.3">
      <c r="B80" s="35" t="s">
        <v>265</v>
      </c>
      <c r="C80" s="23" t="s">
        <v>181</v>
      </c>
      <c r="D80" s="24">
        <f>_xlfn.XLOOKUP(C80,[3]Gastos!$B:$B,[3]Gastos!$G:$G)</f>
        <v>4039479.0136000002</v>
      </c>
      <c r="E80" s="24">
        <f>_xlfn.XLOOKUP(C80,[3]Gastos!$B:$B,[3]Gastos!$L:$L)</f>
        <v>4039704</v>
      </c>
      <c r="F80" s="24">
        <f>_xlfn.XLOOKUP(C80,[3]Gastos!$B:$B,[3]Gastos!$Q:$Q)</f>
        <v>3289505</v>
      </c>
      <c r="G80" s="24">
        <f>SUM(Tabla1[[#This Row],[january]:[march]])</f>
        <v>11368688.013599999</v>
      </c>
      <c r="H80" s="24">
        <f>_xlfn.XLOOKUP(C80,[3]Gastos!$B:$B,[3]Gastos!$V:$V)</f>
        <v>3263589</v>
      </c>
      <c r="I80" s="24">
        <f>_xlfn.XLOOKUP(C80,[3]Gastos!$B:$B,[3]Gastos!$AA:$AA)</f>
        <v>3390065</v>
      </c>
      <c r="J80" s="24">
        <f>_xlfn.XLOOKUP(C80,[3]Gastos!$B:$B,[3]Gastos!$AF:$AF)</f>
        <v>3452660</v>
      </c>
      <c r="K80" s="24">
        <f>SUM(Tabla1[[#This Row],[april]:[june]])</f>
        <v>10106314</v>
      </c>
      <c r="L80" s="24">
        <f>_xlfn.XLOOKUP(C80,[3]Gastos!$B:$B,[3]Gastos!$AK:$AK)</f>
        <v>3440192</v>
      </c>
      <c r="M80" s="24">
        <f>_xlfn.XLOOKUP(C80,[3]Gastos!$B:$B,[3]Gastos!$AP:$AP)</f>
        <v>4261203.760400001</v>
      </c>
      <c r="N80" s="24">
        <f>_xlfn.XLOOKUP(Tabla1[[#This Row],[Subcuenta]],[3]Gastos!$B:$B,[3]Gastos!$AU:$AU)</f>
        <v>6272534.517</v>
      </c>
      <c r="O80" s="24">
        <f>SUM(Tabla1[[#This Row],[july]:[september]])</f>
        <v>13973930.277400002</v>
      </c>
      <c r="P80" s="24">
        <f>_xlfn.XLOOKUP(Tabla1[[#This Row],[Subcuenta]],[3]Gastos!$B:$B,[3]Gastos!$AZ:$AZ)</f>
        <v>6291267.517</v>
      </c>
      <c r="Q80" s="66">
        <f>_xlfn.XLOOKUP(Tabla1[[#This Row],[Subcuenta]],[3]Gastos!$B:$B,[3]Gastos!$BE:$BE)</f>
        <v>6325531.7171999998</v>
      </c>
      <c r="R80" s="66">
        <f>_xlfn.XLOOKUP(Tabla1[[#This Row],[Subcuenta]],[3]Gastos!$B:$B,[3]Gastos!$BJ:$BJ)</f>
        <v>6340726.0404000003</v>
      </c>
      <c r="S80" s="24">
        <f>SUM(Tabla1[[#This Row],[october]:[december]])</f>
        <v>18957525.274599999</v>
      </c>
      <c r="T80" s="43">
        <f t="shared" si="1"/>
        <v>54406457.5656</v>
      </c>
    </row>
    <row r="81" spans="2:20" x14ac:dyDescent="0.3">
      <c r="B81" s="35" t="s">
        <v>265</v>
      </c>
      <c r="C81" s="23" t="s">
        <v>182</v>
      </c>
      <c r="D81" s="24">
        <f>_xlfn.XLOOKUP(C81,[3]Gastos!$B:$B,[3]Gastos!$G:$G)</f>
        <v>58569881</v>
      </c>
      <c r="E81" s="24">
        <f>_xlfn.XLOOKUP(C81,[3]Gastos!$B:$B,[3]Gastos!$L:$L)</f>
        <v>67420824</v>
      </c>
      <c r="F81" s="24">
        <f>_xlfn.XLOOKUP(C81,[3]Gastos!$B:$B,[3]Gastos!$Q:$Q)</f>
        <v>24342789</v>
      </c>
      <c r="G81" s="24">
        <f>SUM(Tabla1[[#This Row],[january]:[march]])</f>
        <v>150333494</v>
      </c>
      <c r="H81" s="24">
        <f>_xlfn.XLOOKUP(C81,[3]Gastos!$B:$B,[3]Gastos!$V:$V)</f>
        <v>47353484</v>
      </c>
      <c r="I81" s="24">
        <f>_xlfn.XLOOKUP(C81,[3]Gastos!$B:$B,[3]Gastos!$AA:$AA)</f>
        <v>38946156</v>
      </c>
      <c r="J81" s="24">
        <f>_xlfn.XLOOKUP(C81,[3]Gastos!$B:$B,[3]Gastos!$AF:$AF)</f>
        <v>12546857</v>
      </c>
      <c r="K81" s="24">
        <f>SUM(Tabla1[[#This Row],[april]:[june]])</f>
        <v>98846497</v>
      </c>
      <c r="L81" s="24">
        <f>_xlfn.XLOOKUP(C81,[3]Gastos!$B:$B,[3]Gastos!$AK:$AK)</f>
        <v>37979581</v>
      </c>
      <c r="M81" s="24">
        <f>_xlfn.XLOOKUP(C81,[3]Gastos!$B:$B,[3]Gastos!$AP:$AP)</f>
        <v>22826698</v>
      </c>
      <c r="N81" s="24">
        <f>_xlfn.XLOOKUP(Tabla1[[#This Row],[Subcuenta]],[3]Gastos!$B:$B,[3]Gastos!$AU:$AU)</f>
        <v>27210785</v>
      </c>
      <c r="O81" s="24">
        <f>SUM(Tabla1[[#This Row],[july]:[september]])</f>
        <v>88017064</v>
      </c>
      <c r="P81" s="24">
        <f>_xlfn.XLOOKUP(Tabla1[[#This Row],[Subcuenta]],[3]Gastos!$B:$B,[3]Gastos!$AZ:$AZ)</f>
        <v>24848543</v>
      </c>
      <c r="Q81" s="24">
        <f>_xlfn.XLOOKUP(Tabla1[[#This Row],[Subcuenta]],[3]Gastos!$B:$B,[3]Gastos!$BE:$BE)</f>
        <v>14223027</v>
      </c>
      <c r="R81" s="24">
        <f>_xlfn.XLOOKUP(Tabla1[[#This Row],[Subcuenta]],[3]Gastos!$B:$B,[3]Gastos!$BJ:$BJ)</f>
        <v>137958420</v>
      </c>
      <c r="S81" s="24">
        <f>SUM(Tabla1[[#This Row],[october]:[december]])</f>
        <v>177029990</v>
      </c>
      <c r="T81" s="43">
        <f t="shared" si="1"/>
        <v>514227045</v>
      </c>
    </row>
    <row r="82" spans="2:20" x14ac:dyDescent="0.3">
      <c r="B82" s="35" t="s">
        <v>265</v>
      </c>
      <c r="C82" s="23" t="s">
        <v>183</v>
      </c>
      <c r="D82" s="24">
        <f>_xlfn.XLOOKUP(C82,[3]Gastos!$B:$B,[3]Gastos!$G:$G)</f>
        <v>18585</v>
      </c>
      <c r="E82" s="24">
        <f>_xlfn.XLOOKUP(C82,[3]Gastos!$B:$B,[3]Gastos!$L:$L)</f>
        <v>22337</v>
      </c>
      <c r="F82" s="24">
        <f>_xlfn.XLOOKUP(C82,[3]Gastos!$B:$B,[3]Gastos!$Q:$Q)</f>
        <v>21832</v>
      </c>
      <c r="G82" s="24">
        <f>SUM(Tabla1[[#This Row],[january]:[march]])</f>
        <v>62754</v>
      </c>
      <c r="H82" s="24">
        <f>_xlfn.XLOOKUP(C82,[3]Gastos!$B:$B,[3]Gastos!$V:$V)</f>
        <v>21884</v>
      </c>
      <c r="I82" s="24">
        <f>_xlfn.XLOOKUP(C82,[3]Gastos!$B:$B,[3]Gastos!$AA:$AA)</f>
        <v>21832</v>
      </c>
      <c r="J82" s="24">
        <f>_xlfn.XLOOKUP(C82,[3]Gastos!$B:$B,[3]Gastos!$AF:$AF)</f>
        <v>22493</v>
      </c>
      <c r="K82" s="24">
        <f>SUM(Tabla1[[#This Row],[april]:[june]])</f>
        <v>66209</v>
      </c>
      <c r="L82" s="24">
        <f>_xlfn.XLOOKUP(C82,[3]Gastos!$B:$B,[3]Gastos!$AK:$AK)</f>
        <v>28361</v>
      </c>
      <c r="M82" s="24">
        <f>_xlfn.XLOOKUP(C82,[3]Gastos!$B:$B,[3]Gastos!$AP:$AP)</f>
        <v>23842</v>
      </c>
      <c r="N82" s="24">
        <f>_xlfn.XLOOKUP(Tabla1[[#This Row],[Subcuenta]],[3]Gastos!$B:$B,[3]Gastos!$AU:$AU)</f>
        <v>22084</v>
      </c>
      <c r="O82" s="24">
        <f>SUM(Tabla1[[#This Row],[july]:[september]])</f>
        <v>74287</v>
      </c>
      <c r="P82" s="24">
        <f>_xlfn.XLOOKUP(Tabla1[[#This Row],[Subcuenta]],[3]Gastos!$B:$B,[3]Gastos!$AZ:$AZ)</f>
        <v>21924</v>
      </c>
      <c r="Q82" s="24">
        <f>_xlfn.XLOOKUP(Tabla1[[#This Row],[Subcuenta]],[3]Gastos!$B:$B,[3]Gastos!$BE:$BE)</f>
        <v>21832</v>
      </c>
      <c r="R82" s="24">
        <f>_xlfn.XLOOKUP(Tabla1[[#This Row],[Subcuenta]],[3]Gastos!$B:$B,[3]Gastos!$BJ:$BJ)</f>
        <v>21832</v>
      </c>
      <c r="S82" s="24">
        <f>SUM(Tabla1[[#This Row],[october]:[december]])</f>
        <v>65588</v>
      </c>
      <c r="T82" s="43">
        <f t="shared" si="1"/>
        <v>268838</v>
      </c>
    </row>
    <row r="83" spans="2:20" x14ac:dyDescent="0.3">
      <c r="B83" s="35" t="s">
        <v>265</v>
      </c>
      <c r="C83" s="23" t="s">
        <v>184</v>
      </c>
      <c r="D83" s="24">
        <f>_xlfn.XLOOKUP(C83,[3]Gastos!$B:$B,[3]Gastos!$G:$G)</f>
        <v>47214</v>
      </c>
      <c r="E83" s="24">
        <f>_xlfn.XLOOKUP(C83,[3]Gastos!$B:$B,[3]Gastos!$L:$L)</f>
        <v>47456</v>
      </c>
      <c r="F83" s="24">
        <f>_xlfn.XLOOKUP(C83,[3]Gastos!$B:$B,[3]Gastos!$Q:$Q)</f>
        <v>47763</v>
      </c>
      <c r="G83" s="24">
        <f>SUM(Tabla1[[#This Row],[january]:[march]])</f>
        <v>142433</v>
      </c>
      <c r="H83" s="24">
        <f>_xlfn.XLOOKUP(C83,[3]Gastos!$B:$B,[3]Gastos!$V:$V)</f>
        <v>47837</v>
      </c>
      <c r="I83" s="24">
        <f>_xlfn.XLOOKUP(C83,[3]Gastos!$B:$B,[3]Gastos!$AA:$AA)</f>
        <v>48210</v>
      </c>
      <c r="J83" s="24">
        <f>_xlfn.XLOOKUP(C83,[3]Gastos!$B:$B,[3]Gastos!$AF:$AF)</f>
        <v>48458</v>
      </c>
      <c r="K83" s="24">
        <f>SUM(Tabla1[[#This Row],[april]:[june]])</f>
        <v>144505</v>
      </c>
      <c r="L83" s="24">
        <f>_xlfn.XLOOKUP(C83,[3]Gastos!$B:$B,[3]Gastos!$AK:$AK)</f>
        <v>48531</v>
      </c>
      <c r="M83" s="24">
        <f>_xlfn.XLOOKUP(C83,[3]Gastos!$B:$B,[3]Gastos!$AP:$AP)</f>
        <v>48469</v>
      </c>
      <c r="N83" s="24">
        <f>_xlfn.XLOOKUP(Tabla1[[#This Row],[Subcuenta]],[3]Gastos!$B:$B,[3]Gastos!$AU:$AU)</f>
        <v>48591</v>
      </c>
      <c r="O83" s="24">
        <f>SUM(Tabla1[[#This Row],[july]:[september]])</f>
        <v>145591</v>
      </c>
      <c r="P83" s="24">
        <f>_xlfn.XLOOKUP(Tabla1[[#This Row],[Subcuenta]],[3]Gastos!$B:$B,[3]Gastos!$AZ:$AZ)</f>
        <v>48676</v>
      </c>
      <c r="Q83" s="24">
        <f>_xlfn.XLOOKUP(Tabla1[[#This Row],[Subcuenta]],[3]Gastos!$B:$B,[3]Gastos!$BE:$BE)</f>
        <v>48942</v>
      </c>
      <c r="R83" s="24">
        <f>_xlfn.XLOOKUP(Tabla1[[#This Row],[Subcuenta]],[3]Gastos!$B:$B,[3]Gastos!$BJ:$BJ)</f>
        <v>49174</v>
      </c>
      <c r="S83" s="24">
        <f>SUM(Tabla1[[#This Row],[october]:[december]])</f>
        <v>146792</v>
      </c>
      <c r="T83" s="43">
        <f t="shared" si="1"/>
        <v>579321</v>
      </c>
    </row>
    <row r="84" spans="2:20" x14ac:dyDescent="0.3">
      <c r="B84" s="35" t="s">
        <v>265</v>
      </c>
      <c r="C84" s="23" t="s">
        <v>185</v>
      </c>
      <c r="D84" s="24">
        <f>_xlfn.XLOOKUP(C84,[3]Gastos!$B:$B,[3]Gastos!$G:$G)</f>
        <v>100095</v>
      </c>
      <c r="E84" s="24">
        <f>_xlfn.XLOOKUP(C84,[3]Gastos!$B:$B,[3]Gastos!$L:$L)</f>
        <v>41301</v>
      </c>
      <c r="F84" s="24">
        <f>_xlfn.XLOOKUP(C84,[3]Gastos!$B:$B,[3]Gastos!$Q:$Q)</f>
        <v>228626</v>
      </c>
      <c r="G84" s="24">
        <f>SUM(Tabla1[[#This Row],[january]:[march]])</f>
        <v>370022</v>
      </c>
      <c r="H84" s="24">
        <f>_xlfn.XLOOKUP(C84,[3]Gastos!$B:$B,[3]Gastos!$V:$V)</f>
        <v>136991</v>
      </c>
      <c r="I84" s="24">
        <f>_xlfn.XLOOKUP(C84,[3]Gastos!$B:$B,[3]Gastos!$AA:$AA)</f>
        <v>59200</v>
      </c>
      <c r="J84" s="24">
        <f>_xlfn.XLOOKUP(C84,[3]Gastos!$B:$B,[3]Gastos!$AF:$AF)</f>
        <v>93744</v>
      </c>
      <c r="K84" s="24">
        <f>SUM(Tabla1[[#This Row],[april]:[june]])</f>
        <v>289935</v>
      </c>
      <c r="L84" s="24">
        <f>_xlfn.XLOOKUP(C84,[3]Gastos!$B:$B,[3]Gastos!$AK:$AK)</f>
        <v>56375</v>
      </c>
      <c r="M84" s="24">
        <f>_xlfn.XLOOKUP(C84,[3]Gastos!$B:$B,[3]Gastos!$AP:$AP)</f>
        <v>130693</v>
      </c>
      <c r="N84" s="24">
        <f>_xlfn.XLOOKUP(Tabla1[[#This Row],[Subcuenta]],[3]Gastos!$B:$B,[3]Gastos!$AU:$AU)</f>
        <v>314897</v>
      </c>
      <c r="O84" s="24">
        <f>SUM(Tabla1[[#This Row],[july]:[september]])</f>
        <v>501965</v>
      </c>
      <c r="P84" s="24">
        <f>_xlfn.XLOOKUP(Tabla1[[#This Row],[Subcuenta]],[3]Gastos!$B:$B,[3]Gastos!$AZ:$AZ)</f>
        <v>104016</v>
      </c>
      <c r="Q84" s="24">
        <f>_xlfn.XLOOKUP(Tabla1[[#This Row],[Subcuenta]],[3]Gastos!$B:$B,[3]Gastos!$BE:$BE)</f>
        <v>334467</v>
      </c>
      <c r="R84" s="24">
        <f>_xlfn.XLOOKUP(Tabla1[[#This Row],[Subcuenta]],[3]Gastos!$B:$B,[3]Gastos!$BJ:$BJ)</f>
        <v>247895</v>
      </c>
      <c r="S84" s="24">
        <f>SUM(Tabla1[[#This Row],[october]:[december]])</f>
        <v>686378</v>
      </c>
      <c r="T84" s="43">
        <f t="shared" si="1"/>
        <v>1848300</v>
      </c>
    </row>
    <row r="85" spans="2:20" x14ac:dyDescent="0.3">
      <c r="B85" s="35" t="s">
        <v>265</v>
      </c>
      <c r="C85" s="23" t="s">
        <v>186</v>
      </c>
      <c r="D85" s="24">
        <f>_xlfn.XLOOKUP(C85,[3]Gastos!$B:$B,[3]Gastos!$G:$G)</f>
        <v>180000</v>
      </c>
      <c r="E85" s="24">
        <f>_xlfn.XLOOKUP(C85,[3]Gastos!$B:$B,[3]Gastos!$L:$L)</f>
        <v>257632</v>
      </c>
      <c r="F85" s="24">
        <f>_xlfn.XLOOKUP(C85,[3]Gastos!$B:$B,[3]Gastos!$Q:$Q)</f>
        <v>26000</v>
      </c>
      <c r="G85" s="24">
        <f>SUM(Tabla1[[#This Row],[january]:[march]])</f>
        <v>463632</v>
      </c>
      <c r="H85" s="24">
        <f>_xlfn.XLOOKUP(C85,[3]Gastos!$B:$B,[3]Gastos!$V:$V)</f>
        <v>0</v>
      </c>
      <c r="I85" s="24">
        <f>_xlfn.XLOOKUP(C85,[3]Gastos!$B:$B,[3]Gastos!$AA:$AA)</f>
        <v>280000</v>
      </c>
      <c r="J85" s="24">
        <f>_xlfn.XLOOKUP(C85,[3]Gastos!$B:$B,[3]Gastos!$AF:$AF)</f>
        <v>237000</v>
      </c>
      <c r="K85" s="24">
        <f>SUM(Tabla1[[#This Row],[april]:[june]])</f>
        <v>517000</v>
      </c>
      <c r="L85" s="24">
        <f>_xlfn.XLOOKUP(C85,[3]Gastos!$B:$B,[3]Gastos!$AK:$AK)</f>
        <v>534882</v>
      </c>
      <c r="M85" s="24">
        <f>_xlfn.XLOOKUP(C85,[3]Gastos!$B:$B,[3]Gastos!$AP:$AP)</f>
        <v>0</v>
      </c>
      <c r="N85" s="24">
        <f>_xlfn.XLOOKUP(Tabla1[[#This Row],[Subcuenta]],[3]Gastos!$B:$B,[3]Gastos!$AU:$AU)</f>
        <v>0</v>
      </c>
      <c r="O85" s="24">
        <f>SUM(Tabla1[[#This Row],[july]:[september]])</f>
        <v>534882</v>
      </c>
      <c r="P85" s="24">
        <f>_xlfn.XLOOKUP(Tabla1[[#This Row],[Subcuenta]],[3]Gastos!$B:$B,[3]Gastos!$AZ:$AZ)</f>
        <v>407026</v>
      </c>
      <c r="Q85" s="24">
        <f>_xlfn.XLOOKUP(Tabla1[[#This Row],[Subcuenta]],[3]Gastos!$B:$B,[3]Gastos!$BE:$BE)</f>
        <v>0</v>
      </c>
      <c r="R85" s="24">
        <f>_xlfn.XLOOKUP(Tabla1[[#This Row],[Subcuenta]],[3]Gastos!$B:$B,[3]Gastos!$BJ:$BJ)</f>
        <v>926600</v>
      </c>
      <c r="S85" s="24">
        <f>SUM(Tabla1[[#This Row],[october]:[december]])</f>
        <v>1333626</v>
      </c>
      <c r="T85" s="43">
        <f t="shared" si="1"/>
        <v>2849140</v>
      </c>
    </row>
    <row r="86" spans="2:20" x14ac:dyDescent="0.3">
      <c r="B86" s="35" t="s">
        <v>265</v>
      </c>
      <c r="C86" s="23" t="s">
        <v>187</v>
      </c>
      <c r="D86" s="24">
        <f>_xlfn.XLOOKUP(C86,[3]Gastos!$B:$B,[3]Gastos!$G:$G)</f>
        <v>0</v>
      </c>
      <c r="E86" s="24">
        <f>_xlfn.XLOOKUP(C86,[3]Gastos!$B:$B,[3]Gastos!$L:$L)</f>
        <v>0</v>
      </c>
      <c r="F86" s="24">
        <f>_xlfn.XLOOKUP(C86,[3]Gastos!$B:$B,[3]Gastos!$Q:$Q)</f>
        <v>1379310</v>
      </c>
      <c r="G86" s="24">
        <f>SUM(Tabla1[[#This Row],[january]:[march]])</f>
        <v>1379310</v>
      </c>
      <c r="H86" s="24">
        <f>_xlfn.XLOOKUP(C86,[3]Gastos!$B:$B,[3]Gastos!$V:$V)</f>
        <v>2631975</v>
      </c>
      <c r="I86" s="24">
        <f>_xlfn.XLOOKUP(C86,[3]Gastos!$B:$B,[3]Gastos!$AA:$AA)</f>
        <v>1111543</v>
      </c>
      <c r="J86" s="24">
        <f>_xlfn.XLOOKUP(C86,[3]Gastos!$B:$B,[3]Gastos!$AF:$AF)</f>
        <v>1200000</v>
      </c>
      <c r="K86" s="24">
        <f>SUM(Tabla1[[#This Row],[april]:[june]])</f>
        <v>4943518</v>
      </c>
      <c r="L86" s="24">
        <f>_xlfn.XLOOKUP(C86,[3]Gastos!$B:$B,[3]Gastos!$AK:$AK)</f>
        <v>1111543</v>
      </c>
      <c r="M86" s="24">
        <f>_xlfn.XLOOKUP(C86,[3]Gastos!$B:$B,[3]Gastos!$AP:$AP)</f>
        <v>150091</v>
      </c>
      <c r="N86" s="24">
        <f>_xlfn.XLOOKUP(Tabla1[[#This Row],[Subcuenta]],[3]Gastos!$B:$B,[3]Gastos!$AU:$AU)</f>
        <v>0</v>
      </c>
      <c r="O86" s="24">
        <f>SUM(Tabla1[[#This Row],[july]:[september]])</f>
        <v>1261634</v>
      </c>
      <c r="P86" s="24">
        <f>_xlfn.XLOOKUP(Tabla1[[#This Row],[Subcuenta]],[3]Gastos!$B:$B,[3]Gastos!$AZ:$AZ)</f>
        <v>0</v>
      </c>
      <c r="Q86" s="24">
        <f>_xlfn.XLOOKUP(Tabla1[[#This Row],[Subcuenta]],[3]Gastos!$B:$B,[3]Gastos!$BE:$BE)</f>
        <v>0</v>
      </c>
      <c r="R86" s="24">
        <f>_xlfn.XLOOKUP(Tabla1[[#This Row],[Subcuenta]],[3]Gastos!$B:$B,[3]Gastos!$BJ:$BJ)</f>
        <v>320000</v>
      </c>
      <c r="S86" s="24">
        <f>SUM(Tabla1[[#This Row],[october]:[december]])</f>
        <v>320000</v>
      </c>
      <c r="T86" s="43">
        <f t="shared" si="1"/>
        <v>7904462</v>
      </c>
    </row>
    <row r="87" spans="2:20" x14ac:dyDescent="0.3">
      <c r="B87" s="35" t="s">
        <v>265</v>
      </c>
      <c r="C87" s="23" t="s">
        <v>188</v>
      </c>
      <c r="D87" s="24">
        <f>_xlfn.XLOOKUP(C87,[3]Gastos!$B:$B,[3]Gastos!$G:$G)</f>
        <v>1521095</v>
      </c>
      <c r="E87" s="24">
        <f>_xlfn.XLOOKUP(C87,[3]Gastos!$B:$B,[3]Gastos!$L:$L)</f>
        <v>6107971</v>
      </c>
      <c r="F87" s="24">
        <f>_xlfn.XLOOKUP(C87,[3]Gastos!$B:$B,[3]Gastos!$Q:$Q)</f>
        <v>1681157</v>
      </c>
      <c r="G87" s="24">
        <f>SUM(Tabla1[[#This Row],[january]:[march]])</f>
        <v>9310223</v>
      </c>
      <c r="H87" s="24">
        <f>_xlfn.XLOOKUP(C87,[3]Gastos!$B:$B,[3]Gastos!$V:$V)</f>
        <v>2773748</v>
      </c>
      <c r="I87" s="24">
        <f>_xlfn.XLOOKUP(C87,[3]Gastos!$B:$B,[3]Gastos!$AA:$AA)</f>
        <v>4031092</v>
      </c>
      <c r="J87" s="24">
        <f>_xlfn.XLOOKUP(C87,[3]Gastos!$B:$B,[3]Gastos!$AF:$AF)</f>
        <v>991569</v>
      </c>
      <c r="K87" s="24">
        <f>SUM(Tabla1[[#This Row],[april]:[june]])</f>
        <v>7796409</v>
      </c>
      <c r="L87" s="24">
        <f>_xlfn.XLOOKUP(C87,[3]Gastos!$B:$B,[3]Gastos!$AK:$AK)</f>
        <v>7891815</v>
      </c>
      <c r="M87" s="24">
        <f>_xlfn.XLOOKUP(C87,[3]Gastos!$B:$B,[3]Gastos!$AP:$AP)</f>
        <v>8343605.3300000001</v>
      </c>
      <c r="N87" s="24">
        <f>_xlfn.XLOOKUP(Tabla1[[#This Row],[Subcuenta]],[3]Gastos!$B:$B,[3]Gastos!$AU:$AU)</f>
        <v>962410</v>
      </c>
      <c r="O87" s="24">
        <f>SUM(Tabla1[[#This Row],[july]:[september]])</f>
        <v>17197830.329999998</v>
      </c>
      <c r="P87" s="24">
        <f>_xlfn.XLOOKUP(Tabla1[[#This Row],[Subcuenta]],[3]Gastos!$B:$B,[3]Gastos!$AZ:$AZ)</f>
        <v>106376</v>
      </c>
      <c r="Q87" s="24">
        <f>_xlfn.XLOOKUP(Tabla1[[#This Row],[Subcuenta]],[3]Gastos!$B:$B,[3]Gastos!$BE:$BE)</f>
        <v>271183.16800000001</v>
      </c>
      <c r="R87" s="24">
        <f>_xlfn.XLOOKUP(Tabla1[[#This Row],[Subcuenta]],[3]Gastos!$B:$B,[3]Gastos!$BJ:$BJ)</f>
        <v>1225440</v>
      </c>
      <c r="S87" s="24">
        <f>SUM(Tabla1[[#This Row],[october]:[december]])</f>
        <v>1602999.1680000001</v>
      </c>
      <c r="T87" s="43">
        <f t="shared" si="1"/>
        <v>35907461.497999996</v>
      </c>
    </row>
    <row r="88" spans="2:20" x14ac:dyDescent="0.3">
      <c r="B88" s="35" t="s">
        <v>265</v>
      </c>
      <c r="C88" s="23" t="s">
        <v>189</v>
      </c>
      <c r="D88" s="24">
        <f>_xlfn.XLOOKUP(C88,[3]Gastos!$B:$B,[3]Gastos!$G:$G)</f>
        <v>24353</v>
      </c>
      <c r="E88" s="24">
        <f>_xlfn.XLOOKUP(C88,[3]Gastos!$B:$B,[3]Gastos!$L:$L)</f>
        <v>25193</v>
      </c>
      <c r="F88" s="24">
        <f>_xlfn.XLOOKUP(C88,[3]Gastos!$B:$B,[3]Gastos!$Q:$Q)</f>
        <v>25193</v>
      </c>
      <c r="G88" s="24">
        <f>SUM(Tabla1[[#This Row],[january]:[march]])</f>
        <v>74739</v>
      </c>
      <c r="H88" s="24">
        <f>_xlfn.XLOOKUP(C88,[3]Gastos!$B:$B,[3]Gastos!$V:$V)</f>
        <v>25193</v>
      </c>
      <c r="I88" s="24">
        <f>_xlfn.XLOOKUP(C88,[3]Gastos!$B:$B,[3]Gastos!$AA:$AA)</f>
        <v>25193</v>
      </c>
      <c r="J88" s="24">
        <f>_xlfn.XLOOKUP(C88,[3]Gastos!$B:$B,[3]Gastos!$AF:$AF)</f>
        <v>25193</v>
      </c>
      <c r="K88" s="24">
        <f>SUM(Tabla1[[#This Row],[april]:[june]])</f>
        <v>75579</v>
      </c>
      <c r="L88" s="24">
        <f>_xlfn.XLOOKUP(C88,[3]Gastos!$B:$B,[3]Gastos!$AK:$AK)</f>
        <v>25193</v>
      </c>
      <c r="M88" s="24">
        <f>_xlfn.XLOOKUP(C88,[3]Gastos!$B:$B,[3]Gastos!$AP:$AP)</f>
        <v>25193</v>
      </c>
      <c r="N88" s="24">
        <f>_xlfn.XLOOKUP(Tabla1[[#This Row],[Subcuenta]],[3]Gastos!$B:$B,[3]Gastos!$AU:$AU)</f>
        <v>25193</v>
      </c>
      <c r="O88" s="24">
        <f>SUM(Tabla1[[#This Row],[july]:[september]])</f>
        <v>75579</v>
      </c>
      <c r="P88" s="24">
        <f>_xlfn.XLOOKUP(Tabla1[[#This Row],[Subcuenta]],[3]Gastos!$B:$B,[3]Gastos!$AZ:$AZ)</f>
        <v>25193</v>
      </c>
      <c r="Q88" s="24">
        <f>_xlfn.XLOOKUP(Tabla1[[#This Row],[Subcuenta]],[3]Gastos!$B:$B,[3]Gastos!$BE:$BE)</f>
        <v>25193</v>
      </c>
      <c r="R88" s="24">
        <f>_xlfn.XLOOKUP(Tabla1[[#This Row],[Subcuenta]],[3]Gastos!$B:$B,[3]Gastos!$BJ:$BJ)</f>
        <v>25193</v>
      </c>
      <c r="S88" s="24">
        <f>SUM(Tabla1[[#This Row],[october]:[december]])</f>
        <v>75579</v>
      </c>
      <c r="T88" s="43">
        <f t="shared" si="1"/>
        <v>301476</v>
      </c>
    </row>
    <row r="89" spans="2:20" x14ac:dyDescent="0.3">
      <c r="B89" s="35" t="s">
        <v>265</v>
      </c>
      <c r="C89" s="23" t="s">
        <v>190</v>
      </c>
      <c r="D89" s="24">
        <f>_xlfn.XLOOKUP(C89,[3]Gastos!$B:$B,[3]Gastos!$G:$G)</f>
        <v>4500000</v>
      </c>
      <c r="E89" s="24">
        <f>_xlfn.XLOOKUP(C89,[3]Gastos!$B:$B,[3]Gastos!$L:$L)</f>
        <v>4500000</v>
      </c>
      <c r="F89" s="24">
        <f>_xlfn.XLOOKUP(C89,[3]Gastos!$B:$B,[3]Gastos!$Q:$Q)</f>
        <v>4500000</v>
      </c>
      <c r="G89" s="24">
        <f>SUM(Tabla1[[#This Row],[january]:[march]])</f>
        <v>13500000</v>
      </c>
      <c r="H89" s="24">
        <f>_xlfn.XLOOKUP(C89,[3]Gastos!$B:$B,[3]Gastos!$V:$V)</f>
        <v>4500000</v>
      </c>
      <c r="I89" s="24">
        <f>_xlfn.XLOOKUP(C89,[3]Gastos!$B:$B,[3]Gastos!$AA:$AA)</f>
        <v>4500000</v>
      </c>
      <c r="J89" s="24">
        <f>_xlfn.XLOOKUP(C89,[3]Gastos!$B:$B,[3]Gastos!$AF:$AF)</f>
        <v>5600000</v>
      </c>
      <c r="K89" s="24">
        <f>SUM(Tabla1[[#This Row],[april]:[june]])</f>
        <v>14600000</v>
      </c>
      <c r="L89" s="24">
        <f>_xlfn.XLOOKUP(C89,[3]Gastos!$B:$B,[3]Gastos!$AK:$AK)</f>
        <v>5600000</v>
      </c>
      <c r="M89" s="24">
        <f>_xlfn.XLOOKUP(C89,[3]Gastos!$B:$B,[3]Gastos!$AP:$AP)</f>
        <v>5600000</v>
      </c>
      <c r="N89" s="24">
        <f>_xlfn.XLOOKUP(Tabla1[[#This Row],[Subcuenta]],[3]Gastos!$B:$B,[3]Gastos!$AU:$AU)</f>
        <v>5600000</v>
      </c>
      <c r="O89" s="24">
        <f>SUM(Tabla1[[#This Row],[july]:[september]])</f>
        <v>16800000</v>
      </c>
      <c r="P89" s="24">
        <f>_xlfn.XLOOKUP(Tabla1[[#This Row],[Subcuenta]],[3]Gastos!$B:$B,[3]Gastos!$AZ:$AZ)</f>
        <v>5600000</v>
      </c>
      <c r="Q89" s="24">
        <f>_xlfn.XLOOKUP(Tabla1[[#This Row],[Subcuenta]],[3]Gastos!$B:$B,[3]Gastos!$BE:$BE)</f>
        <v>5600000</v>
      </c>
      <c r="R89" s="24">
        <f>_xlfn.XLOOKUP(Tabla1[[#This Row],[Subcuenta]],[3]Gastos!$B:$B,[3]Gastos!$BJ:$BJ)</f>
        <v>5600000</v>
      </c>
      <c r="S89" s="24">
        <f>SUM(Tabla1[[#This Row],[october]:[december]])</f>
        <v>16800000</v>
      </c>
      <c r="T89" s="43">
        <f t="shared" si="1"/>
        <v>61700000</v>
      </c>
    </row>
    <row r="90" spans="2:20" x14ac:dyDescent="0.3">
      <c r="B90" s="35" t="s">
        <v>265</v>
      </c>
      <c r="C90" s="23" t="s">
        <v>191</v>
      </c>
      <c r="D90" s="24">
        <f>_xlfn.XLOOKUP(C90,[3]Gastos!$B:$B,[3]Gastos!$G:$G)</f>
        <v>740520</v>
      </c>
      <c r="E90" s="24">
        <f>_xlfn.XLOOKUP(C90,[3]Gastos!$B:$B,[3]Gastos!$L:$L)</f>
        <v>15312925</v>
      </c>
      <c r="F90" s="24">
        <f>_xlfn.XLOOKUP(C90,[3]Gastos!$B:$B,[3]Gastos!$Q:$Q)</f>
        <v>3780510</v>
      </c>
      <c r="G90" s="24">
        <f>SUM(Tabla1[[#This Row],[january]:[march]])</f>
        <v>19833955</v>
      </c>
      <c r="H90" s="24">
        <f>_xlfn.XLOOKUP(C90,[3]Gastos!$B:$B,[3]Gastos!$V:$V)</f>
        <v>358775</v>
      </c>
      <c r="I90" s="24">
        <f>_xlfn.XLOOKUP(C90,[3]Gastos!$B:$B,[3]Gastos!$AA:$AA)</f>
        <v>7180565</v>
      </c>
      <c r="J90" s="24">
        <f>_xlfn.XLOOKUP(C90,[3]Gastos!$B:$B,[3]Gastos!$AF:$AF)</f>
        <v>9565768</v>
      </c>
      <c r="K90" s="24">
        <f>SUM(Tabla1[[#This Row],[april]:[june]])</f>
        <v>17105108</v>
      </c>
      <c r="L90" s="24">
        <f>_xlfn.XLOOKUP(C90,[3]Gastos!$B:$B,[3]Gastos!$AK:$AK)</f>
        <v>17564001</v>
      </c>
      <c r="M90" s="24">
        <f>_xlfn.XLOOKUP(C90,[3]Gastos!$B:$B,[3]Gastos!$AP:$AP)</f>
        <v>1942663</v>
      </c>
      <c r="N90" s="24">
        <f>_xlfn.XLOOKUP(Tabla1[[#This Row],[Subcuenta]],[3]Gastos!$B:$B,[3]Gastos!$AU:$AU)</f>
        <v>322653</v>
      </c>
      <c r="O90" s="24">
        <f>SUM(Tabla1[[#This Row],[july]:[september]])</f>
        <v>19829317</v>
      </c>
      <c r="P90" s="24">
        <f>_xlfn.XLOOKUP(Tabla1[[#This Row],[Subcuenta]],[3]Gastos!$B:$B,[3]Gastos!$AZ:$AZ)</f>
        <v>0</v>
      </c>
      <c r="Q90" s="24">
        <f>_xlfn.XLOOKUP(Tabla1[[#This Row],[Subcuenta]],[3]Gastos!$B:$B,[3]Gastos!$BE:$BE)</f>
        <v>11899943</v>
      </c>
      <c r="R90" s="24">
        <f>_xlfn.XLOOKUP(Tabla1[[#This Row],[Subcuenta]],[3]Gastos!$B:$B,[3]Gastos!$BJ:$BJ)</f>
        <v>5200943</v>
      </c>
      <c r="S90" s="24">
        <f>SUM(Tabla1[[#This Row],[october]:[december]])</f>
        <v>17100886</v>
      </c>
      <c r="T90" s="43">
        <f t="shared" si="1"/>
        <v>73869266</v>
      </c>
    </row>
    <row r="91" spans="2:20" x14ac:dyDescent="0.3">
      <c r="B91" s="35" t="s">
        <v>265</v>
      </c>
      <c r="C91" s="23" t="s">
        <v>192</v>
      </c>
      <c r="D91" s="24">
        <f>_xlfn.XLOOKUP(C91,[3]Gastos!$B:$B,[3]Gastos!$G:$G)</f>
        <v>3060000</v>
      </c>
      <c r="E91" s="24">
        <f>_xlfn.XLOOKUP(C91,[3]Gastos!$B:$B,[3]Gastos!$L:$L)</f>
        <v>0</v>
      </c>
      <c r="F91" s="24">
        <f>_xlfn.XLOOKUP(C91,[3]Gastos!$B:$B,[3]Gastos!$Q:$Q)</f>
        <v>0</v>
      </c>
      <c r="G91" s="24">
        <f>SUM(Tabla1[[#This Row],[january]:[march]])</f>
        <v>3060000</v>
      </c>
      <c r="H91" s="24">
        <f>_xlfn.XLOOKUP(C91,[3]Gastos!$B:$B,[3]Gastos!$V:$V)</f>
        <v>0</v>
      </c>
      <c r="I91" s="24">
        <f>_xlfn.XLOOKUP(C91,[3]Gastos!$B:$B,[3]Gastos!$AA:$AA)</f>
        <v>0</v>
      </c>
      <c r="J91" s="24">
        <f>_xlfn.XLOOKUP(C91,[3]Gastos!$B:$B,[3]Gastos!$AF:$AF)</f>
        <v>0</v>
      </c>
      <c r="K91" s="24">
        <f>SUM(Tabla1[[#This Row],[april]:[june]])</f>
        <v>0</v>
      </c>
      <c r="L91" s="24">
        <f>_xlfn.XLOOKUP(C91,[3]Gastos!$B:$B,[3]Gastos!$AK:$AK)</f>
        <v>0</v>
      </c>
      <c r="M91" s="24">
        <f>_xlfn.XLOOKUP(C91,[3]Gastos!$B:$B,[3]Gastos!$AP:$AP)</f>
        <v>0</v>
      </c>
      <c r="N91" s="24">
        <f>_xlfn.XLOOKUP(Tabla1[[#This Row],[Subcuenta]],[3]Gastos!$B:$B,[3]Gastos!$AU:$AU)</f>
        <v>0</v>
      </c>
      <c r="O91" s="24">
        <f>SUM(Tabla1[[#This Row],[july]:[september]])</f>
        <v>0</v>
      </c>
      <c r="P91" s="24">
        <f>_xlfn.XLOOKUP(Tabla1[[#This Row],[Subcuenta]],[3]Gastos!$B:$B,[3]Gastos!$AZ:$AZ)</f>
        <v>0</v>
      </c>
      <c r="Q91" s="24">
        <f>_xlfn.XLOOKUP(Tabla1[[#This Row],[Subcuenta]],[3]Gastos!$B:$B,[3]Gastos!$BE:$BE)</f>
        <v>0</v>
      </c>
      <c r="R91" s="24">
        <f>_xlfn.XLOOKUP(Tabla1[[#This Row],[Subcuenta]],[3]Gastos!$B:$B,[3]Gastos!$BJ:$BJ)</f>
        <v>0</v>
      </c>
      <c r="S91" s="24">
        <f>SUM(Tabla1[[#This Row],[october]:[december]])</f>
        <v>0</v>
      </c>
      <c r="T91" s="43">
        <f t="shared" si="1"/>
        <v>3060000</v>
      </c>
    </row>
    <row r="92" spans="2:20" x14ac:dyDescent="0.3">
      <c r="B92" s="35" t="s">
        <v>265</v>
      </c>
      <c r="C92" s="23" t="s">
        <v>279</v>
      </c>
      <c r="D92" s="24">
        <f>_xlfn.XLOOKUP(C92,[3]Gastos!$B:$B,[3]Gastos!$G:$G)</f>
        <v>1447169.6856</v>
      </c>
      <c r="E92" s="24">
        <f>_xlfn.XLOOKUP(C92,[3]Gastos!$B:$B,[3]Gastos!$L:$L)</f>
        <v>1620649.2435999999</v>
      </c>
      <c r="F92" s="24">
        <f>_xlfn.XLOOKUP(C92,[3]Gastos!$B:$B,[3]Gastos!$Q:$Q)</f>
        <v>1755447.0663999999</v>
      </c>
      <c r="G92" s="24">
        <f>SUM(Tabla1[[#This Row],[january]:[march]])</f>
        <v>4823265.9956</v>
      </c>
      <c r="H92" s="24">
        <f>_xlfn.XLOOKUP(C92,[3]Gastos!$B:$B,[3]Gastos!$V:$V)</f>
        <v>1767633.0663999999</v>
      </c>
      <c r="I92" s="24">
        <f>_xlfn.XLOOKUP(C92,[3]Gastos!$B:$B,[3]Gastos!$AA:$AA)</f>
        <v>1712796.0663999999</v>
      </c>
      <c r="J92" s="24">
        <f>_xlfn.XLOOKUP(C92,[3]Gastos!$B:$B,[3]Gastos!$AF:$AF)</f>
        <v>1679792.3163999999</v>
      </c>
      <c r="K92" s="24">
        <f>SUM(Tabla1[[#This Row],[april]:[june]])</f>
        <v>5160221.4491999997</v>
      </c>
      <c r="L92" s="24">
        <f>_xlfn.XLOOKUP(C92,[3]Gastos!$B:$B,[3]Gastos!$AK:$AK)</f>
        <v>1581395.6524</v>
      </c>
      <c r="M92" s="24">
        <f>_xlfn.XLOOKUP(C92,[3]Gastos!$B:$B,[3]Gastos!$AP:$AP)</f>
        <v>1631048.3163999999</v>
      </c>
      <c r="N92" s="24">
        <f>_xlfn.XLOOKUP(Tabla1[[#This Row],[Subcuenta]],[3]Gastos!$B:$B,[3]Gastos!$AU:$AU)</f>
        <v>1820269.2748</v>
      </c>
      <c r="O92" s="24">
        <f>SUM(Tabla1[[#This Row],[july]:[september]])</f>
        <v>5032713.2435999997</v>
      </c>
      <c r="P92" s="24">
        <f>_xlfn.XLOOKUP(Tabla1[[#This Row],[Subcuenta]],[3]Gastos!$B:$B,[3]Gastos!$AZ:$AZ)</f>
        <v>0</v>
      </c>
      <c r="Q92" s="24">
        <f>_xlfn.XLOOKUP(Tabla1[[#This Row],[Subcuenta]],[3]Gastos!$B:$B,[3]Gastos!$BE:$BE)</f>
        <v>0</v>
      </c>
      <c r="R92" s="24">
        <f>_xlfn.XLOOKUP(Tabla1[[#This Row],[Subcuenta]],[3]Gastos!$B:$B,[3]Gastos!$BJ:$BJ)</f>
        <v>0</v>
      </c>
      <c r="S92" s="24">
        <f>SUM(Tabla1[[#This Row],[october]:[december]])</f>
        <v>0</v>
      </c>
      <c r="T92" s="43">
        <f t="shared" si="1"/>
        <v>15016200.6884</v>
      </c>
    </row>
    <row r="93" spans="2:20" x14ac:dyDescent="0.3">
      <c r="B93" s="35" t="s">
        <v>265</v>
      </c>
      <c r="C93" s="23" t="s">
        <v>280</v>
      </c>
      <c r="D93" s="24">
        <f>_xlfn.XLOOKUP(C93,[3]Gastos!$B:$B,[3]Gastos!$G:$G)</f>
        <v>147886.70952</v>
      </c>
      <c r="E93" s="24">
        <f>_xlfn.XLOOKUP(C93,[3]Gastos!$B:$B,[3]Gastos!$L:$L)</f>
        <v>128422.76584000001</v>
      </c>
      <c r="F93" s="24">
        <f>_xlfn.XLOOKUP(C93,[3]Gastos!$B:$B,[3]Gastos!$Q:$Q)</f>
        <v>150113.10952</v>
      </c>
      <c r="G93" s="24">
        <f>SUM(Tabla1[[#This Row],[january]:[march]])</f>
        <v>426422.58488000004</v>
      </c>
      <c r="H93" s="24">
        <f>_xlfn.XLOOKUP(C93,[3]Gastos!$B:$B,[3]Gastos!$V:$V)</f>
        <v>149370.90951999999</v>
      </c>
      <c r="I93" s="24">
        <f>_xlfn.XLOOKUP(C93,[3]Gastos!$B:$B,[3]Gastos!$AA:$AA)</f>
        <v>150113.10952</v>
      </c>
      <c r="J93" s="24">
        <f>_xlfn.XLOOKUP(C93,[3]Gastos!$B:$B,[3]Gastos!$AF:$AF)</f>
        <v>150113.10952</v>
      </c>
      <c r="K93" s="24">
        <f>SUM(Tabla1[[#This Row],[april]:[june]])</f>
        <v>449597.12855999998</v>
      </c>
      <c r="L93" s="24">
        <f>_xlfn.XLOOKUP(C93,[3]Gastos!$B:$B,[3]Gastos!$AK:$AK)</f>
        <v>150273.03416000001</v>
      </c>
      <c r="M93" s="24">
        <f>_xlfn.XLOOKUP(C93,[3]Gastos!$B:$B,[3]Gastos!$AP:$AP)</f>
        <v>130769.11343999999</v>
      </c>
      <c r="N93" s="24">
        <f>_xlfn.XLOOKUP(Tabla1[[#This Row],[Subcuenta]],[3]Gastos!$B:$B,[3]Gastos!$AU:$AU)</f>
        <v>167554.50951999999</v>
      </c>
      <c r="O93" s="24">
        <f>SUM(Tabla1[[#This Row],[july]:[september]])</f>
        <v>448596.65711999999</v>
      </c>
      <c r="P93" s="24">
        <f>_xlfn.XLOOKUP(Tabla1[[#This Row],[Subcuenta]],[3]Gastos!$B:$B,[3]Gastos!$AZ:$AZ)</f>
        <v>129993.30952</v>
      </c>
      <c r="Q93" s="24">
        <f>_xlfn.XLOOKUP(Tabla1[[#This Row],[Subcuenta]],[3]Gastos!$B:$B,[3]Gastos!$BE:$BE)</f>
        <v>123757.59496</v>
      </c>
      <c r="R93" s="24">
        <f>_xlfn.XLOOKUP(Tabla1[[#This Row],[Subcuenta]],[3]Gastos!$B:$B,[3]Gastos!$BJ:$BJ)</f>
        <v>176759.25951999999</v>
      </c>
      <c r="S93" s="24">
        <f>SUM(Tabla1[[#This Row],[october]:[december]])</f>
        <v>430510.16399999999</v>
      </c>
      <c r="T93" s="43">
        <f t="shared" si="1"/>
        <v>1755126.5345600001</v>
      </c>
    </row>
    <row r="94" spans="2:20" x14ac:dyDescent="0.3">
      <c r="B94" s="35" t="s">
        <v>265</v>
      </c>
      <c r="C94" s="23" t="s">
        <v>281</v>
      </c>
      <c r="D94" s="24">
        <f>_xlfn.XLOOKUP(C94,[3]Gastos!$B:$B,[3]Gastos!$G:$G)</f>
        <v>746248.24945800006</v>
      </c>
      <c r="E94" s="24">
        <f>_xlfn.XLOOKUP(C94,[3]Gastos!$B:$B,[3]Gastos!$L:$L)</f>
        <v>765918.76364600018</v>
      </c>
      <c r="F94" s="24">
        <f>_xlfn.XLOOKUP(C94,[3]Gastos!$B:$B,[3]Gastos!$Q:$Q)</f>
        <v>765759.97364600014</v>
      </c>
      <c r="G94" s="24">
        <f>SUM(Tabla1[[#This Row],[january]:[march]])</f>
        <v>2277926.9867500002</v>
      </c>
      <c r="H94" s="24">
        <f>_xlfn.XLOOKUP(C94,[3]Gastos!$B:$B,[3]Gastos!$V:$V)</f>
        <v>1026845.083876</v>
      </c>
      <c r="I94" s="24">
        <f>_xlfn.XLOOKUP(C94,[3]Gastos!$B:$B,[3]Gastos!$AA:$AA)</f>
        <v>764657.1536460002</v>
      </c>
      <c r="J94" s="24">
        <f>_xlfn.XLOOKUP(C94,[3]Gastos!$B:$B,[3]Gastos!$AF:$AF)</f>
        <v>1069134.0473960002</v>
      </c>
      <c r="K94" s="24">
        <f>SUM(Tabla1[[#This Row],[april]:[june]])</f>
        <v>2860636.2849180005</v>
      </c>
      <c r="L94" s="24">
        <f>_xlfn.XLOOKUP(C94,[3]Gastos!$B:$B,[3]Gastos!$AK:$AK)</f>
        <v>376386.94176000007</v>
      </c>
      <c r="M94" s="24">
        <f>_xlfn.XLOOKUP(C94,[3]Gastos!$B:$B,[3]Gastos!$AP:$AP)</f>
        <v>296910.09176000004</v>
      </c>
      <c r="N94" s="24">
        <f>_xlfn.XLOOKUP(Tabla1[[#This Row],[Subcuenta]],[3]Gastos!$B:$B,[3]Gastos!$AU:$AU)</f>
        <v>337794.86600000004</v>
      </c>
      <c r="O94" s="24">
        <f>SUM(Tabla1[[#This Row],[july]:[september]])</f>
        <v>1011091.8995200001</v>
      </c>
      <c r="P94" s="24">
        <f>_xlfn.XLOOKUP(Tabla1[[#This Row],[Subcuenta]],[3]Gastos!$B:$B,[3]Gastos!$AZ:$AZ)</f>
        <v>294241.86600000004</v>
      </c>
      <c r="Q94" s="24">
        <f>_xlfn.XLOOKUP(Tabla1[[#This Row],[Subcuenta]],[3]Gastos!$B:$B,[3]Gastos!$BE:$BE)</f>
        <v>298004.06600000005</v>
      </c>
      <c r="R94" s="24">
        <f>_xlfn.XLOOKUP(Tabla1[[#This Row],[Subcuenta]],[3]Gastos!$B:$B,[3]Gastos!$BJ:$BJ)</f>
        <v>345470.21600000001</v>
      </c>
      <c r="S94" s="24">
        <f>SUM(Tabla1[[#This Row],[october]:[december]])</f>
        <v>937716.14800000004</v>
      </c>
      <c r="T94" s="43">
        <f t="shared" si="1"/>
        <v>7087371.3191880006</v>
      </c>
    </row>
    <row r="95" spans="2:20" x14ac:dyDescent="0.3">
      <c r="B95" s="35" t="s">
        <v>265</v>
      </c>
      <c r="C95" s="23" t="s">
        <v>282</v>
      </c>
      <c r="D95" s="24">
        <f>_xlfn.XLOOKUP(C95,[3]Gastos!$B:$B,[3]Gastos!$G:$G)</f>
        <v>568119.63760400005</v>
      </c>
      <c r="E95" s="24">
        <f>_xlfn.XLOOKUP(C95,[3]Gastos!$B:$B,[3]Gastos!$L:$L)</f>
        <v>552014.87827600003</v>
      </c>
      <c r="F95" s="24">
        <f>_xlfn.XLOOKUP(C95,[3]Gastos!$B:$B,[3]Gastos!$Q:$Q)</f>
        <v>547622.37026800006</v>
      </c>
      <c r="G95" s="24">
        <f>SUM(Tabla1[[#This Row],[january]:[march]])</f>
        <v>1667756.8861480001</v>
      </c>
      <c r="H95" s="24">
        <f>_xlfn.XLOOKUP(C95,[3]Gastos!$B:$B,[3]Gastos!$V:$V)</f>
        <v>547622.37026800006</v>
      </c>
      <c r="I95" s="24">
        <f>_xlfn.XLOOKUP(C95,[3]Gastos!$B:$B,[3]Gastos!$AA:$AA)</f>
        <v>547622.37026800006</v>
      </c>
      <c r="J95" s="24">
        <f>_xlfn.XLOOKUP(C95,[3]Gastos!$B:$B,[3]Gastos!$AF:$AF)</f>
        <v>554040.66192400001</v>
      </c>
      <c r="K95" s="24">
        <f>SUM(Tabla1[[#This Row],[april]:[june]])</f>
        <v>1649285.40246</v>
      </c>
      <c r="L95" s="24">
        <f>_xlfn.XLOOKUP(C95,[3]Gastos!$B:$B,[3]Gastos!$AK:$AK)</f>
        <v>598478.25644000003</v>
      </c>
      <c r="M95" s="24">
        <f>_xlfn.XLOOKUP(C95,[3]Gastos!$B:$B,[3]Gastos!$AP:$AP)</f>
        <v>552210.72609600006</v>
      </c>
      <c r="N95" s="24">
        <f>_xlfn.XLOOKUP(Tabla1[[#This Row],[Subcuenta]],[3]Gastos!$B:$B,[3]Gastos!$AU:$AU)</f>
        <v>817297.92565600004</v>
      </c>
      <c r="O95" s="24">
        <f>SUM(Tabla1[[#This Row],[july]:[september]])</f>
        <v>1967986.9081920004</v>
      </c>
      <c r="P95" s="24">
        <f>_xlfn.XLOOKUP(Tabla1[[#This Row],[Subcuenta]],[3]Gastos!$B:$B,[3]Gastos!$AZ:$AZ)</f>
        <v>572085.69388000004</v>
      </c>
      <c r="Q95" s="24">
        <f>_xlfn.XLOOKUP(Tabla1[[#This Row],[Subcuenta]],[3]Gastos!$B:$B,[3]Gastos!$BE:$BE)</f>
        <v>552210.72609600006</v>
      </c>
      <c r="R95" s="24">
        <f>_xlfn.XLOOKUP(Tabla1[[#This Row],[Subcuenta]],[3]Gastos!$B:$B,[3]Gastos!$BJ:$BJ)</f>
        <v>714692.69777600013</v>
      </c>
      <c r="S95" s="24">
        <f>SUM(Tabla1[[#This Row],[october]:[december]])</f>
        <v>1838989.1177520002</v>
      </c>
      <c r="T95" s="43">
        <f t="shared" si="1"/>
        <v>7124018.3145520017</v>
      </c>
    </row>
    <row r="96" spans="2:20" x14ac:dyDescent="0.3">
      <c r="B96" s="35" t="s">
        <v>265</v>
      </c>
      <c r="C96" s="23" t="s">
        <v>283</v>
      </c>
      <c r="D96" s="24">
        <f>_xlfn.XLOOKUP(C96,[3]Gastos!$B:$B,[3]Gastos!$G:$G)</f>
        <v>867233.33400000003</v>
      </c>
      <c r="E96" s="24">
        <f>_xlfn.XLOOKUP(C96,[3]Gastos!$B:$B,[3]Gastos!$L:$L)</f>
        <v>867233.33400000003</v>
      </c>
      <c r="F96" s="24">
        <f>_xlfn.XLOOKUP(C96,[3]Gastos!$B:$B,[3]Gastos!$Q:$Q)</f>
        <v>499999.76319999999</v>
      </c>
      <c r="G96" s="24">
        <f>SUM(Tabla1[[#This Row],[january]:[march]])</f>
        <v>2234466.4312</v>
      </c>
      <c r="H96" s="24">
        <f>_xlfn.XLOOKUP(C96,[3]Gastos!$B:$B,[3]Gastos!$V:$V)</f>
        <v>499999.76319999999</v>
      </c>
      <c r="I96" s="24">
        <f>_xlfn.XLOOKUP(C96,[3]Gastos!$B:$B,[3]Gastos!$AA:$AA)</f>
        <v>491603.76319999999</v>
      </c>
      <c r="J96" s="24">
        <f>_xlfn.XLOOKUP(C96,[3]Gastos!$B:$B,[3]Gastos!$AF:$AF)</f>
        <v>513349.52619999996</v>
      </c>
      <c r="K96" s="24">
        <f>SUM(Tabla1[[#This Row],[april]:[june]])</f>
        <v>1504953.0526000001</v>
      </c>
      <c r="L96" s="24">
        <f>_xlfn.XLOOKUP(C96,[3]Gastos!$B:$B,[3]Gastos!$AK:$AK)</f>
        <v>510019.90480000002</v>
      </c>
      <c r="M96" s="24">
        <f>_xlfn.XLOOKUP(C96,[3]Gastos!$B:$B,[3]Gastos!$AP:$AP)</f>
        <v>477469.43459999998</v>
      </c>
      <c r="N96" s="24">
        <f>_xlfn.XLOOKUP(Tabla1[[#This Row],[Subcuenta]],[3]Gastos!$B:$B,[3]Gastos!$AU:$AU)</f>
        <v>603980.8702</v>
      </c>
      <c r="O96" s="24">
        <f>SUM(Tabla1[[#This Row],[july]:[september]])</f>
        <v>1591470.2095999999</v>
      </c>
      <c r="P96" s="24">
        <f>_xlfn.XLOOKUP(Tabla1[[#This Row],[Subcuenta]],[3]Gastos!$B:$B,[3]Gastos!$AZ:$AZ)</f>
        <v>536703.76679999998</v>
      </c>
      <c r="Q96" s="24">
        <f>_xlfn.XLOOKUP(Tabla1[[#This Row],[Subcuenta]],[3]Gastos!$B:$B,[3]Gastos!$BE:$BE)</f>
        <v>517939.79580000002</v>
      </c>
      <c r="R96" s="24">
        <f>_xlfn.XLOOKUP(Tabla1[[#This Row],[Subcuenta]],[3]Gastos!$B:$B,[3]Gastos!$BJ:$BJ)</f>
        <v>642087.03520000004</v>
      </c>
      <c r="S96" s="24">
        <f>SUM(Tabla1[[#This Row],[october]:[december]])</f>
        <v>1696730.5978000001</v>
      </c>
      <c r="T96" s="43">
        <f t="shared" si="1"/>
        <v>7027620.2912000008</v>
      </c>
    </row>
    <row r="97" spans="2:20" x14ac:dyDescent="0.3">
      <c r="B97" s="35" t="s">
        <v>265</v>
      </c>
      <c r="C97" s="23" t="s">
        <v>284</v>
      </c>
      <c r="D97" s="24">
        <f>_xlfn.XLOOKUP(C97,[3]Gastos!$B:$B,[3]Gastos!$G:$G)</f>
        <v>4073608.9530000002</v>
      </c>
      <c r="E97" s="24">
        <f>_xlfn.XLOOKUP(C97,[3]Gastos!$B:$B,[3]Gastos!$L:$L)</f>
        <v>4070359.2464999999</v>
      </c>
      <c r="F97" s="24">
        <f>_xlfn.XLOOKUP(C97,[3]Gastos!$B:$B,[3]Gastos!$Q:$Q)</f>
        <v>4069396.8600300006</v>
      </c>
      <c r="G97" s="24">
        <f>SUM(Tabla1[[#This Row],[january]:[march]])</f>
        <v>12213365.059530001</v>
      </c>
      <c r="H97" s="24">
        <f>_xlfn.XLOOKUP(C97,[3]Gastos!$B:$B,[3]Gastos!$V:$V)</f>
        <v>4065548.8804200003</v>
      </c>
      <c r="I97" s="24">
        <f>_xlfn.XLOOKUP(C97,[3]Gastos!$B:$B,[3]Gastos!$AA:$AA)</f>
        <v>4062706.4890800002</v>
      </c>
      <c r="J97" s="24">
        <f>_xlfn.XLOOKUP(C97,[3]Gastos!$B:$B,[3]Gastos!$AF:$AF)</f>
        <v>4058631.9</v>
      </c>
      <c r="K97" s="24">
        <f>SUM(Tabla1[[#This Row],[april]:[june]])</f>
        <v>12186887.2695</v>
      </c>
      <c r="L97" s="24">
        <f>_xlfn.XLOOKUP(C97,[3]Gastos!$B:$B,[3]Gastos!$AK:$AK)</f>
        <v>4069913.4</v>
      </c>
      <c r="M97" s="24">
        <f>_xlfn.XLOOKUP(C97,[3]Gastos!$B:$B,[3]Gastos!$AP:$AP)</f>
        <v>4068717.3000000003</v>
      </c>
      <c r="N97" s="24">
        <f>_xlfn.XLOOKUP(Tabla1[[#This Row],[Subcuenta]],[3]Gastos!$B:$B,[3]Gastos!$AU:$AU)</f>
        <v>4277352.6000000006</v>
      </c>
      <c r="O97" s="24">
        <f>SUM(Tabla1[[#This Row],[july]:[september]])</f>
        <v>12415983.300000001</v>
      </c>
      <c r="P97" s="24">
        <f>_xlfn.XLOOKUP(Tabla1[[#This Row],[Subcuenta]],[3]Gastos!$B:$B,[3]Gastos!$AZ:$AZ)</f>
        <v>4072048.2</v>
      </c>
      <c r="Q97" s="24">
        <f>_xlfn.XLOOKUP(Tabla1[[#This Row],[Subcuenta]],[3]Gastos!$B:$B,[3]Gastos!$BE:$BE)</f>
        <v>4069461.6</v>
      </c>
      <c r="R97" s="24">
        <f>_xlfn.XLOOKUP(Tabla1[[#This Row],[Subcuenta]],[3]Gastos!$B:$B,[3]Gastos!$BJ:$BJ)</f>
        <v>4319267.4000000004</v>
      </c>
      <c r="S97" s="24">
        <f>SUM(Tabla1[[#This Row],[october]:[december]])</f>
        <v>12460777.200000001</v>
      </c>
      <c r="T97" s="43">
        <f t="shared" si="1"/>
        <v>49277012.829030007</v>
      </c>
    </row>
    <row r="98" spans="2:20" x14ac:dyDescent="0.3">
      <c r="B98" s="35" t="s">
        <v>265</v>
      </c>
      <c r="C98" s="23" t="s">
        <v>285</v>
      </c>
      <c r="D98" s="24"/>
      <c r="E98" s="24"/>
      <c r="F98" s="24"/>
      <c r="G98" s="24"/>
      <c r="H98" s="24"/>
      <c r="I98" s="24"/>
      <c r="J98" s="24"/>
      <c r="K98" s="24">
        <f>SUM(Tabla1[[#This Row],[april]:[june]])</f>
        <v>0</v>
      </c>
      <c r="L98" s="24">
        <f>_xlfn.XLOOKUP(C98,[3]Gastos!$B:$B,[3]Gastos!$AK:$AK)</f>
        <v>1009788</v>
      </c>
      <c r="M98" s="24">
        <f>_xlfn.XLOOKUP(C98,[3]Gastos!$B:$B,[3]Gastos!$AP:$AP)</f>
        <v>1009788.0388</v>
      </c>
      <c r="N98" s="24">
        <f>_xlfn.XLOOKUP(Tabla1[[#This Row],[Subcuenta]],[3]Gastos!$B:$B,[3]Gastos!$AU:$AU)</f>
        <v>1016312.406</v>
      </c>
      <c r="O98" s="24">
        <f>SUM(Tabla1[[#This Row],[july]:[september]])</f>
        <v>3035888.4447999997</v>
      </c>
      <c r="P98" s="24">
        <f>_xlfn.XLOOKUP(Tabla1[[#This Row],[Subcuenta]],[3]Gastos!$B:$B,[3]Gastos!$AZ:$AZ)</f>
        <v>1016312.406</v>
      </c>
      <c r="Q98" s="24">
        <f>_xlfn.XLOOKUP(Tabla1[[#This Row],[Subcuenta]],[3]Gastos!$B:$B,[3]Gastos!$BE:$BE)</f>
        <v>1010369.826</v>
      </c>
      <c r="R98" s="24">
        <f>_xlfn.XLOOKUP(Tabla1[[#This Row],[Subcuenta]],[3]Gastos!$B:$B,[3]Gastos!$BJ:$BJ)</f>
        <v>1010369.826</v>
      </c>
      <c r="S98" s="24">
        <f>SUM(Tabla1[[#This Row],[october]:[december]])</f>
        <v>3037052.0579999997</v>
      </c>
      <c r="T98" s="43">
        <f t="shared" si="1"/>
        <v>6072940.502799999</v>
      </c>
    </row>
    <row r="99" spans="2:20" x14ac:dyDescent="0.3">
      <c r="B99" s="35" t="s">
        <v>265</v>
      </c>
      <c r="C99" s="23" t="s">
        <v>286</v>
      </c>
      <c r="D99" s="24"/>
      <c r="E99" s="24"/>
      <c r="F99" s="24"/>
      <c r="G99" s="24"/>
      <c r="H99" s="24"/>
      <c r="I99" s="24"/>
      <c r="J99" s="24">
        <f>_xlfn.XLOOKUP(C99,[3]Gastos!$B:$B,[3]Gastos!$AF:$AF)</f>
        <v>2975463</v>
      </c>
      <c r="K99" s="24">
        <f>SUM(Tabla1[[#This Row],[april]:[june]])</f>
        <v>2975463</v>
      </c>
      <c r="L99" s="24">
        <f>_xlfn.XLOOKUP(C99,[3]Gastos!$B:$B,[3]Gastos!$AK:$AK)</f>
        <v>0</v>
      </c>
      <c r="M99" s="24">
        <f>_xlfn.XLOOKUP(C99,[3]Gastos!$B:$B,[3]Gastos!$AP:$AP)</f>
        <v>0</v>
      </c>
      <c r="N99" s="24">
        <f>_xlfn.XLOOKUP(Tabla1[[#This Row],[Subcuenta]],[3]Gastos!$B:$B,[3]Gastos!$AU:$AU)</f>
        <v>0</v>
      </c>
      <c r="O99" s="24">
        <f>SUM(Tabla1[[#This Row],[july]:[september]])</f>
        <v>0</v>
      </c>
      <c r="P99" s="24">
        <f>_xlfn.XLOOKUP(Tabla1[[#This Row],[Subcuenta]],[3]Gastos!$B:$B,[3]Gastos!$AZ:$AZ)</f>
        <v>0</v>
      </c>
      <c r="Q99" s="24">
        <f>_xlfn.XLOOKUP(Tabla1[[#This Row],[Subcuenta]],[3]Gastos!$B:$B,[3]Gastos!$BE:$BE)</f>
        <v>0</v>
      </c>
      <c r="R99" s="24">
        <f>_xlfn.XLOOKUP(Tabla1[[#This Row],[Subcuenta]],[3]Gastos!$B:$B,[3]Gastos!$BJ:$BJ)</f>
        <v>0</v>
      </c>
      <c r="S99" s="24">
        <f>SUM(Tabla1[[#This Row],[october]:[december]])</f>
        <v>0</v>
      </c>
      <c r="T99" s="43">
        <f t="shared" si="1"/>
        <v>2975463</v>
      </c>
    </row>
    <row r="100" spans="2:20" x14ac:dyDescent="0.3">
      <c r="B100" s="35" t="s">
        <v>265</v>
      </c>
      <c r="C100" s="23" t="s">
        <v>287</v>
      </c>
      <c r="D100" s="24"/>
      <c r="E100" s="24"/>
      <c r="F100" s="24"/>
      <c r="G100" s="24"/>
      <c r="H100" s="24"/>
      <c r="I100" s="24"/>
      <c r="J100" s="24">
        <f>_xlfn.XLOOKUP(C100,[3]Gastos!$B:$B,[3]Gastos!$AF:$AF)</f>
        <v>0</v>
      </c>
      <c r="K100" s="24">
        <f>SUM(Tabla1[[#This Row],[april]:[june]])</f>
        <v>0</v>
      </c>
      <c r="L100" s="24">
        <f>_xlfn.XLOOKUP(C100,[3]Gastos!$B:$B,[3]Gastos!$AK:$AK)</f>
        <v>850168.57068</v>
      </c>
      <c r="M100" s="24">
        <f>_xlfn.XLOOKUP(C100,[3]Gastos!$B:$B,[3]Gastos!$AP:$AP)</f>
        <v>724333.0748399999</v>
      </c>
      <c r="N100" s="24">
        <f>_xlfn.XLOOKUP(Tabla1[[#This Row],[Subcuenta]],[3]Gastos!$B:$B,[3]Gastos!$AU:$AU)</f>
        <v>1004656.8589200001</v>
      </c>
      <c r="O100" s="24">
        <f>SUM(Tabla1[[#This Row],[july]:[september]])</f>
        <v>2579158.5044399998</v>
      </c>
      <c r="P100" s="24">
        <f>_xlfn.XLOOKUP(Tabla1[[#This Row],[Subcuenta]],[3]Gastos!$B:$B,[3]Gastos!$AZ:$AZ)</f>
        <v>683015.28960000002</v>
      </c>
      <c r="Q100" s="24">
        <f>_xlfn.XLOOKUP(Tabla1[[#This Row],[Subcuenta]],[3]Gastos!$B:$B,[3]Gastos!$BE:$BE)</f>
        <v>840184.55891999998</v>
      </c>
      <c r="R100" s="24">
        <f>_xlfn.XLOOKUP(Tabla1[[#This Row],[Subcuenta]],[3]Gastos!$B:$B,[3]Gastos!$BJ:$BJ)</f>
        <v>1057858.0178399999</v>
      </c>
      <c r="S100" s="24">
        <f>SUM(Tabla1[[#This Row],[october]:[december]])</f>
        <v>2581057.8663599999</v>
      </c>
      <c r="T100" s="43">
        <f t="shared" si="1"/>
        <v>5160216.3707999997</v>
      </c>
    </row>
    <row r="101" spans="2:20" x14ac:dyDescent="0.3">
      <c r="B101" s="35" t="s">
        <v>265</v>
      </c>
      <c r="C101" s="23" t="s">
        <v>382</v>
      </c>
      <c r="D101" s="24">
        <f>_xlfn.XLOOKUP(C101,[3]Gastos!$B:$B,[3]Gastos!$G:$G)</f>
        <v>0</v>
      </c>
      <c r="E101" s="24">
        <f>_xlfn.XLOOKUP(C101,[3]Gastos!$B:$B,[3]Gastos!$L:$L)</f>
        <v>0</v>
      </c>
      <c r="F101" s="24">
        <f>_xlfn.XLOOKUP(C101,[3]Gastos!$B:$B,[3]Gastos!$Q:$Q)</f>
        <v>0</v>
      </c>
      <c r="G101" s="24">
        <f>SUM(Tabla1[[#This Row],[january]:[march]])</f>
        <v>0</v>
      </c>
      <c r="H101" s="24">
        <f>_xlfn.XLOOKUP(C101,[3]Gastos!$B:$B,[3]Gastos!$V:$V)</f>
        <v>0</v>
      </c>
      <c r="I101" s="24">
        <f>_xlfn.XLOOKUP(C101,[3]Gastos!$B:$B,[3]Gastos!$AA:$AA)</f>
        <v>0</v>
      </c>
      <c r="J101" s="24">
        <f>_xlfn.XLOOKUP(C101,[3]Gastos!$B:$B,[3]Gastos!$AF:$AF)</f>
        <v>0</v>
      </c>
      <c r="K101" s="24">
        <f>SUM(Tabla1[[#This Row],[april]:[june]])</f>
        <v>0</v>
      </c>
      <c r="L101" s="24">
        <f>_xlfn.XLOOKUP(C101,[3]Gastos!$B:$B,[3]Gastos!$AK:$AK)</f>
        <v>0</v>
      </c>
      <c r="M101" s="24">
        <f>_xlfn.XLOOKUP(C101,[3]Gastos!$B:$B,[3]Gastos!$AP:$AP)</f>
        <v>0</v>
      </c>
      <c r="N101" s="24">
        <f>_xlfn.XLOOKUP(Tabla1[[#This Row],[Subcuenta]],[3]Gastos!$B:$B,[3]Gastos!$AU:$AU)</f>
        <v>775510</v>
      </c>
      <c r="O101" s="24">
        <f>SUM(Tabla1[[#This Row],[july]:[september]])</f>
        <v>775510</v>
      </c>
      <c r="P101" s="24">
        <f>_xlfn.XLOOKUP(Tabla1[[#This Row],[Subcuenta]],[3]Gastos!$B:$B,[3]Gastos!$AZ:$AZ)</f>
        <v>775510</v>
      </c>
      <c r="Q101" s="24">
        <f>_xlfn.XLOOKUP(Tabla1[[#This Row],[Subcuenta]],[3]Gastos!$B:$B,[3]Gastos!$BE:$BE)</f>
        <v>775510</v>
      </c>
      <c r="R101" s="24">
        <f>_xlfn.XLOOKUP(Tabla1[[#This Row],[Subcuenta]],[3]Gastos!$B:$B,[3]Gastos!$BJ:$BJ)</f>
        <v>816250.42999999993</v>
      </c>
      <c r="S101" s="24">
        <f>SUM(Tabla1[[#This Row],[october]:[december]])</f>
        <v>2367270.4299999997</v>
      </c>
      <c r="T101" s="43">
        <f>SUM(G101,K101,O101,S101)</f>
        <v>3142780.4299999997</v>
      </c>
    </row>
    <row r="102" spans="2:20" x14ac:dyDescent="0.3">
      <c r="B102" s="35" t="s">
        <v>265</v>
      </c>
      <c r="C102" s="23" t="s">
        <v>383</v>
      </c>
      <c r="D102" s="24">
        <f>_xlfn.XLOOKUP(C102,[3]Gastos!$B:$B,[3]Gastos!$G:$G)</f>
        <v>0</v>
      </c>
      <c r="E102" s="24">
        <f>_xlfn.XLOOKUP(C102,[3]Gastos!$B:$B,[3]Gastos!$L:$L)</f>
        <v>0</v>
      </c>
      <c r="F102" s="24">
        <f>_xlfn.XLOOKUP(C102,[3]Gastos!$B:$B,[3]Gastos!$Q:$Q)</f>
        <v>0</v>
      </c>
      <c r="G102" s="24">
        <f>SUM(Tabla1[[#This Row],[january]:[march]])</f>
        <v>0</v>
      </c>
      <c r="H102" s="24">
        <f>_xlfn.XLOOKUP(C102,[3]Gastos!$B:$B,[3]Gastos!$V:$V)</f>
        <v>0</v>
      </c>
      <c r="I102" s="24">
        <f>_xlfn.XLOOKUP(C102,[3]Gastos!$B:$B,[3]Gastos!$AA:$AA)</f>
        <v>0</v>
      </c>
      <c r="J102" s="24">
        <f>_xlfn.XLOOKUP(C102,[3]Gastos!$B:$B,[3]Gastos!$AF:$AF)</f>
        <v>0</v>
      </c>
      <c r="K102" s="24">
        <f>SUM(Tabla1[[#This Row],[april]:[june]])</f>
        <v>0</v>
      </c>
      <c r="L102" s="24">
        <f>_xlfn.XLOOKUP(C102,[3]Gastos!$B:$B,[3]Gastos!$AK:$AK)</f>
        <v>0</v>
      </c>
      <c r="M102" s="24">
        <f>_xlfn.XLOOKUP(C102,[3]Gastos!$B:$B,[3]Gastos!$AP:$AP)</f>
        <v>0</v>
      </c>
      <c r="N102" s="24"/>
      <c r="O102" s="24">
        <f>SUM(Tabla1[[#This Row],[july]:[september]])</f>
        <v>0</v>
      </c>
      <c r="P102" s="24">
        <f>_xlfn.XLOOKUP(Tabla1[[#This Row],[Subcuenta]],[3]Gastos!$B:$B,[3]Gastos!$AZ:$AZ)</f>
        <v>1712057.3106</v>
      </c>
      <c r="Q102" s="24">
        <f>_xlfn.XLOOKUP(Tabla1[[#This Row],[Subcuenta]],[3]Gastos!$B:$B,[3]Gastos!$BE:$BE)</f>
        <v>1439419.8692000001</v>
      </c>
      <c r="R102" s="24">
        <f>_xlfn.XLOOKUP(Tabla1[[#This Row],[Subcuenta]],[3]Gastos!$B:$B,[3]Gastos!$BJ:$BJ)</f>
        <v>51137.5</v>
      </c>
      <c r="S102" s="24">
        <f>SUM(Tabla1[[#This Row],[october]:[december]])</f>
        <v>3202614.6798</v>
      </c>
      <c r="T102" s="43">
        <f>SUM(G102,K102,O102,S102)</f>
        <v>3202614.6798</v>
      </c>
    </row>
    <row r="103" spans="2:20" x14ac:dyDescent="0.3">
      <c r="B103" s="35" t="s">
        <v>265</v>
      </c>
      <c r="C103" s="23" t="s">
        <v>384</v>
      </c>
      <c r="D103" s="24">
        <f>_xlfn.XLOOKUP(C103,[3]Gastos!$B:$B,[3]Gastos!$G:$G)</f>
        <v>0</v>
      </c>
      <c r="E103" s="24">
        <f>_xlfn.XLOOKUP(C103,[3]Gastos!$B:$B,[3]Gastos!$L:$L)</f>
        <v>0</v>
      </c>
      <c r="F103" s="24">
        <f>_xlfn.XLOOKUP(C103,[3]Gastos!$B:$B,[3]Gastos!$Q:$Q)</f>
        <v>0</v>
      </c>
      <c r="G103" s="24">
        <f>SUM(Tabla1[[#This Row],[january]:[march]])</f>
        <v>0</v>
      </c>
      <c r="H103" s="24">
        <f>_xlfn.XLOOKUP(C103,[3]Gastos!$B:$B,[3]Gastos!$V:$V)</f>
        <v>0</v>
      </c>
      <c r="I103" s="24">
        <f>_xlfn.XLOOKUP(C103,[3]Gastos!$B:$B,[3]Gastos!$AA:$AA)</f>
        <v>0</v>
      </c>
      <c r="J103" s="24">
        <f>_xlfn.XLOOKUP(C103,[3]Gastos!$B:$B,[3]Gastos!$AF:$AF)</f>
        <v>0</v>
      </c>
      <c r="K103" s="24">
        <f>SUM(Tabla1[[#This Row],[april]:[june]])</f>
        <v>0</v>
      </c>
      <c r="L103" s="24">
        <f>_xlfn.XLOOKUP(C103,[3]Gastos!$B:$B,[3]Gastos!$AK:$AK)</f>
        <v>0</v>
      </c>
      <c r="M103" s="24">
        <f>_xlfn.XLOOKUP(C103,[3]Gastos!$B:$B,[3]Gastos!$AP:$AP)</f>
        <v>0</v>
      </c>
      <c r="N103" s="24"/>
      <c r="O103" s="24">
        <f>SUM(Tabla1[[#This Row],[july]:[september]])</f>
        <v>0</v>
      </c>
      <c r="P103" s="24">
        <f>_xlfn.XLOOKUP(Tabla1[[#This Row],[Subcuenta]],[3]Gastos!$B:$B,[3]Gastos!$AZ:$AZ)</f>
        <v>1919817.0444999998</v>
      </c>
      <c r="Q103" s="24">
        <f>_xlfn.XLOOKUP(Tabla1[[#This Row],[Subcuenta]],[3]Gastos!$B:$B,[3]Gastos!$BE:$BE)</f>
        <v>1985863.0444999998</v>
      </c>
      <c r="R103" s="24">
        <f>_xlfn.XLOOKUP(Tabla1[[#This Row],[Subcuenta]],[3]Gastos!$B:$B,[3]Gastos!$BJ:$BJ)</f>
        <v>1985863.0444999998</v>
      </c>
      <c r="S103" s="24">
        <f>SUM(Tabla1[[#This Row],[october]:[december]])</f>
        <v>5891543.1334999995</v>
      </c>
      <c r="T103" s="43">
        <f>SUM(G103,K103,O103,S103)</f>
        <v>5891543.1334999995</v>
      </c>
    </row>
    <row r="104" spans="2:20" x14ac:dyDescent="0.3">
      <c r="B104" s="35" t="s">
        <v>265</v>
      </c>
      <c r="C104" s="23" t="s">
        <v>201</v>
      </c>
      <c r="D104" s="24">
        <f>_xlfn.XLOOKUP(C104,[3]Gastos!$B:$B,[3]Gastos!$G:$G)</f>
        <v>629821</v>
      </c>
      <c r="E104" s="24">
        <f>_xlfn.XLOOKUP(C104,[3]Gastos!$B:$B,[3]Gastos!$L:$L)</f>
        <v>632406</v>
      </c>
      <c r="F104" s="24">
        <f>_xlfn.XLOOKUP(C104,[3]Gastos!$B:$B,[3]Gastos!$Q:$Q)</f>
        <v>635042</v>
      </c>
      <c r="G104" s="24">
        <f>SUM(Tabla1[[#This Row],[january]:[march]])</f>
        <v>1897269</v>
      </c>
      <c r="H104" s="24">
        <f>_xlfn.XLOOKUP(C104,[3]Gastos!$B:$B,[3]Gastos!$V:$V)</f>
        <v>637622</v>
      </c>
      <c r="I104" s="24">
        <f>_xlfn.XLOOKUP(C104,[3]Gastos!$B:$B,[3]Gastos!$AA:$AA)</f>
        <v>642380</v>
      </c>
      <c r="J104" s="24">
        <f>_xlfn.XLOOKUP(C104,[3]Gastos!$B:$B,[3]Gastos!$AF:$AF)</f>
        <v>643833</v>
      </c>
      <c r="K104" s="24">
        <f>SUM(Tabla1[[#This Row],[april]:[june]])</f>
        <v>1923835</v>
      </c>
      <c r="L104" s="24">
        <f>_xlfn.XLOOKUP(C104,[3]Gastos!$B:$B,[3]Gastos!$AK:$AK)</f>
        <v>1500733</v>
      </c>
      <c r="M104" s="24">
        <f>_xlfn.XLOOKUP(C104,[3]Gastos!$B:$B,[3]Gastos!$AP:$AP)</f>
        <v>644014</v>
      </c>
      <c r="N104" s="24">
        <f>_xlfn.XLOOKUP(Tabla1[[#This Row],[Subcuenta]],[3]Gastos!$B:$B,[3]Gastos!$AU:$AU)</f>
        <v>645911</v>
      </c>
      <c r="O104" s="24">
        <f>SUM(Tabla1[[#This Row],[july]:[september]])</f>
        <v>2790658</v>
      </c>
      <c r="P104" s="24">
        <f>_xlfn.XLOOKUP(Tabla1[[#This Row],[Subcuenta]],[3]Gastos!$B:$B,[3]Gastos!$AZ:$AZ)</f>
        <v>7326535</v>
      </c>
      <c r="Q104" s="24">
        <f>_xlfn.XLOOKUP(Tabla1[[#This Row],[Subcuenta]],[3]Gastos!$B:$B,[3]Gastos!$BE:$BE)</f>
        <v>651798</v>
      </c>
      <c r="R104" s="24">
        <f>_xlfn.XLOOKUP(Tabla1[[#This Row],[Subcuenta]],[3]Gastos!$B:$B,[3]Gastos!$BJ:$BJ)</f>
        <v>7319066</v>
      </c>
      <c r="S104" s="24">
        <f>SUM(Tabla1[[#This Row],[october]:[december]])</f>
        <v>15297399</v>
      </c>
      <c r="T104" s="43">
        <f t="shared" si="1"/>
        <v>21909161</v>
      </c>
    </row>
    <row r="105" spans="2:20" x14ac:dyDescent="0.3">
      <c r="B105" s="35" t="s">
        <v>265</v>
      </c>
      <c r="C105" s="23" t="s">
        <v>202</v>
      </c>
      <c r="D105" s="24">
        <f>_xlfn.XLOOKUP(C105,[3]Gastos!$B:$B,[3]Gastos!$G:$G)</f>
        <v>1883324</v>
      </c>
      <c r="E105" s="24">
        <f>_xlfn.XLOOKUP(C105,[3]Gastos!$B:$B,[3]Gastos!$L:$L)</f>
        <v>718345</v>
      </c>
      <c r="F105" s="24">
        <f>_xlfn.XLOOKUP(C105,[3]Gastos!$B:$B,[3]Gastos!$Q:$Q)</f>
        <v>762045</v>
      </c>
      <c r="G105" s="24">
        <f>SUM(Tabla1[[#This Row],[january]:[march]])</f>
        <v>3363714</v>
      </c>
      <c r="H105" s="24">
        <f>_xlfn.XLOOKUP(C105,[3]Gastos!$B:$B,[3]Gastos!$V:$V)</f>
        <v>1336763</v>
      </c>
      <c r="I105" s="24">
        <f>_xlfn.XLOOKUP(C105,[3]Gastos!$B:$B,[3]Gastos!$AA:$AA)</f>
        <v>198400</v>
      </c>
      <c r="J105" s="24">
        <f>_xlfn.XLOOKUP(C105,[3]Gastos!$B:$B,[3]Gastos!$AF:$AF)</f>
        <v>561526</v>
      </c>
      <c r="K105" s="24">
        <f>SUM(Tabla1[[#This Row],[april]:[june]])</f>
        <v>2096689</v>
      </c>
      <c r="L105" s="24">
        <f>_xlfn.XLOOKUP(C105,[3]Gastos!$B:$B,[3]Gastos!$AK:$AK)</f>
        <v>1517575</v>
      </c>
      <c r="M105" s="24">
        <f>_xlfn.XLOOKUP(C105,[3]Gastos!$B:$B,[3]Gastos!$AP:$AP)</f>
        <v>595200</v>
      </c>
      <c r="N105" s="24">
        <f>_xlfn.XLOOKUP(Tabla1[[#This Row],[Subcuenta]],[3]Gastos!$B:$B,[3]Gastos!$AU:$AU)</f>
        <v>396800</v>
      </c>
      <c r="O105" s="24">
        <f>SUM(Tabla1[[#This Row],[july]:[september]])</f>
        <v>2509575</v>
      </c>
      <c r="P105" s="24">
        <f>_xlfn.XLOOKUP(Tabla1[[#This Row],[Subcuenta]],[3]Gastos!$B:$B,[3]Gastos!$AZ:$AZ)</f>
        <v>985510</v>
      </c>
      <c r="Q105" s="24">
        <f>_xlfn.XLOOKUP(Tabla1[[#This Row],[Subcuenta]],[3]Gastos!$B:$B,[3]Gastos!$BE:$BE)</f>
        <v>1032070</v>
      </c>
      <c r="R105" s="24">
        <f>_xlfn.XLOOKUP(Tabla1[[#This Row],[Subcuenta]],[3]Gastos!$B:$B,[3]Gastos!$BJ:$BJ)</f>
        <v>1583356</v>
      </c>
      <c r="S105" s="24">
        <f>SUM(Tabla1[[#This Row],[october]:[december]])</f>
        <v>3600936</v>
      </c>
      <c r="T105" s="43">
        <f t="shared" si="1"/>
        <v>11570914</v>
      </c>
    </row>
    <row r="106" spans="2:20" x14ac:dyDescent="0.3">
      <c r="B106" s="35" t="s">
        <v>265</v>
      </c>
      <c r="C106" s="23" t="s">
        <v>203</v>
      </c>
      <c r="D106" s="24">
        <f>_xlfn.XLOOKUP(C106,[3]Gastos!$B:$B,[3]Gastos!$G:$G)</f>
        <v>0</v>
      </c>
      <c r="E106" s="24">
        <f>_xlfn.XLOOKUP(C106,[3]Gastos!$B:$B,[3]Gastos!$L:$L)</f>
        <v>149112</v>
      </c>
      <c r="F106" s="24">
        <f>_xlfn.XLOOKUP(C106,[3]Gastos!$B:$B,[3]Gastos!$Q:$Q)</f>
        <v>0</v>
      </c>
      <c r="G106" s="24">
        <f>SUM(Tabla1[[#This Row],[january]:[march]])</f>
        <v>149112</v>
      </c>
      <c r="H106" s="24">
        <f>_xlfn.XLOOKUP(C106,[3]Gastos!$B:$B,[3]Gastos!$V:$V)</f>
        <v>0</v>
      </c>
      <c r="I106" s="24">
        <f>_xlfn.XLOOKUP(C106,[3]Gastos!$B:$B,[3]Gastos!$AA:$AA)</f>
        <v>0</v>
      </c>
      <c r="J106" s="24">
        <f>_xlfn.XLOOKUP(C106,[3]Gastos!$B:$B,[3]Gastos!$AF:$AF)</f>
        <v>0</v>
      </c>
      <c r="K106" s="24">
        <f>SUM(Tabla1[[#This Row],[april]:[june]])</f>
        <v>0</v>
      </c>
      <c r="L106" s="24">
        <f>_xlfn.XLOOKUP(C106,[3]Gastos!$B:$B,[3]Gastos!$AK:$AK)</f>
        <v>0</v>
      </c>
      <c r="M106" s="24">
        <f>_xlfn.XLOOKUP(C106,[3]Gastos!$B:$B,[3]Gastos!$AP:$AP)</f>
        <v>0</v>
      </c>
      <c r="N106" s="24">
        <f>_xlfn.XLOOKUP(Tabla1[[#This Row],[Subcuenta]],[3]Gastos!$B:$B,[3]Gastos!$AU:$AU)</f>
        <v>0</v>
      </c>
      <c r="O106" s="24">
        <f>SUM(Tabla1[[#This Row],[july]:[september]])</f>
        <v>0</v>
      </c>
      <c r="P106" s="24">
        <f>_xlfn.XLOOKUP(Tabla1[[#This Row],[Subcuenta]],[3]Gastos!$B:$B,[3]Gastos!$AZ:$AZ)</f>
        <v>0</v>
      </c>
      <c r="Q106" s="24">
        <f>_xlfn.XLOOKUP(Tabla1[[#This Row],[Subcuenta]],[3]Gastos!$B:$B,[3]Gastos!$BE:$BE)</f>
        <v>0</v>
      </c>
      <c r="R106" s="24">
        <f>_xlfn.XLOOKUP(Tabla1[[#This Row],[Subcuenta]],[3]Gastos!$B:$B,[3]Gastos!$BJ:$BJ)</f>
        <v>0</v>
      </c>
      <c r="S106" s="24">
        <f>SUM(Tabla1[[#This Row],[october]:[december]])</f>
        <v>0</v>
      </c>
      <c r="T106" s="43">
        <f t="shared" si="1"/>
        <v>149112</v>
      </c>
    </row>
    <row r="107" spans="2:20" x14ac:dyDescent="0.3">
      <c r="B107" s="35" t="s">
        <v>265</v>
      </c>
      <c r="C107" s="23" t="s">
        <v>204</v>
      </c>
      <c r="D107" s="24">
        <f>_xlfn.XLOOKUP(C107,[3]Gastos!$B:$B,[3]Gastos!$G:$G)</f>
        <v>0</v>
      </c>
      <c r="E107" s="24">
        <f>_xlfn.XLOOKUP(C107,[3]Gastos!$B:$B,[3]Gastos!$L:$L)</f>
        <v>2051440</v>
      </c>
      <c r="F107" s="24">
        <f>_xlfn.XLOOKUP(C107,[3]Gastos!$B:$B,[3]Gastos!$Q:$Q)</f>
        <v>1155094</v>
      </c>
      <c r="G107" s="24">
        <f>SUM(Tabla1[[#This Row],[january]:[march]])</f>
        <v>3206534</v>
      </c>
      <c r="H107" s="24">
        <f>_xlfn.XLOOKUP(C107,[3]Gastos!$B:$B,[3]Gastos!$V:$V)</f>
        <v>0</v>
      </c>
      <c r="I107" s="24">
        <f>_xlfn.XLOOKUP(C107,[3]Gastos!$B:$B,[3]Gastos!$AA:$AA)</f>
        <v>264937</v>
      </c>
      <c r="J107" s="24">
        <f>_xlfn.XLOOKUP(C107,[3]Gastos!$B:$B,[3]Gastos!$AF:$AF)</f>
        <v>0</v>
      </c>
      <c r="K107" s="24">
        <f>SUM(Tabla1[[#This Row],[april]:[june]])</f>
        <v>264937</v>
      </c>
      <c r="L107" s="24">
        <f>_xlfn.XLOOKUP(C107,[3]Gastos!$B:$B,[3]Gastos!$AK:$AK)</f>
        <v>0</v>
      </c>
      <c r="M107" s="24">
        <f>_xlfn.XLOOKUP(C107,[3]Gastos!$B:$B,[3]Gastos!$AP:$AP)</f>
        <v>0</v>
      </c>
      <c r="N107" s="24">
        <f>_xlfn.XLOOKUP(Tabla1[[#This Row],[Subcuenta]],[3]Gastos!$B:$B,[3]Gastos!$AU:$AU)</f>
        <v>0</v>
      </c>
      <c r="O107" s="24">
        <f>SUM(Tabla1[[#This Row],[july]:[september]])</f>
        <v>0</v>
      </c>
      <c r="P107" s="24">
        <f>_xlfn.XLOOKUP(Tabla1[[#This Row],[Subcuenta]],[3]Gastos!$B:$B,[3]Gastos!$AZ:$AZ)</f>
        <v>0</v>
      </c>
      <c r="Q107" s="24">
        <f>_xlfn.XLOOKUP(Tabla1[[#This Row],[Subcuenta]],[3]Gastos!$B:$B,[3]Gastos!$BE:$BE)</f>
        <v>264937</v>
      </c>
      <c r="R107" s="24">
        <f>_xlfn.XLOOKUP(Tabla1[[#This Row],[Subcuenta]],[3]Gastos!$B:$B,[3]Gastos!$BJ:$BJ)</f>
        <v>0</v>
      </c>
      <c r="S107" s="24">
        <f>SUM(Tabla1[[#This Row],[october]:[december]])</f>
        <v>264937</v>
      </c>
      <c r="T107" s="43">
        <f t="shared" si="1"/>
        <v>3736408</v>
      </c>
    </row>
    <row r="108" spans="2:20" x14ac:dyDescent="0.3">
      <c r="B108" s="35" t="s">
        <v>265</v>
      </c>
      <c r="C108" s="23" t="s">
        <v>205</v>
      </c>
      <c r="D108" s="24">
        <f>_xlfn.XLOOKUP(C108,[3]Gastos!$B:$B,[3]Gastos!$G:$G)</f>
        <v>0</v>
      </c>
      <c r="E108" s="24">
        <f>_xlfn.XLOOKUP(C108,[3]Gastos!$B:$B,[3]Gastos!$L:$L)</f>
        <v>0</v>
      </c>
      <c r="F108" s="24">
        <f>_xlfn.XLOOKUP(C108,[3]Gastos!$B:$B,[3]Gastos!$Q:$Q)</f>
        <v>0</v>
      </c>
      <c r="G108" s="24">
        <f>SUM(Tabla1[[#This Row],[january]:[march]])</f>
        <v>0</v>
      </c>
      <c r="H108" s="24">
        <f>_xlfn.XLOOKUP(C108,[3]Gastos!$B:$B,[3]Gastos!$V:$V)</f>
        <v>0</v>
      </c>
      <c r="I108" s="24">
        <f>_xlfn.XLOOKUP(C108,[3]Gastos!$B:$B,[3]Gastos!$AA:$AA)</f>
        <v>0</v>
      </c>
      <c r="J108" s="24">
        <f>_xlfn.XLOOKUP(C108,[3]Gastos!$B:$B,[3]Gastos!$AF:$AF)</f>
        <v>0</v>
      </c>
      <c r="K108" s="24">
        <f>SUM(Tabla1[[#This Row],[april]:[june]])</f>
        <v>0</v>
      </c>
      <c r="L108" s="24">
        <f>_xlfn.XLOOKUP(C108,[3]Gastos!$B:$B,[3]Gastos!$AK:$AK)</f>
        <v>0</v>
      </c>
      <c r="M108" s="24">
        <f>_xlfn.XLOOKUP(C108,[3]Gastos!$B:$B,[3]Gastos!$AP:$AP)</f>
        <v>0</v>
      </c>
      <c r="N108" s="24">
        <f>_xlfn.XLOOKUP(Tabla1[[#This Row],[Subcuenta]],[3]Gastos!$B:$B,[3]Gastos!$AU:$AU)</f>
        <v>758242</v>
      </c>
      <c r="O108" s="24">
        <f>SUM(Tabla1[[#This Row],[july]:[september]])</f>
        <v>758242</v>
      </c>
      <c r="P108" s="24">
        <f>_xlfn.XLOOKUP(Tabla1[[#This Row],[Subcuenta]],[3]Gastos!$B:$B,[3]Gastos!$AZ:$AZ)</f>
        <v>0</v>
      </c>
      <c r="Q108" s="24">
        <f>_xlfn.XLOOKUP(Tabla1[[#This Row],[Subcuenta]],[3]Gastos!$B:$B,[3]Gastos!$BE:$BE)</f>
        <v>0</v>
      </c>
      <c r="R108" s="24">
        <f>_xlfn.XLOOKUP(Tabla1[[#This Row],[Subcuenta]],[3]Gastos!$B:$B,[3]Gastos!$BJ:$BJ)</f>
        <v>0</v>
      </c>
      <c r="S108" s="24">
        <f>SUM(Tabla1[[#This Row],[october]:[december]])</f>
        <v>0</v>
      </c>
      <c r="T108" s="43">
        <f t="shared" si="1"/>
        <v>758242</v>
      </c>
    </row>
    <row r="109" spans="2:20" x14ac:dyDescent="0.3">
      <c r="B109" s="35" t="s">
        <v>265</v>
      </c>
      <c r="C109" s="23" t="s">
        <v>206</v>
      </c>
      <c r="D109" s="24">
        <f>_xlfn.XLOOKUP(C109,[3]Gastos!$B:$B,[3]Gastos!$G:$G)</f>
        <v>0</v>
      </c>
      <c r="E109" s="24">
        <f>_xlfn.XLOOKUP(C109,[3]Gastos!$B:$B,[3]Gastos!$L:$L)</f>
        <v>0</v>
      </c>
      <c r="F109" s="24">
        <f>_xlfn.XLOOKUP(C109,[3]Gastos!$B:$B,[3]Gastos!$Q:$Q)</f>
        <v>0</v>
      </c>
      <c r="G109" s="24">
        <f>SUM(Tabla1[[#This Row],[january]:[march]])</f>
        <v>0</v>
      </c>
      <c r="H109" s="24">
        <f>_xlfn.XLOOKUP(C109,[3]Gastos!$B:$B,[3]Gastos!$V:$V)</f>
        <v>0</v>
      </c>
      <c r="I109" s="24">
        <f>_xlfn.XLOOKUP(C109,[3]Gastos!$B:$B,[3]Gastos!$AA:$AA)</f>
        <v>0</v>
      </c>
      <c r="J109" s="24">
        <f>_xlfn.XLOOKUP(C109,[3]Gastos!$B:$B,[3]Gastos!$AF:$AF)</f>
        <v>0</v>
      </c>
      <c r="K109" s="24">
        <f>SUM(Tabla1[[#This Row],[april]:[june]])</f>
        <v>0</v>
      </c>
      <c r="L109" s="24">
        <f>_xlfn.XLOOKUP(C109,[3]Gastos!$B:$B,[3]Gastos!$AK:$AK)</f>
        <v>0</v>
      </c>
      <c r="M109" s="24">
        <f>_xlfn.XLOOKUP(C109,[3]Gastos!$B:$B,[3]Gastos!$AP:$AP)</f>
        <v>2431676</v>
      </c>
      <c r="N109" s="24">
        <f>_xlfn.XLOOKUP(Tabla1[[#This Row],[Subcuenta]],[3]Gastos!$B:$B,[3]Gastos!$AU:$AU)</f>
        <v>0</v>
      </c>
      <c r="O109" s="24">
        <f>SUM(Tabla1[[#This Row],[july]:[september]])</f>
        <v>2431676</v>
      </c>
      <c r="P109" s="24">
        <f>_xlfn.XLOOKUP(Tabla1[[#This Row],[Subcuenta]],[3]Gastos!$B:$B,[3]Gastos!$AZ:$AZ)</f>
        <v>148503</v>
      </c>
      <c r="Q109" s="24">
        <f>_xlfn.XLOOKUP(Tabla1[[#This Row],[Subcuenta]],[3]Gastos!$B:$B,[3]Gastos!$BE:$BE)</f>
        <v>0</v>
      </c>
      <c r="R109" s="24">
        <f>_xlfn.XLOOKUP(Tabla1[[#This Row],[Subcuenta]],[3]Gastos!$B:$B,[3]Gastos!$BJ:$BJ)</f>
        <v>0</v>
      </c>
      <c r="S109" s="24">
        <f>SUM(Tabla1[[#This Row],[october]:[december]])</f>
        <v>148503</v>
      </c>
      <c r="T109" s="43">
        <f t="shared" si="1"/>
        <v>2580179</v>
      </c>
    </row>
    <row r="110" spans="2:20" ht="14.5" x14ac:dyDescent="0.35">
      <c r="B110" s="35" t="s">
        <v>265</v>
      </c>
      <c r="C110" s="93" t="s">
        <v>380</v>
      </c>
      <c r="D110" s="24">
        <f>_xlfn.XLOOKUP(C110,[3]Gastos!$B:$B,[3]Gastos!$G:$G)</f>
        <v>0</v>
      </c>
      <c r="E110" s="24">
        <f>_xlfn.XLOOKUP(C110,[3]Gastos!$B:$B,[3]Gastos!$L:$L)</f>
        <v>0</v>
      </c>
      <c r="F110" s="24">
        <f>_xlfn.XLOOKUP(C110,[3]Gastos!$B:$B,[3]Gastos!$Q:$Q)</f>
        <v>0</v>
      </c>
      <c r="G110" s="24">
        <f>SUM(Tabla1[[#This Row],[january]:[march]])</f>
        <v>0</v>
      </c>
      <c r="H110" s="24">
        <f>_xlfn.XLOOKUP(C110,[3]Gastos!$B:$B,[3]Gastos!$V:$V)</f>
        <v>0</v>
      </c>
      <c r="I110" s="24">
        <f>_xlfn.XLOOKUP(C110,[3]Gastos!$B:$B,[3]Gastos!$AA:$AA)</f>
        <v>0</v>
      </c>
      <c r="J110" s="24">
        <f>_xlfn.XLOOKUP(C110,[3]Gastos!$B:$B,[3]Gastos!$AF:$AF)</f>
        <v>0</v>
      </c>
      <c r="K110" s="24">
        <f>SUM(Tabla1[[#This Row],[april]:[june]])</f>
        <v>0</v>
      </c>
      <c r="L110" s="24">
        <f>_xlfn.XLOOKUP(C110,[3]Gastos!$B:$B,[3]Gastos!$AK:$AK)</f>
        <v>0</v>
      </c>
      <c r="M110" s="24">
        <f>_xlfn.XLOOKUP(C110,[3]Gastos!$B:$B,[3]Gastos!$AP:$AP)</f>
        <v>5734512</v>
      </c>
      <c r="N110" s="24">
        <f>_xlfn.XLOOKUP(Tabla1[[#This Row],[Subcuenta]],[3]Gastos!$B:$B,[3]Gastos!$AU:$AU)</f>
        <v>4597684</v>
      </c>
      <c r="O110" s="24">
        <f>SUM(Tabla1[[#This Row],[july]:[september]])</f>
        <v>10332196</v>
      </c>
      <c r="P110" s="24">
        <f>_xlfn.XLOOKUP(Tabla1[[#This Row],[Subcuenta]],[3]Gastos!$B:$B,[3]Gastos!$AZ:$AZ)</f>
        <v>2673816</v>
      </c>
      <c r="Q110" s="24">
        <f>_xlfn.XLOOKUP(Tabla1[[#This Row],[Subcuenta]],[3]Gastos!$B:$B,[3]Gastos!$BE:$BE)</f>
        <v>0</v>
      </c>
      <c r="R110" s="24">
        <f>_xlfn.XLOOKUP(Tabla1[[#This Row],[Subcuenta]],[3]Gastos!$B:$B,[3]Gastos!$BJ:$BJ)</f>
        <v>4348432</v>
      </c>
      <c r="S110" s="24">
        <f>SUM(Tabla1[[#This Row],[october]:[december]])</f>
        <v>7022248</v>
      </c>
      <c r="T110" s="43">
        <f>SUM(G110,K110,O110,S110)</f>
        <v>17354444</v>
      </c>
    </row>
    <row r="111" spans="2:20" x14ac:dyDescent="0.3">
      <c r="B111" s="35" t="s">
        <v>265</v>
      </c>
      <c r="C111" s="23" t="s">
        <v>207</v>
      </c>
      <c r="D111" s="24">
        <f>_xlfn.XLOOKUP(C111,[3]Gastos!$B:$B,[3]Gastos!$G:$G)</f>
        <v>12586943</v>
      </c>
      <c r="E111" s="24">
        <f>_xlfn.XLOOKUP(C111,[3]Gastos!$B:$B,[3]Gastos!$L:$L)</f>
        <v>2217831</v>
      </c>
      <c r="F111" s="24">
        <f>_xlfn.XLOOKUP(C111,[3]Gastos!$B:$B,[3]Gastos!$Q:$Q)</f>
        <v>34125775</v>
      </c>
      <c r="G111" s="24">
        <f>SUM(Tabla1[[#This Row],[january]:[march]])</f>
        <v>48930549</v>
      </c>
      <c r="H111" s="24">
        <f>_xlfn.XLOOKUP(C111,[3]Gastos!$B:$B,[3]Gastos!$V:$V)</f>
        <v>21405654</v>
      </c>
      <c r="I111" s="24">
        <f>_xlfn.XLOOKUP(C111,[3]Gastos!$B:$B,[3]Gastos!$AA:$AA)</f>
        <v>11951748</v>
      </c>
      <c r="J111" s="24">
        <f>_xlfn.XLOOKUP(C111,[3]Gastos!$B:$B,[3]Gastos!$AF:$AF)</f>
        <v>13760307</v>
      </c>
      <c r="K111" s="24">
        <f>SUM(Tabla1[[#This Row],[april]:[june]])</f>
        <v>47117709</v>
      </c>
      <c r="L111" s="24">
        <f>_xlfn.XLOOKUP(C111,[3]Gastos!$B:$B,[3]Gastos!$AK:$AK)</f>
        <v>0</v>
      </c>
      <c r="M111" s="24">
        <f>_xlfn.XLOOKUP(C111,[3]Gastos!$B:$B,[3]Gastos!$AP:$AP)</f>
        <v>11994620</v>
      </c>
      <c r="N111" s="24">
        <f>_xlfn.XLOOKUP(Tabla1[[#This Row],[Subcuenta]],[3]Gastos!$B:$B,[3]Gastos!$AU:$AU)</f>
        <v>2439223</v>
      </c>
      <c r="O111" s="24">
        <f>SUM(Tabla1[[#This Row],[july]:[september]])</f>
        <v>14433843</v>
      </c>
      <c r="P111" s="24">
        <f>_xlfn.XLOOKUP(Tabla1[[#This Row],[Subcuenta]],[3]Gastos!$B:$B,[3]Gastos!$AZ:$AZ)</f>
        <v>0</v>
      </c>
      <c r="Q111" s="24">
        <f>_xlfn.XLOOKUP(Tabla1[[#This Row],[Subcuenta]],[3]Gastos!$B:$B,[3]Gastos!$BE:$BE)</f>
        <v>0</v>
      </c>
      <c r="R111" s="24">
        <f>_xlfn.XLOOKUP(Tabla1[[#This Row],[Subcuenta]],[3]Gastos!$B:$B,[3]Gastos!$BJ:$BJ)</f>
        <v>0</v>
      </c>
      <c r="S111" s="24">
        <f>SUM(Tabla1[[#This Row],[october]:[december]])</f>
        <v>0</v>
      </c>
      <c r="T111" s="43">
        <f t="shared" si="1"/>
        <v>110482101</v>
      </c>
    </row>
    <row r="112" spans="2:20" x14ac:dyDescent="0.3">
      <c r="B112" s="35" t="s">
        <v>265</v>
      </c>
      <c r="C112" s="23" t="s">
        <v>208</v>
      </c>
      <c r="D112" s="24">
        <f>_xlfn.XLOOKUP(C112,[3]Gastos!$B:$B,[3]Gastos!$G:$G)</f>
        <v>10793157</v>
      </c>
      <c r="E112" s="24">
        <f>_xlfn.XLOOKUP(C112,[3]Gastos!$B:$B,[3]Gastos!$L:$L)</f>
        <v>2831136</v>
      </c>
      <c r="F112" s="24">
        <f>_xlfn.XLOOKUP(C112,[3]Gastos!$B:$B,[3]Gastos!$Q:$Q)</f>
        <v>13302722</v>
      </c>
      <c r="G112" s="24">
        <f>SUM(Tabla1[[#This Row],[january]:[march]])</f>
        <v>26927015</v>
      </c>
      <c r="H112" s="24">
        <f>_xlfn.XLOOKUP(C112,[3]Gastos!$B:$B,[3]Gastos!$V:$V)</f>
        <v>1320315</v>
      </c>
      <c r="I112" s="24">
        <f>_xlfn.XLOOKUP(C112,[3]Gastos!$B:$B,[3]Gastos!$AA:$AA)</f>
        <v>12051421</v>
      </c>
      <c r="J112" s="24">
        <f>_xlfn.XLOOKUP(C112,[3]Gastos!$B:$B,[3]Gastos!$AF:$AF)</f>
        <v>13081099</v>
      </c>
      <c r="K112" s="24">
        <f>SUM(Tabla1[[#This Row],[april]:[june]])</f>
        <v>26452835</v>
      </c>
      <c r="L112" s="24">
        <f>_xlfn.XLOOKUP(C112,[3]Gastos!$B:$B,[3]Gastos!$AK:$AK)</f>
        <v>12242032</v>
      </c>
      <c r="M112" s="24">
        <f>_xlfn.XLOOKUP(C112,[3]Gastos!$B:$B,[3]Gastos!$AP:$AP)</f>
        <v>19115896</v>
      </c>
      <c r="N112" s="24">
        <f>_xlfn.XLOOKUP(Tabla1[[#This Row],[Subcuenta]],[3]Gastos!$B:$B,[3]Gastos!$AU:$AU)</f>
        <v>17833394</v>
      </c>
      <c r="O112" s="24">
        <f>SUM(Tabla1[[#This Row],[july]:[september]])</f>
        <v>49191322</v>
      </c>
      <c r="P112" s="24">
        <f>_xlfn.XLOOKUP(Tabla1[[#This Row],[Subcuenta]],[3]Gastos!$B:$B,[3]Gastos!$AZ:$AZ)</f>
        <v>12571890</v>
      </c>
      <c r="Q112" s="24">
        <f>_xlfn.XLOOKUP(Tabla1[[#This Row],[Subcuenta]],[3]Gastos!$B:$B,[3]Gastos!$BE:$BE)</f>
        <v>1599218</v>
      </c>
      <c r="R112" s="24">
        <f>_xlfn.XLOOKUP(Tabla1[[#This Row],[Subcuenta]],[3]Gastos!$B:$B,[3]Gastos!$BJ:$BJ)</f>
        <v>2024627</v>
      </c>
      <c r="S112" s="24">
        <f>SUM(Tabla1[[#This Row],[october]:[december]])</f>
        <v>16195735</v>
      </c>
      <c r="T112" s="43">
        <f t="shared" si="1"/>
        <v>118766907</v>
      </c>
    </row>
    <row r="113" spans="2:21" x14ac:dyDescent="0.3">
      <c r="B113" s="35" t="s">
        <v>265</v>
      </c>
      <c r="C113" s="23" t="s">
        <v>209</v>
      </c>
      <c r="D113" s="24">
        <f>_xlfn.XLOOKUP(C113,[3]Gastos!$B:$B,[3]Gastos!$G:$G)</f>
        <v>0</v>
      </c>
      <c r="E113" s="24">
        <f>_xlfn.XLOOKUP(C113,[3]Gastos!$B:$B,[3]Gastos!$L:$L)</f>
        <v>23062.221000000001</v>
      </c>
      <c r="F113" s="24">
        <f>_xlfn.XLOOKUP(C113,[3]Gastos!$B:$B,[3]Gastos!$Q:$Q)</f>
        <v>160289</v>
      </c>
      <c r="G113" s="24">
        <f>SUM(Tabla1[[#This Row],[january]:[march]])</f>
        <v>183351.22099999999</v>
      </c>
      <c r="H113" s="24">
        <f>_xlfn.XLOOKUP(C113,[3]Gastos!$B:$B,[3]Gastos!$V:$V)</f>
        <v>106056</v>
      </c>
      <c r="I113" s="24">
        <f>_xlfn.XLOOKUP(C113,[3]Gastos!$B:$B,[3]Gastos!$AA:$AA)</f>
        <v>188369.78160000007</v>
      </c>
      <c r="J113" s="24">
        <f>_xlfn.XLOOKUP(C113,[3]Gastos!$B:$B,[3]Gastos!$AF:$AF)</f>
        <v>143011</v>
      </c>
      <c r="K113" s="24">
        <f>SUM(Tabla1[[#This Row],[april]:[june]])</f>
        <v>437436.7816000001</v>
      </c>
      <c r="L113" s="24">
        <f>_xlfn.XLOOKUP(C113,[3]Gastos!$B:$B,[3]Gastos!$AK:$AK)</f>
        <v>0</v>
      </c>
      <c r="M113" s="24">
        <f>_xlfn.XLOOKUP(C113,[3]Gastos!$B:$B,[3]Gastos!$AP:$AP)</f>
        <v>17617</v>
      </c>
      <c r="N113" s="24">
        <f>_xlfn.XLOOKUP(Tabla1[[#This Row],[Subcuenta]],[3]Gastos!$B:$B,[3]Gastos!$AU:$AU)</f>
        <v>0</v>
      </c>
      <c r="O113" s="24">
        <f>SUM(Tabla1[[#This Row],[july]:[september]])</f>
        <v>17617</v>
      </c>
      <c r="P113" s="24">
        <f>_xlfn.XLOOKUP(Tabla1[[#This Row],[Subcuenta]],[3]Gastos!$B:$B,[3]Gastos!$AZ:$AZ)</f>
        <v>54848</v>
      </c>
      <c r="Q113" s="24">
        <f>_xlfn.XLOOKUP(Tabla1[[#This Row],[Subcuenta]],[3]Gastos!$B:$B,[3]Gastos!$BE:$BE)</f>
        <v>0</v>
      </c>
      <c r="R113" s="24">
        <f>_xlfn.XLOOKUP(Tabla1[[#This Row],[Subcuenta]],[3]Gastos!$B:$B,[3]Gastos!$BJ:$BJ)</f>
        <v>0</v>
      </c>
      <c r="S113" s="24">
        <f>SUM(Tabla1[[#This Row],[october]:[december]])</f>
        <v>54848</v>
      </c>
      <c r="T113" s="43">
        <f t="shared" si="1"/>
        <v>693253.00260000012</v>
      </c>
    </row>
    <row r="114" spans="2:21" x14ac:dyDescent="0.3">
      <c r="B114" s="35" t="s">
        <v>265</v>
      </c>
      <c r="C114" s="23" t="s">
        <v>381</v>
      </c>
      <c r="D114" s="24">
        <f>_xlfn.XLOOKUP(C114,[3]Gastos!$B:$B,[3]Gastos!$G:$G)</f>
        <v>0</v>
      </c>
      <c r="E114" s="24">
        <f>_xlfn.XLOOKUP(C114,[3]Gastos!$B:$B,[3]Gastos!$L:$L)</f>
        <v>0</v>
      </c>
      <c r="F114" s="24">
        <f>_xlfn.XLOOKUP(C114,[3]Gastos!$B:$B,[3]Gastos!$Q:$Q)</f>
        <v>0</v>
      </c>
      <c r="G114" s="24">
        <f>SUM(Tabla1[[#This Row],[january]:[march]])</f>
        <v>0</v>
      </c>
      <c r="H114" s="24">
        <f>_xlfn.XLOOKUP(C114,[3]Gastos!$B:$B,[3]Gastos!$V:$V)</f>
        <v>0</v>
      </c>
      <c r="I114" s="24">
        <f>_xlfn.XLOOKUP(C114,[3]Gastos!$B:$B,[3]Gastos!$AA:$AA)</f>
        <v>0</v>
      </c>
      <c r="J114" s="24">
        <f>_xlfn.XLOOKUP(C114,[3]Gastos!$B:$B,[3]Gastos!$AF:$AF)</f>
        <v>0</v>
      </c>
      <c r="K114" s="24">
        <f>SUM(Tabla1[[#This Row],[april]:[june]])</f>
        <v>0</v>
      </c>
      <c r="L114" s="24">
        <f>_xlfn.XLOOKUP(C114,[3]Gastos!$B:$B,[3]Gastos!$AK:$AK)</f>
        <v>0</v>
      </c>
      <c r="M114" s="24">
        <f>_xlfn.XLOOKUP(C114,[3]Gastos!$B:$B,[3]Gastos!$AP:$AP)</f>
        <v>3709860</v>
      </c>
      <c r="N114" s="24">
        <f>_xlfn.XLOOKUP(Tabla1[[#This Row],[Subcuenta]],[3]Gastos!$B:$B,[3]Gastos!$AU:$AU)</f>
        <v>0</v>
      </c>
      <c r="O114" s="24">
        <f>SUM(Tabla1[[#This Row],[july]:[september]])</f>
        <v>3709860</v>
      </c>
      <c r="P114" s="24">
        <f>_xlfn.XLOOKUP(Tabla1[[#This Row],[Subcuenta]],[3]Gastos!$B:$B,[3]Gastos!$AZ:$AZ)</f>
        <v>0</v>
      </c>
      <c r="Q114" s="24">
        <f>_xlfn.XLOOKUP(Tabla1[[#This Row],[Subcuenta]],[3]Gastos!$B:$B,[3]Gastos!$BE:$BE)</f>
        <v>0</v>
      </c>
      <c r="R114" s="24">
        <f>_xlfn.XLOOKUP(Tabla1[[#This Row],[Subcuenta]],[3]Gastos!$B:$B,[3]Gastos!$BJ:$BJ)</f>
        <v>0</v>
      </c>
      <c r="S114" s="24">
        <f>SUM(Tabla1[[#This Row],[october]:[december]])</f>
        <v>0</v>
      </c>
      <c r="T114" s="43">
        <f>SUM(G114,K114,O114,S114)</f>
        <v>3709860</v>
      </c>
    </row>
    <row r="115" spans="2:21" x14ac:dyDescent="0.3">
      <c r="B115" s="35" t="s">
        <v>265</v>
      </c>
      <c r="C115" s="23" t="s">
        <v>385</v>
      </c>
      <c r="D115" s="24">
        <f>_xlfn.XLOOKUP(C115,[3]Gastos!$B:$B,[3]Gastos!$G:$G)</f>
        <v>0</v>
      </c>
      <c r="E115" s="24">
        <f>_xlfn.XLOOKUP(C115,[3]Gastos!$B:$B,[3]Gastos!$L:$L)</f>
        <v>0</v>
      </c>
      <c r="F115" s="24">
        <f>_xlfn.XLOOKUP(C115,[3]Gastos!$B:$B,[3]Gastos!$Q:$Q)</f>
        <v>0</v>
      </c>
      <c r="G115" s="24">
        <f>SUM(Tabla1[[#This Row],[january]:[march]])</f>
        <v>0</v>
      </c>
      <c r="H115" s="24">
        <f>_xlfn.XLOOKUP(C115,[3]Gastos!$B:$B,[3]Gastos!$V:$V)</f>
        <v>0</v>
      </c>
      <c r="I115" s="24">
        <f>_xlfn.XLOOKUP(C115,[3]Gastos!$B:$B,[3]Gastos!$AA:$AA)</f>
        <v>0</v>
      </c>
      <c r="J115" s="24">
        <f>_xlfn.XLOOKUP(C115,[3]Gastos!$B:$B,[3]Gastos!$AF:$AF)</f>
        <v>0</v>
      </c>
      <c r="K115" s="24">
        <f>SUM(Tabla1[[#This Row],[april]:[june]])</f>
        <v>0</v>
      </c>
      <c r="L115" s="24">
        <f>_xlfn.XLOOKUP(C115,[3]Gastos!$B:$B,[3]Gastos!$AK:$AK)</f>
        <v>0</v>
      </c>
      <c r="M115" s="24">
        <f>_xlfn.XLOOKUP(C115,[3]Gastos!$B:$B,[3]Gastos!$AP:$AP)</f>
        <v>0</v>
      </c>
      <c r="N115" s="24"/>
      <c r="O115" s="24">
        <f>SUM(Tabla1[[#This Row],[july]:[september]])</f>
        <v>0</v>
      </c>
      <c r="P115" s="24">
        <f>_xlfn.XLOOKUP(Tabla1[[#This Row],[Subcuenta]],[3]Gastos!$B:$B,[3]Gastos!$AZ:$AZ)</f>
        <v>4201962</v>
      </c>
      <c r="Q115" s="24">
        <f>_xlfn.XLOOKUP(Tabla1[[#This Row],[Subcuenta]],[3]Gastos!$B:$B,[3]Gastos!$BE:$BE)</f>
        <v>0</v>
      </c>
      <c r="R115" s="24">
        <f>_xlfn.XLOOKUP(Tabla1[[#This Row],[Subcuenta]],[3]Gastos!$B:$B,[3]Gastos!$BJ:$BJ)</f>
        <v>128000</v>
      </c>
      <c r="S115" s="24">
        <f>SUM(Tabla1[[#This Row],[october]:[december]])</f>
        <v>4329962</v>
      </c>
      <c r="T115" s="43">
        <f>SUM(G115,K115,O115,S115)</f>
        <v>4329962</v>
      </c>
    </row>
    <row r="116" spans="2:21" x14ac:dyDescent="0.3">
      <c r="B116" s="35" t="s">
        <v>265</v>
      </c>
      <c r="C116" s="23" t="s">
        <v>386</v>
      </c>
      <c r="D116" s="24">
        <f>_xlfn.XLOOKUP(C116,[3]Gastos!$B:$B,[3]Gastos!$G:$G)</f>
        <v>0</v>
      </c>
      <c r="E116" s="24">
        <f>_xlfn.XLOOKUP(C116,[3]Gastos!$B:$B,[3]Gastos!$L:$L)</f>
        <v>0</v>
      </c>
      <c r="F116" s="24">
        <f>_xlfn.XLOOKUP(C116,[3]Gastos!$B:$B,[3]Gastos!$Q:$Q)</f>
        <v>0</v>
      </c>
      <c r="G116" s="24">
        <f>SUM(Tabla1[[#This Row],[january]:[march]])</f>
        <v>0</v>
      </c>
      <c r="H116" s="24">
        <f>_xlfn.XLOOKUP(C116,[3]Gastos!$B:$B,[3]Gastos!$V:$V)</f>
        <v>0</v>
      </c>
      <c r="I116" s="24">
        <f>_xlfn.XLOOKUP(C116,[3]Gastos!$B:$B,[3]Gastos!$AA:$AA)</f>
        <v>0</v>
      </c>
      <c r="J116" s="24">
        <f>_xlfn.XLOOKUP(C116,[3]Gastos!$B:$B,[3]Gastos!$AF:$AF)</f>
        <v>0</v>
      </c>
      <c r="K116" s="24">
        <f>SUM(Tabla1[[#This Row],[april]:[june]])</f>
        <v>0</v>
      </c>
      <c r="L116" s="24">
        <f>_xlfn.XLOOKUP(C116,[3]Gastos!$B:$B,[3]Gastos!$AK:$AK)</f>
        <v>0</v>
      </c>
      <c r="M116" s="24">
        <f>_xlfn.XLOOKUP(C116,[3]Gastos!$B:$B,[3]Gastos!$AP:$AP)</f>
        <v>0</v>
      </c>
      <c r="N116" s="24"/>
      <c r="O116" s="24">
        <f>SUM(Tabla1[[#This Row],[july]:[september]])</f>
        <v>0</v>
      </c>
      <c r="P116" s="24">
        <f>_xlfn.XLOOKUP(Tabla1[[#This Row],[Subcuenta]],[3]Gastos!$B:$B,[3]Gastos!$AZ:$AZ)</f>
        <v>1277406</v>
      </c>
      <c r="Q116" s="24">
        <f>_xlfn.XLOOKUP(Tabla1[[#This Row],[Subcuenta]],[3]Gastos!$B:$B,[3]Gastos!$BE:$BE)</f>
        <v>0</v>
      </c>
      <c r="R116" s="24">
        <f>_xlfn.XLOOKUP(Tabla1[[#This Row],[Subcuenta]],[3]Gastos!$B:$B,[3]Gastos!$BJ:$BJ)</f>
        <v>4765955</v>
      </c>
      <c r="S116" s="24">
        <f>SUM(Tabla1[[#This Row],[october]:[december]])</f>
        <v>6043361</v>
      </c>
      <c r="T116" s="43">
        <f>SUM(G116,K116,O116,S116)</f>
        <v>6043361</v>
      </c>
    </row>
    <row r="117" spans="2:21" ht="14.5" thickBot="1" x14ac:dyDescent="0.35">
      <c r="B117" s="36" t="s">
        <v>265</v>
      </c>
      <c r="C117" s="37" t="s">
        <v>210</v>
      </c>
      <c r="D117" s="38">
        <f>_xlfn.XLOOKUP(C117,[3]Gastos!$B:$B,[3]Gastos!$G:$G)</f>
        <v>0</v>
      </c>
      <c r="E117" s="38">
        <f>_xlfn.XLOOKUP(C117,[3]Gastos!$B:$B,[3]Gastos!$L:$L)</f>
        <v>0</v>
      </c>
      <c r="F117" s="38">
        <f>_xlfn.XLOOKUP(C117,[3]Gastos!$B:$B,[3]Gastos!$Q:$Q)</f>
        <v>0</v>
      </c>
      <c r="G117" s="38">
        <f>SUM(Tabla1[[#This Row],[january]:[march]])</f>
        <v>0</v>
      </c>
      <c r="H117" s="38">
        <f>_xlfn.XLOOKUP(C117,[3]Gastos!$B:$B,[3]Gastos!$V:$V)</f>
        <v>0</v>
      </c>
      <c r="I117" s="38">
        <f>_xlfn.XLOOKUP(C117,[3]Gastos!$B:$B,[3]Gastos!$AA:$AA)</f>
        <v>0</v>
      </c>
      <c r="J117" s="38">
        <f>_xlfn.XLOOKUP(C117,[3]Gastos!$B:$B,[3]Gastos!$AF:$AF)</f>
        <v>0</v>
      </c>
      <c r="K117" s="38">
        <f>SUM(Tabla1[[#This Row],[april]:[june]])</f>
        <v>0</v>
      </c>
      <c r="L117" s="38">
        <f>_xlfn.XLOOKUP(C117,[3]Gastos!$B:$B,[3]Gastos!$AK:$AK)</f>
        <v>0</v>
      </c>
      <c r="M117" s="38">
        <f>_xlfn.XLOOKUP(C117,[3]Gastos!$B:$B,[3]Gastos!$AP:$AP)</f>
        <v>0</v>
      </c>
      <c r="N117" s="38">
        <f>_xlfn.XLOOKUP(Tabla1[[#This Row],[Subcuenta]],[3]Gastos!$B:$B,[3]Gastos!$AU:$AU)</f>
        <v>0</v>
      </c>
      <c r="O117" s="38">
        <f>SUM(Tabla1[[#This Row],[july]:[september]])</f>
        <v>0</v>
      </c>
      <c r="P117" s="38">
        <f>_xlfn.XLOOKUP(Tabla1[[#This Row],[Subcuenta]],[3]Gastos!$B:$B,[3]Gastos!$AZ:$AZ)</f>
        <v>0</v>
      </c>
      <c r="Q117" s="38">
        <f>_xlfn.XLOOKUP(Tabla1[[#This Row],[Subcuenta]],[3]Gastos!$B:$B,[3]Gastos!$BE:$BE)</f>
        <v>0</v>
      </c>
      <c r="R117" s="38">
        <f>_xlfn.XLOOKUP(Tabla1[[#This Row],[Subcuenta]],[3]Gastos!$B:$B,[3]Gastos!$BJ:$BJ)</f>
        <v>0</v>
      </c>
      <c r="S117" s="38">
        <f>SUM(Tabla1[[#This Row],[october]:[december]])</f>
        <v>0</v>
      </c>
      <c r="T117" s="43">
        <f t="shared" si="1"/>
        <v>0</v>
      </c>
      <c r="U117" s="64" t="e">
        <f>SUM(#REF!)</f>
        <v>#REF!</v>
      </c>
    </row>
    <row r="118" spans="2:21" x14ac:dyDescent="0.3">
      <c r="B118" s="29" t="s">
        <v>266</v>
      </c>
      <c r="C118" s="30" t="s">
        <v>211</v>
      </c>
      <c r="D118" s="31">
        <f>_xlfn.XLOOKUP(C118,[3]Gastos!$B:$B,[3]Gastos!$G:$G)</f>
        <v>359537</v>
      </c>
      <c r="E118" s="31">
        <f>_xlfn.XLOOKUP(C118,[3]Gastos!$B:$B,[3]Gastos!$L:$L)</f>
        <v>361801</v>
      </c>
      <c r="F118" s="31">
        <f>_xlfn.XLOOKUP(C118,[3]Gastos!$B:$B,[3]Gastos!$Q:$Q)</f>
        <v>362471</v>
      </c>
      <c r="G118" s="31">
        <f>SUM(Tabla1[[#This Row],[january]:[march]])</f>
        <v>1083809</v>
      </c>
      <c r="H118" s="31">
        <f>_xlfn.XLOOKUP(C118,[3]Gastos!$B:$B,[3]Gastos!$V:$V)</f>
        <v>394152</v>
      </c>
      <c r="I118" s="31">
        <f>_xlfn.XLOOKUP(C118,[3]Gastos!$B:$B,[3]Gastos!$AA:$AA)</f>
        <v>420301</v>
      </c>
      <c r="J118" s="31">
        <f>_xlfn.XLOOKUP(C118,[3]Gastos!$B:$B,[3]Gastos!$AF:$AF)</f>
        <v>431698</v>
      </c>
      <c r="K118" s="31">
        <f>SUM(Tabla1[[#This Row],[april]:[june]])</f>
        <v>1246151</v>
      </c>
      <c r="L118" s="31">
        <f>_xlfn.XLOOKUP(C118,[3]Gastos!$B:$B,[3]Gastos!$AK:$AK)</f>
        <v>403758</v>
      </c>
      <c r="M118" s="31">
        <f>_xlfn.XLOOKUP(C118,[3]Gastos!$B:$B,[3]Gastos!$AP:$AP)</f>
        <v>412075</v>
      </c>
      <c r="N118" s="31">
        <f>_xlfn.XLOOKUP(Tabla1[[#This Row],[Subcuenta]],[3]Gastos!$B:$B,[3]Gastos!$AU:$AU)</f>
        <v>405423</v>
      </c>
      <c r="O118" s="31">
        <f>SUM(Tabla1[[#This Row],[july]:[september]])</f>
        <v>1221256</v>
      </c>
      <c r="P118" s="24">
        <f>_xlfn.XLOOKUP(Tabla1[[#This Row],[Subcuenta]],[3]Gastos!$B:$B,[3]Gastos!$AZ:$AZ)</f>
        <v>407556</v>
      </c>
      <c r="Q118" s="31">
        <f>_xlfn.XLOOKUP(Tabla1[[#This Row],[Subcuenta]],[3]Gastos!$B:$B,[3]Gastos!$BE:$BE)</f>
        <v>413016</v>
      </c>
      <c r="R118" s="31">
        <f>_xlfn.XLOOKUP(Tabla1[[#This Row],[Subcuenta]],[3]Gastos!$B:$B,[3]Gastos!$BJ:$BJ)</f>
        <v>476577</v>
      </c>
      <c r="S118" s="31">
        <f>SUM(Tabla1[[#This Row],[october]:[december]])</f>
        <v>1297149</v>
      </c>
      <c r="T118" s="43">
        <f t="shared" si="1"/>
        <v>4848365</v>
      </c>
    </row>
    <row r="119" spans="2:21" x14ac:dyDescent="0.3">
      <c r="B119" s="25" t="s">
        <v>266</v>
      </c>
      <c r="C119" s="23" t="s">
        <v>212</v>
      </c>
      <c r="D119" s="24">
        <f>_xlfn.XLOOKUP(C119,[3]Gastos!$B:$B,[3]Gastos!$G:$G)</f>
        <v>42546</v>
      </c>
      <c r="E119" s="24">
        <f>_xlfn.XLOOKUP(C119,[3]Gastos!$B:$B,[3]Gastos!$L:$L)</f>
        <v>43165</v>
      </c>
      <c r="F119" s="24">
        <f>_xlfn.XLOOKUP(C119,[3]Gastos!$B:$B,[3]Gastos!$Q:$Q)</f>
        <v>42696</v>
      </c>
      <c r="G119" s="24">
        <f>SUM(Tabla1[[#This Row],[january]:[march]])</f>
        <v>128407</v>
      </c>
      <c r="H119" s="24">
        <f>_xlfn.XLOOKUP(C119,[3]Gastos!$B:$B,[3]Gastos!$V:$V)</f>
        <v>42928</v>
      </c>
      <c r="I119" s="24">
        <f>_xlfn.XLOOKUP(C119,[3]Gastos!$B:$B,[3]Gastos!$AA:$AA)</f>
        <v>43215</v>
      </c>
      <c r="J119" s="24">
        <f>_xlfn.XLOOKUP(C119,[3]Gastos!$B:$B,[3]Gastos!$AF:$AF)</f>
        <v>43303</v>
      </c>
      <c r="K119" s="24">
        <f>SUM(Tabla1[[#This Row],[april]:[june]])</f>
        <v>129446</v>
      </c>
      <c r="L119" s="24">
        <f>_xlfn.XLOOKUP(C119,[3]Gastos!$B:$B,[3]Gastos!$AK:$AK)</f>
        <v>43276</v>
      </c>
      <c r="M119" s="24">
        <f>_xlfn.XLOOKUP(C119,[3]Gastos!$B:$B,[3]Gastos!$AP:$AP)</f>
        <v>43323</v>
      </c>
      <c r="N119" s="31">
        <f>_xlfn.XLOOKUP(Tabla1[[#This Row],[Subcuenta]],[3]Gastos!$B:$B,[3]Gastos!$AU:$AU)</f>
        <v>43430</v>
      </c>
      <c r="O119" s="24">
        <f>SUM(Tabla1[[#This Row],[july]:[september]])</f>
        <v>130029</v>
      </c>
      <c r="P119" s="24">
        <f>_xlfn.XLOOKUP(Tabla1[[#This Row],[Subcuenta]],[3]Gastos!$B:$B,[3]Gastos!$AZ:$AZ)</f>
        <v>60237</v>
      </c>
      <c r="Q119" s="24">
        <f>_xlfn.XLOOKUP(Tabla1[[#This Row],[Subcuenta]],[3]Gastos!$B:$B,[3]Gastos!$BE:$BE)</f>
        <v>6581</v>
      </c>
      <c r="R119" s="24">
        <f>_xlfn.XLOOKUP(Tabla1[[#This Row],[Subcuenta]],[3]Gastos!$B:$B,[3]Gastos!$BJ:$BJ)</f>
        <v>6616</v>
      </c>
      <c r="S119" s="24">
        <f>SUM(Tabla1[[#This Row],[october]:[december]])</f>
        <v>73434</v>
      </c>
      <c r="T119" s="43">
        <f t="shared" si="1"/>
        <v>461316</v>
      </c>
    </row>
    <row r="120" spans="2:21" x14ac:dyDescent="0.3">
      <c r="B120" s="25" t="s">
        <v>266</v>
      </c>
      <c r="C120" s="23" t="s">
        <v>213</v>
      </c>
      <c r="D120" s="24">
        <f>_xlfn.XLOOKUP(C120,[3]Gastos!$B:$B,[3]Gastos!$G:$G)</f>
        <v>8795</v>
      </c>
      <c r="E120" s="24">
        <f>_xlfn.XLOOKUP(C120,[3]Gastos!$B:$B,[3]Gastos!$L:$L)</f>
        <v>8824</v>
      </c>
      <c r="F120" s="24">
        <f>_xlfn.XLOOKUP(C120,[3]Gastos!$B:$B,[3]Gastos!$Q:$Q)</f>
        <v>8900</v>
      </c>
      <c r="G120" s="24">
        <f>SUM(Tabla1[[#This Row],[january]:[march]])</f>
        <v>26519</v>
      </c>
      <c r="H120" s="24">
        <f>_xlfn.XLOOKUP(C120,[3]Gastos!$B:$B,[3]Gastos!$V:$V)</f>
        <v>8181</v>
      </c>
      <c r="I120" s="24">
        <f>_xlfn.XLOOKUP(C120,[3]Gastos!$B:$B,[3]Gastos!$AA:$AA)</f>
        <v>8973</v>
      </c>
      <c r="J120" s="24">
        <f>_xlfn.XLOOKUP(C120,[3]Gastos!$B:$B,[3]Gastos!$AF:$AF)</f>
        <v>9014</v>
      </c>
      <c r="K120" s="24">
        <f>SUM(Tabla1[[#This Row],[april]:[june]])</f>
        <v>26168</v>
      </c>
      <c r="L120" s="24">
        <f>_xlfn.XLOOKUP(C120,[3]Gastos!$B:$B,[3]Gastos!$AK:$AK)</f>
        <v>9024</v>
      </c>
      <c r="M120" s="24">
        <f>_xlfn.XLOOKUP(C120,[3]Gastos!$B:$B,[3]Gastos!$AP:$AP)</f>
        <v>9009</v>
      </c>
      <c r="N120" s="31">
        <f>_xlfn.XLOOKUP(Tabla1[[#This Row],[Subcuenta]],[3]Gastos!$B:$B,[3]Gastos!$AU:$AU)</f>
        <v>9038</v>
      </c>
      <c r="O120" s="24">
        <f>SUM(Tabla1[[#This Row],[july]:[september]])</f>
        <v>27071</v>
      </c>
      <c r="P120" s="24">
        <f>_xlfn.XLOOKUP(Tabla1[[#This Row],[Subcuenta]],[3]Gastos!$B:$B,[3]Gastos!$AZ:$AZ)</f>
        <v>9058</v>
      </c>
      <c r="Q120" s="24">
        <f>_xlfn.XLOOKUP(Tabla1[[#This Row],[Subcuenta]],[3]Gastos!$B:$B,[3]Gastos!$BE:$BE)</f>
        <v>9109</v>
      </c>
      <c r="R120" s="24">
        <f>_xlfn.XLOOKUP(Tabla1[[#This Row],[Subcuenta]],[3]Gastos!$B:$B,[3]Gastos!$BJ:$BJ)</f>
        <v>9147</v>
      </c>
      <c r="S120" s="24">
        <f>SUM(Tabla1[[#This Row],[october]:[december]])</f>
        <v>27314</v>
      </c>
      <c r="T120" s="43">
        <f t="shared" si="1"/>
        <v>107072</v>
      </c>
    </row>
    <row r="121" spans="2:21" x14ac:dyDescent="0.3">
      <c r="B121" s="25" t="s">
        <v>266</v>
      </c>
      <c r="C121" s="23" t="s">
        <v>169</v>
      </c>
      <c r="D121" s="24">
        <v>19270629</v>
      </c>
      <c r="E121" s="24">
        <v>13623843</v>
      </c>
      <c r="F121" s="24">
        <v>20793901</v>
      </c>
      <c r="G121" s="24">
        <f>SUM(Tabla1[[#This Row],[january]:[march]])</f>
        <v>53688373</v>
      </c>
      <c r="H121" s="24">
        <v>19945908</v>
      </c>
      <c r="I121" s="24">
        <v>23443075</v>
      </c>
      <c r="J121" s="24">
        <v>19303172</v>
      </c>
      <c r="K121" s="24">
        <f>SUM(Tabla1[[#This Row],[april]:[june]])</f>
        <v>62692155</v>
      </c>
      <c r="L121" s="24">
        <v>21075059</v>
      </c>
      <c r="M121" s="24">
        <v>20290600</v>
      </c>
      <c r="N121" s="31">
        <f>_xlfn.XLOOKUP(Tabla1[[#This Row],[Subcuenta]],[3]Gastos!$B:$B,[3]Gastos!$AU:$AU)</f>
        <v>19253544</v>
      </c>
      <c r="O121" s="24">
        <f>SUM(Tabla1[[#This Row],[july]:[september]])</f>
        <v>60619203</v>
      </c>
      <c r="P121" s="24">
        <f>_xlfn.XLOOKUP(Tabla1[[#This Row],[Subcuenta]],[3]Gastos!$B:$B,[3]Gastos!$AZ:$AZ)</f>
        <v>20642716</v>
      </c>
      <c r="Q121" s="24">
        <f>_xlfn.XLOOKUP(Tabla1[[#This Row],[Subcuenta]],[3]Gastos!$B:$B,[3]Gastos!$BE:$BE)</f>
        <v>19501014</v>
      </c>
      <c r="R121" s="24">
        <f>_xlfn.XLOOKUP(Tabla1[[#This Row],[Subcuenta]],[3]Gastos!$B:$B,[3]Gastos!$BJ:$BJ)</f>
        <v>25923078</v>
      </c>
      <c r="S121" s="24">
        <f>SUM(Tabla1[[#This Row],[october]:[december]])</f>
        <v>66066808</v>
      </c>
      <c r="T121" s="43">
        <f t="shared" si="1"/>
        <v>243066539</v>
      </c>
    </row>
    <row r="122" spans="2:21" x14ac:dyDescent="0.3">
      <c r="B122" s="25" t="s">
        <v>266</v>
      </c>
      <c r="C122" s="23" t="s">
        <v>214</v>
      </c>
      <c r="D122" s="24">
        <f>_xlfn.XLOOKUP(C122,[3]Gastos!$B:$B,[3]Gastos!$G:$G)</f>
        <v>52795</v>
      </c>
      <c r="E122" s="24">
        <f>_xlfn.XLOOKUP(C122,[3]Gastos!$B:$B,[3]Gastos!$L:$L)</f>
        <v>50892</v>
      </c>
      <c r="F122" s="24">
        <f>_xlfn.XLOOKUP(C122,[3]Gastos!$B:$B,[3]Gastos!$Q:$Q)</f>
        <v>34262</v>
      </c>
      <c r="G122" s="24">
        <f>SUM(Tabla1[[#This Row],[january]:[march]])</f>
        <v>137949</v>
      </c>
      <c r="H122" s="24">
        <f>_xlfn.XLOOKUP(C122,[3]Gastos!$B:$B,[3]Gastos!$V:$V)</f>
        <v>34326</v>
      </c>
      <c r="I122" s="24">
        <f>_xlfn.XLOOKUP(C122,[3]Gastos!$B:$B,[3]Gastos!$AA:$AA)</f>
        <v>0</v>
      </c>
      <c r="J122" s="24">
        <f>_xlfn.XLOOKUP(C122,[3]Gastos!$B:$B,[3]Gastos!$AF:$AF)</f>
        <v>34084</v>
      </c>
      <c r="K122" s="24">
        <f>SUM(Tabla1[[#This Row],[april]:[june]])</f>
        <v>68410</v>
      </c>
      <c r="L122" s="24">
        <f>_xlfn.XLOOKUP(C122,[3]Gastos!$B:$B,[3]Gastos!$AK:$AK)</f>
        <v>70754</v>
      </c>
      <c r="M122" s="24">
        <f>_xlfn.XLOOKUP(C122,[3]Gastos!$B:$B,[3]Gastos!$AP:$AP)</f>
        <v>36350</v>
      </c>
      <c r="N122" s="31">
        <f>_xlfn.XLOOKUP(Tabla1[[#This Row],[Subcuenta]],[3]Gastos!$B:$B,[3]Gastos!$AU:$AU)</f>
        <v>0</v>
      </c>
      <c r="O122" s="24">
        <f>SUM(Tabla1[[#This Row],[july]:[september]])</f>
        <v>107104</v>
      </c>
      <c r="P122" s="24">
        <f>_xlfn.XLOOKUP(Tabla1[[#This Row],[Subcuenta]],[3]Gastos!$B:$B,[3]Gastos!$AZ:$AZ)</f>
        <v>0</v>
      </c>
      <c r="Q122" s="24">
        <f>_xlfn.XLOOKUP(Tabla1[[#This Row],[Subcuenta]],[3]Gastos!$B:$B,[3]Gastos!$BE:$BE)</f>
        <v>0</v>
      </c>
      <c r="R122" s="24">
        <f>_xlfn.XLOOKUP(Tabla1[[#This Row],[Subcuenta]],[3]Gastos!$B:$B,[3]Gastos!$BJ:$BJ)</f>
        <v>0</v>
      </c>
      <c r="S122" s="24">
        <f>SUM(Tabla1[[#This Row],[october]:[december]])</f>
        <v>0</v>
      </c>
      <c r="T122" s="43">
        <f t="shared" si="1"/>
        <v>313463</v>
      </c>
    </row>
    <row r="123" spans="2:21" x14ac:dyDescent="0.3">
      <c r="B123" s="25" t="s">
        <v>266</v>
      </c>
      <c r="C123" s="23" t="s">
        <v>215</v>
      </c>
      <c r="D123" s="24">
        <f>_xlfn.XLOOKUP(C123,[3]Gastos!$B:$B,[3]Gastos!$G:$G)</f>
        <v>1595459</v>
      </c>
      <c r="E123" s="24">
        <f>_xlfn.XLOOKUP(C123,[3]Gastos!$B:$B,[3]Gastos!$L:$L)</f>
        <v>302103</v>
      </c>
      <c r="F123" s="24">
        <f>_xlfn.XLOOKUP(C123,[3]Gastos!$B:$B,[3]Gastos!$Q:$Q)</f>
        <v>669740</v>
      </c>
      <c r="G123" s="24">
        <f>SUM(Tabla1[[#This Row],[january]:[march]])</f>
        <v>2567302</v>
      </c>
      <c r="H123" s="24">
        <f>_xlfn.XLOOKUP(C123,[3]Gastos!$B:$B,[3]Gastos!$V:$V)</f>
        <v>832282</v>
      </c>
      <c r="I123" s="24">
        <f>_xlfn.XLOOKUP(C123,[3]Gastos!$B:$B,[3]Gastos!$AA:$AA)</f>
        <v>1051590</v>
      </c>
      <c r="J123" s="24">
        <f>_xlfn.XLOOKUP(C123,[3]Gastos!$B:$B,[3]Gastos!$AF:$AF)</f>
        <v>1034429</v>
      </c>
      <c r="K123" s="24">
        <f>SUM(Tabla1[[#This Row],[april]:[june]])</f>
        <v>2918301</v>
      </c>
      <c r="L123" s="24">
        <f>_xlfn.XLOOKUP(C123,[3]Gastos!$B:$B,[3]Gastos!$AK:$AK)</f>
        <v>720723</v>
      </c>
      <c r="M123" s="24">
        <f>_xlfn.XLOOKUP(C123,[3]Gastos!$B:$B,[3]Gastos!$AP:$AP)</f>
        <v>1020186</v>
      </c>
      <c r="N123" s="31">
        <f>_xlfn.XLOOKUP(Tabla1[[#This Row],[Subcuenta]],[3]Gastos!$B:$B,[3]Gastos!$AU:$AU)</f>
        <v>756867</v>
      </c>
      <c r="O123" s="24">
        <f>SUM(Tabla1[[#This Row],[july]:[september]])</f>
        <v>2497776</v>
      </c>
      <c r="P123" s="24">
        <f>_xlfn.XLOOKUP(Tabla1[[#This Row],[Subcuenta]],[3]Gastos!$B:$B,[3]Gastos!$AZ:$AZ)</f>
        <v>490931</v>
      </c>
      <c r="Q123" s="24">
        <f>_xlfn.XLOOKUP(Tabla1[[#This Row],[Subcuenta]],[3]Gastos!$B:$B,[3]Gastos!$BE:$BE)</f>
        <v>968989</v>
      </c>
      <c r="R123" s="24">
        <f>_xlfn.XLOOKUP(Tabla1[[#This Row],[Subcuenta]],[3]Gastos!$B:$B,[3]Gastos!$BJ:$BJ)</f>
        <v>1012321</v>
      </c>
      <c r="S123" s="24">
        <f>SUM(Tabla1[[#This Row],[october]:[december]])</f>
        <v>2472241</v>
      </c>
      <c r="T123" s="43">
        <f t="shared" si="1"/>
        <v>10455620</v>
      </c>
    </row>
    <row r="124" spans="2:21" x14ac:dyDescent="0.3">
      <c r="B124" s="25" t="s">
        <v>266</v>
      </c>
      <c r="C124" s="23" t="s">
        <v>216</v>
      </c>
      <c r="D124" s="24">
        <f>_xlfn.XLOOKUP(C124,[3]Gastos!$B:$B,[3]Gastos!$G:$G)</f>
        <v>0</v>
      </c>
      <c r="E124" s="24">
        <f>_xlfn.XLOOKUP(C124,[3]Gastos!$B:$B,[3]Gastos!$L:$L)</f>
        <v>47467</v>
      </c>
      <c r="F124" s="24">
        <f>_xlfn.XLOOKUP(C124,[3]Gastos!$B:$B,[3]Gastos!$Q:$Q)</f>
        <v>0</v>
      </c>
      <c r="G124" s="24">
        <f>SUM(Tabla1[[#This Row],[january]:[march]])</f>
        <v>47467</v>
      </c>
      <c r="H124" s="24">
        <f>_xlfn.XLOOKUP(C124,[3]Gastos!$B:$B,[3]Gastos!$V:$V)</f>
        <v>0</v>
      </c>
      <c r="I124" s="24">
        <f>_xlfn.XLOOKUP(C124,[3]Gastos!$B:$B,[3]Gastos!$AA:$AA)</f>
        <v>0</v>
      </c>
      <c r="J124" s="24">
        <f>_xlfn.XLOOKUP(C124,[3]Gastos!$B:$B,[3]Gastos!$AF:$AF)</f>
        <v>0</v>
      </c>
      <c r="K124" s="24">
        <f>SUM(Tabla1[[#This Row],[april]:[june]])</f>
        <v>0</v>
      </c>
      <c r="L124" s="24">
        <f>_xlfn.XLOOKUP(C124,[3]Gastos!$B:$B,[3]Gastos!$AK:$AK)</f>
        <v>97670</v>
      </c>
      <c r="M124" s="24">
        <f>_xlfn.XLOOKUP(C124,[3]Gastos!$B:$B,[3]Gastos!$AP:$AP)</f>
        <v>0</v>
      </c>
      <c r="N124" s="31">
        <f>_xlfn.XLOOKUP(Tabla1[[#This Row],[Subcuenta]],[3]Gastos!$B:$B,[3]Gastos!$AU:$AU)</f>
        <v>53059</v>
      </c>
      <c r="O124" s="24">
        <f>SUM(Tabla1[[#This Row],[july]:[september]])</f>
        <v>150729</v>
      </c>
      <c r="P124" s="24">
        <f>_xlfn.XLOOKUP(Tabla1[[#This Row],[Subcuenta]],[3]Gastos!$B:$B,[3]Gastos!$AZ:$AZ)</f>
        <v>410282</v>
      </c>
      <c r="Q124" s="24">
        <f>_xlfn.XLOOKUP(Tabla1[[#This Row],[Subcuenta]],[3]Gastos!$B:$B,[3]Gastos!$BE:$BE)</f>
        <v>262099</v>
      </c>
      <c r="R124" s="24">
        <f>_xlfn.XLOOKUP(Tabla1[[#This Row],[Subcuenta]],[3]Gastos!$B:$B,[3]Gastos!$BJ:$BJ)</f>
        <v>155235</v>
      </c>
      <c r="S124" s="24">
        <f>SUM(Tabla1[[#This Row],[october]:[december]])</f>
        <v>827616</v>
      </c>
      <c r="T124" s="43">
        <f t="shared" si="1"/>
        <v>1025812</v>
      </c>
    </row>
    <row r="125" spans="2:21" x14ac:dyDescent="0.3">
      <c r="B125" s="25" t="s">
        <v>266</v>
      </c>
      <c r="C125" s="23" t="s">
        <v>217</v>
      </c>
      <c r="D125" s="24">
        <f>_xlfn.XLOOKUP(C125,[3]Gastos!$B:$B,[3]Gastos!$G:$G)</f>
        <v>0</v>
      </c>
      <c r="E125" s="24">
        <f>_xlfn.XLOOKUP(C125,[3]Gastos!$B:$B,[3]Gastos!$L:$L)</f>
        <v>0</v>
      </c>
      <c r="F125" s="24">
        <f>_xlfn.XLOOKUP(C125,[3]Gastos!$B:$B,[3]Gastos!$Q:$Q)</f>
        <v>0</v>
      </c>
      <c r="G125" s="24">
        <f>SUM(Tabla1[[#This Row],[january]:[march]])</f>
        <v>0</v>
      </c>
      <c r="H125" s="24">
        <f>_xlfn.XLOOKUP(C125,[3]Gastos!$B:$B,[3]Gastos!$V:$V)</f>
        <v>0</v>
      </c>
      <c r="I125" s="24">
        <f>_xlfn.XLOOKUP(C125,[3]Gastos!$B:$B,[3]Gastos!$AA:$AA)</f>
        <v>0</v>
      </c>
      <c r="J125" s="24">
        <f>_xlfn.XLOOKUP(C125,[3]Gastos!$B:$B,[3]Gastos!$AF:$AF)</f>
        <v>0</v>
      </c>
      <c r="K125" s="24">
        <f>SUM(Tabla1[[#This Row],[april]:[june]])</f>
        <v>0</v>
      </c>
      <c r="L125" s="24">
        <f>_xlfn.XLOOKUP(C125,[3]Gastos!$B:$B,[3]Gastos!$AK:$AK)</f>
        <v>25728</v>
      </c>
      <c r="M125" s="24">
        <f>_xlfn.XLOOKUP(C125,[3]Gastos!$B:$B,[3]Gastos!$AP:$AP)</f>
        <v>25768</v>
      </c>
      <c r="N125" s="31">
        <f>_xlfn.XLOOKUP(Tabla1[[#This Row],[Subcuenta]],[3]Gastos!$B:$B,[3]Gastos!$AU:$AU)</f>
        <v>28742</v>
      </c>
      <c r="O125" s="24">
        <f>SUM(Tabla1[[#This Row],[july]:[september]])</f>
        <v>80238</v>
      </c>
      <c r="P125" s="24">
        <f>_xlfn.XLOOKUP(Tabla1[[#This Row],[Subcuenta]],[3]Gastos!$B:$B,[3]Gastos!$AZ:$AZ)</f>
        <v>28806</v>
      </c>
      <c r="Q125" s="24">
        <f>_xlfn.XLOOKUP(Tabla1[[#This Row],[Subcuenta]],[3]Gastos!$B:$B,[3]Gastos!$BE:$BE)</f>
        <v>28860</v>
      </c>
      <c r="R125" s="24">
        <f>_xlfn.XLOOKUP(Tabla1[[#This Row],[Subcuenta]],[3]Gastos!$B:$B,[3]Gastos!$BJ:$BJ)</f>
        <v>29012</v>
      </c>
      <c r="S125" s="24">
        <f>SUM(Tabla1[[#This Row],[october]:[december]])</f>
        <v>86678</v>
      </c>
      <c r="T125" s="43">
        <f t="shared" si="1"/>
        <v>166916</v>
      </c>
    </row>
    <row r="126" spans="2:21" x14ac:dyDescent="0.3">
      <c r="B126" s="25" t="s">
        <v>266</v>
      </c>
      <c r="C126" s="23" t="s">
        <v>218</v>
      </c>
      <c r="D126" s="24">
        <f>_xlfn.XLOOKUP(C126,[3]Gastos!$B:$B,[3]Gastos!$G:$G)</f>
        <v>38477</v>
      </c>
      <c r="E126" s="24">
        <f>_xlfn.XLOOKUP(C126,[3]Gastos!$B:$B,[3]Gastos!$L:$L)</f>
        <v>3353</v>
      </c>
      <c r="F126" s="24">
        <f>_xlfn.XLOOKUP(C126,[3]Gastos!$B:$B,[3]Gastos!$Q:$Q)</f>
        <v>336798</v>
      </c>
      <c r="G126" s="24">
        <f>SUM(Tabla1[[#This Row],[january]:[march]])</f>
        <v>378628</v>
      </c>
      <c r="H126" s="24">
        <f>_xlfn.XLOOKUP(C126,[3]Gastos!$B:$B,[3]Gastos!$V:$V)</f>
        <v>400098</v>
      </c>
      <c r="I126" s="24">
        <f>_xlfn.XLOOKUP(C126,[3]Gastos!$B:$B,[3]Gastos!$AA:$AA)</f>
        <v>0</v>
      </c>
      <c r="J126" s="24">
        <f>_xlfn.XLOOKUP(C126,[3]Gastos!$B:$B,[3]Gastos!$AF:$AF)</f>
        <v>251030</v>
      </c>
      <c r="K126" s="24">
        <f>SUM(Tabla1[[#This Row],[april]:[june]])</f>
        <v>651128</v>
      </c>
      <c r="L126" s="24">
        <f>_xlfn.XLOOKUP(C126,[3]Gastos!$B:$B,[3]Gastos!$AK:$AK)</f>
        <v>208644</v>
      </c>
      <c r="M126" s="24">
        <f>_xlfn.XLOOKUP(C126,[3]Gastos!$B:$B,[3]Gastos!$AP:$AP)</f>
        <v>129601</v>
      </c>
      <c r="N126" s="31">
        <f>_xlfn.XLOOKUP(Tabla1[[#This Row],[Subcuenta]],[3]Gastos!$B:$B,[3]Gastos!$AU:$AU)</f>
        <v>90229</v>
      </c>
      <c r="O126" s="24">
        <f>SUM(Tabla1[[#This Row],[july]:[september]])</f>
        <v>428474</v>
      </c>
      <c r="P126" s="24">
        <f>_xlfn.XLOOKUP(Tabla1[[#This Row],[Subcuenta]],[3]Gastos!$B:$B,[3]Gastos!$AZ:$AZ)</f>
        <v>21539</v>
      </c>
      <c r="Q126" s="24">
        <f>_xlfn.XLOOKUP(Tabla1[[#This Row],[Subcuenta]],[3]Gastos!$B:$B,[3]Gastos!$BE:$BE)</f>
        <v>36186</v>
      </c>
      <c r="R126" s="24">
        <f>_xlfn.XLOOKUP(Tabla1[[#This Row],[Subcuenta]],[3]Gastos!$B:$B,[3]Gastos!$BJ:$BJ)</f>
        <v>71193</v>
      </c>
      <c r="S126" s="24">
        <f>SUM(Tabla1[[#This Row],[october]:[december]])</f>
        <v>128918</v>
      </c>
      <c r="T126" s="43">
        <f t="shared" si="1"/>
        <v>1587148</v>
      </c>
    </row>
    <row r="127" spans="2:21" x14ac:dyDescent="0.3">
      <c r="B127" s="25" t="s">
        <v>266</v>
      </c>
      <c r="C127" s="23" t="s">
        <v>219</v>
      </c>
      <c r="D127" s="24">
        <f>_xlfn.XLOOKUP(C127,[3]Gastos!$B:$B,[3]Gastos!$G:$G)</f>
        <v>0</v>
      </c>
      <c r="E127" s="24">
        <f>_xlfn.XLOOKUP(C127,[3]Gastos!$B:$B,[3]Gastos!$L:$L)</f>
        <v>0</v>
      </c>
      <c r="F127" s="24">
        <f>_xlfn.XLOOKUP(C127,[3]Gastos!$B:$B,[3]Gastos!$Q:$Q)</f>
        <v>0</v>
      </c>
      <c r="G127" s="24">
        <f>SUM(Tabla1[[#This Row],[january]:[march]])</f>
        <v>0</v>
      </c>
      <c r="H127" s="24">
        <f>_xlfn.XLOOKUP(C127,[3]Gastos!$B:$B,[3]Gastos!$V:$V)</f>
        <v>0</v>
      </c>
      <c r="I127" s="24">
        <f>_xlfn.XLOOKUP(C127,[3]Gastos!$B:$B,[3]Gastos!$AA:$AA)</f>
        <v>0</v>
      </c>
      <c r="J127" s="24">
        <f>_xlfn.XLOOKUP(C127,[3]Gastos!$B:$B,[3]Gastos!$AF:$AF)</f>
        <v>82237</v>
      </c>
      <c r="K127" s="24">
        <f>SUM(Tabla1[[#This Row],[april]:[june]])</f>
        <v>82237</v>
      </c>
      <c r="L127" s="24">
        <f>_xlfn.XLOOKUP(C127,[3]Gastos!$B:$B,[3]Gastos!$AK:$AK)</f>
        <v>0</v>
      </c>
      <c r="M127" s="24">
        <f>_xlfn.XLOOKUP(C127,[3]Gastos!$B:$B,[3]Gastos!$AP:$AP)</f>
        <v>0</v>
      </c>
      <c r="N127" s="31">
        <f>_xlfn.XLOOKUP(Tabla1[[#This Row],[Subcuenta]],[3]Gastos!$B:$B,[3]Gastos!$AU:$AU)</f>
        <v>0</v>
      </c>
      <c r="O127" s="24">
        <f>SUM(Tabla1[[#This Row],[july]:[september]])</f>
        <v>0</v>
      </c>
      <c r="P127" s="24">
        <f>_xlfn.XLOOKUP(Tabla1[[#This Row],[Subcuenta]],[3]Gastos!$B:$B,[3]Gastos!$AZ:$AZ)</f>
        <v>0</v>
      </c>
      <c r="Q127" s="24">
        <f>_xlfn.XLOOKUP(Tabla1[[#This Row],[Subcuenta]],[3]Gastos!$B:$B,[3]Gastos!$BE:$BE)</f>
        <v>0</v>
      </c>
      <c r="R127" s="24">
        <f>_xlfn.XLOOKUP(Tabla1[[#This Row],[Subcuenta]],[3]Gastos!$B:$B,[3]Gastos!$BJ:$BJ)</f>
        <v>0</v>
      </c>
      <c r="S127" s="24">
        <f>SUM(Tabla1[[#This Row],[october]:[december]])</f>
        <v>0</v>
      </c>
      <c r="T127" s="43">
        <f t="shared" si="1"/>
        <v>82237</v>
      </c>
    </row>
    <row r="128" spans="2:21" x14ac:dyDescent="0.3">
      <c r="B128" s="25" t="s">
        <v>266</v>
      </c>
      <c r="C128" s="23" t="s">
        <v>220</v>
      </c>
      <c r="D128" s="24">
        <f>_xlfn.XLOOKUP(C128,[3]Gastos!$B:$B,[3]Gastos!$G:$G)</f>
        <v>78144</v>
      </c>
      <c r="E128" s="24">
        <f>_xlfn.XLOOKUP(C128,[3]Gastos!$B:$B,[3]Gastos!$L:$L)</f>
        <v>293605</v>
      </c>
      <c r="F128" s="24">
        <f>_xlfn.XLOOKUP(C128,[3]Gastos!$B:$B,[3]Gastos!$Q:$Q)</f>
        <v>202489</v>
      </c>
      <c r="G128" s="24">
        <f>SUM(Tabla1[[#This Row],[january]:[march]])</f>
        <v>574238</v>
      </c>
      <c r="H128" s="24">
        <f>_xlfn.XLOOKUP(C128,[3]Gastos!$B:$B,[3]Gastos!$V:$V)</f>
        <v>1770852</v>
      </c>
      <c r="I128" s="24">
        <f>_xlfn.XLOOKUP(C128,[3]Gastos!$B:$B,[3]Gastos!$AA:$AA)</f>
        <v>1756165</v>
      </c>
      <c r="J128" s="24">
        <f>_xlfn.XLOOKUP(C128,[3]Gastos!$B:$B,[3]Gastos!$AF:$AF)</f>
        <v>3255752</v>
      </c>
      <c r="K128" s="24">
        <f>SUM(Tabla1[[#This Row],[april]:[june]])</f>
        <v>6782769</v>
      </c>
      <c r="L128" s="24">
        <f>_xlfn.XLOOKUP(C128,[3]Gastos!$B:$B,[3]Gastos!$AK:$AK)</f>
        <v>1780206</v>
      </c>
      <c r="M128" s="24">
        <f>_xlfn.XLOOKUP(C128,[3]Gastos!$B:$B,[3]Gastos!$AP:$AP)</f>
        <v>1833241</v>
      </c>
      <c r="N128" s="31">
        <f>_xlfn.XLOOKUP(Tabla1[[#This Row],[Subcuenta]],[3]Gastos!$B:$B,[3]Gastos!$AU:$AU)</f>
        <v>236204</v>
      </c>
      <c r="O128" s="24">
        <f>SUM(Tabla1[[#This Row],[july]:[september]])</f>
        <v>3849651</v>
      </c>
      <c r="P128" s="24">
        <f>_xlfn.XLOOKUP(Tabla1[[#This Row],[Subcuenta]],[3]Gastos!$B:$B,[3]Gastos!$AZ:$AZ)</f>
        <v>1713059</v>
      </c>
      <c r="Q128" s="24">
        <f>_xlfn.XLOOKUP(Tabla1[[#This Row],[Subcuenta]],[3]Gastos!$B:$B,[3]Gastos!$BE:$BE)</f>
        <v>1666994</v>
      </c>
      <c r="R128" s="24">
        <f>_xlfn.XLOOKUP(Tabla1[[#This Row],[Subcuenta]],[3]Gastos!$B:$B,[3]Gastos!$BJ:$BJ)</f>
        <v>1734260</v>
      </c>
      <c r="S128" s="24">
        <f>SUM(Tabla1[[#This Row],[october]:[december]])</f>
        <v>5114313</v>
      </c>
      <c r="T128" s="43">
        <f t="shared" si="1"/>
        <v>16320971</v>
      </c>
      <c r="U128" s="64" t="e">
        <f>SUM(#REF!)</f>
        <v>#REF!</v>
      </c>
    </row>
    <row r="129" spans="2:20" x14ac:dyDescent="0.3">
      <c r="B129" s="25" t="s">
        <v>93</v>
      </c>
      <c r="C129" s="23" t="s">
        <v>221</v>
      </c>
      <c r="D129" s="24">
        <f>_xlfn.XLOOKUP(C129,[3]Gastos!$B:$B,[3]Gastos!$G:$G)</f>
        <v>807522.00520000001</v>
      </c>
      <c r="E129" s="24">
        <f>_xlfn.XLOOKUP(C129,[3]Gastos!$B:$B,[3]Gastos!$L:$L)</f>
        <v>803240.36459999997</v>
      </c>
      <c r="F129" s="24">
        <f>_xlfn.XLOOKUP(C129,[3]Gastos!$B:$B,[3]Gastos!$Q:$Q)</f>
        <v>813467.86459999997</v>
      </c>
      <c r="G129" s="24">
        <f>SUM(Tabla1[[#This Row],[january]:[march]])</f>
        <v>2424230.2344</v>
      </c>
      <c r="H129" s="24">
        <f>_xlfn.XLOOKUP(C129,[3]Gastos!$B:$B,[3]Gastos!$V:$V)</f>
        <v>900045</v>
      </c>
      <c r="I129" s="24">
        <f>_xlfn.XLOOKUP(C129,[3]Gastos!$B:$B,[3]Gastos!$AA:$AA)</f>
        <v>830855</v>
      </c>
      <c r="J129" s="24">
        <f>_xlfn.XLOOKUP(C129,[3]Gastos!$B:$B,[3]Gastos!$AF:$AF)</f>
        <v>809159</v>
      </c>
      <c r="K129" s="24">
        <f>SUM(Tabla1[[#This Row],[april]:[june]])</f>
        <v>2540059</v>
      </c>
      <c r="L129" s="24">
        <f>_xlfn.XLOOKUP(C129,[3]Gastos!$B:$B,[3]Gastos!$AK:$AK)</f>
        <v>877532.10639999993</v>
      </c>
      <c r="M129" s="24">
        <f>_xlfn.XLOOKUP(C129,[3]Gastos!$B:$B,[3]Gastos!$AP:$AP)</f>
        <v>876904.94940000004</v>
      </c>
      <c r="N129" s="24">
        <f>_xlfn.XLOOKUP(Tabla1[[#This Row],[Subcuenta]],[3]Gastos!$B:$B,[3]Gastos!$AU:$AU)</f>
        <v>1032743.0348</v>
      </c>
      <c r="O129" s="24">
        <f>SUM(Tabla1[[#This Row],[july]:[september]])</f>
        <v>2787180.0905999998</v>
      </c>
      <c r="P129" s="24">
        <f>_xlfn.XLOOKUP(Tabla1[[#This Row],[Subcuenta]],[3]Gastos!$B:$B,[3]Gastos!$AZ:$AZ)</f>
        <v>532999.44200000004</v>
      </c>
      <c r="Q129" s="24">
        <f>_xlfn.XLOOKUP(Tabla1[[#This Row],[Subcuenta]],[3]Gastos!$B:$B,[3]Gastos!$BE:$BE)</f>
        <v>805275.10820000002</v>
      </c>
      <c r="R129" s="24">
        <f>_xlfn.XLOOKUP(Tabla1[[#This Row],[Subcuenta]],[3]Gastos!$B:$B,[3]Gastos!$BJ:$BJ)</f>
        <v>1048888.5506</v>
      </c>
      <c r="S129" s="24">
        <f>SUM(Tabla1[[#This Row],[october]:[december]])</f>
        <v>2387163.1008000001</v>
      </c>
      <c r="T129" s="43">
        <f t="shared" si="1"/>
        <v>10138632.425799999</v>
      </c>
    </row>
    <row r="130" spans="2:20" x14ac:dyDescent="0.3">
      <c r="B130" s="25" t="s">
        <v>93</v>
      </c>
      <c r="C130" s="23" t="s">
        <v>222</v>
      </c>
      <c r="D130" s="24">
        <f>_xlfn.XLOOKUP(C130,[3]Gastos!$B:$B,[3]Gastos!$G:$G)</f>
        <v>1087385.9545</v>
      </c>
      <c r="E130" s="24">
        <f>_xlfn.XLOOKUP(C130,[3]Gastos!$B:$B,[3]Gastos!$L:$L)</f>
        <v>1483488.497</v>
      </c>
      <c r="F130" s="24">
        <f>_xlfn.XLOOKUP(C130,[3]Gastos!$B:$B,[3]Gastos!$Q:$Q)</f>
        <v>1782414.6014999999</v>
      </c>
      <c r="G130" s="24">
        <f>SUM(Tabla1[[#This Row],[january]:[march]])</f>
        <v>4353289.0529999994</v>
      </c>
      <c r="H130" s="24">
        <f>_xlfn.XLOOKUP(C130,[3]Gastos!$B:$B,[3]Gastos!$V:$V)</f>
        <v>1905740</v>
      </c>
      <c r="I130" s="24">
        <f>_xlfn.XLOOKUP(C130,[3]Gastos!$B:$B,[3]Gastos!$AA:$AA)</f>
        <v>1842331</v>
      </c>
      <c r="J130" s="24">
        <f>_xlfn.XLOOKUP(C130,[3]Gastos!$B:$B,[3]Gastos!$AF:$AF)</f>
        <v>1772370</v>
      </c>
      <c r="K130" s="24">
        <f>SUM(Tabla1[[#This Row],[april]:[june]])</f>
        <v>5520441</v>
      </c>
      <c r="L130" s="24">
        <f>_xlfn.XLOOKUP(C130,[3]Gastos!$B:$B,[3]Gastos!$AK:$AK)</f>
        <v>1826006.0425</v>
      </c>
      <c r="M130" s="24">
        <f>_xlfn.XLOOKUP(C130,[3]Gastos!$B:$B,[3]Gastos!$AP:$AP)</f>
        <v>1856629.0425</v>
      </c>
      <c r="N130" s="24">
        <f>_xlfn.XLOOKUP(Tabla1[[#This Row],[Subcuenta]],[3]Gastos!$B:$B,[3]Gastos!$AU:$AU)</f>
        <v>1656754.3495</v>
      </c>
      <c r="O130" s="24">
        <f>SUM(Tabla1[[#This Row],[july]:[september]])</f>
        <v>5339389.4344999995</v>
      </c>
      <c r="P130" s="24">
        <f>_xlfn.XLOOKUP(Tabla1[[#This Row],[Subcuenta]],[3]Gastos!$B:$B,[3]Gastos!$AZ:$AZ)</f>
        <v>0</v>
      </c>
      <c r="Q130" s="24">
        <f>_xlfn.XLOOKUP(Tabla1[[#This Row],[Subcuenta]],[3]Gastos!$B:$B,[3]Gastos!$BE:$BE)</f>
        <v>0</v>
      </c>
      <c r="R130" s="24">
        <f>_xlfn.XLOOKUP(Tabla1[[#This Row],[Subcuenta]],[3]Gastos!$B:$B,[3]Gastos!$BJ:$BJ)</f>
        <v>0</v>
      </c>
      <c r="S130" s="24">
        <f>SUM(Tabla1[[#This Row],[october]:[december]])</f>
        <v>0</v>
      </c>
      <c r="T130" s="43">
        <f t="shared" si="1"/>
        <v>15213119.487499999</v>
      </c>
    </row>
    <row r="131" spans="2:20" x14ac:dyDescent="0.3">
      <c r="B131" s="25" t="s">
        <v>93</v>
      </c>
      <c r="C131" s="23" t="s">
        <v>223</v>
      </c>
      <c r="D131" s="24">
        <f>_xlfn.XLOOKUP(C131,[3]Gastos!$B:$B,[3]Gastos!$G:$G)</f>
        <v>907700.77679999999</v>
      </c>
      <c r="E131" s="24">
        <f>_xlfn.XLOOKUP(C131,[3]Gastos!$B:$B,[3]Gastos!$L:$L)</f>
        <v>676667.45900000003</v>
      </c>
      <c r="F131" s="24">
        <f>_xlfn.XLOOKUP(C131,[3]Gastos!$B:$B,[3]Gastos!$Q:$Q)</f>
        <v>6011006.5615999997</v>
      </c>
      <c r="G131" s="24">
        <f>SUM(Tabla1[[#This Row],[january]:[march]])</f>
        <v>7595374.7973999996</v>
      </c>
      <c r="H131" s="24">
        <f>_xlfn.XLOOKUP(C131,[3]Gastos!$B:$B,[3]Gastos!$V:$V)</f>
        <v>0</v>
      </c>
      <c r="I131" s="24">
        <f>_xlfn.XLOOKUP(C131,[3]Gastos!$B:$B,[3]Gastos!$AA:$AA)</f>
        <v>0</v>
      </c>
      <c r="J131" s="24">
        <f>_xlfn.XLOOKUP(C131,[3]Gastos!$B:$B,[3]Gastos!$AF:$AF)</f>
        <v>0</v>
      </c>
      <c r="K131" s="24">
        <f>SUM(Tabla1[[#This Row],[april]:[june]])</f>
        <v>0</v>
      </c>
      <c r="L131" s="24">
        <f>_xlfn.XLOOKUP(C131,[3]Gastos!$B:$B,[3]Gastos!$AK:$AK)</f>
        <v>0</v>
      </c>
      <c r="M131" s="24">
        <f>_xlfn.XLOOKUP(C131,[3]Gastos!$B:$B,[3]Gastos!$AP:$AP)</f>
        <v>0</v>
      </c>
      <c r="N131" s="24">
        <f>_xlfn.XLOOKUP(Tabla1[[#This Row],[Subcuenta]],[3]Gastos!$B:$B,[3]Gastos!$AU:$AU)</f>
        <v>0</v>
      </c>
      <c r="O131" s="24">
        <f>SUM(Tabla1[[#This Row],[july]:[september]])</f>
        <v>0</v>
      </c>
      <c r="P131" s="24">
        <f>_xlfn.XLOOKUP(Tabla1[[#This Row],[Subcuenta]],[3]Gastos!$B:$B,[3]Gastos!$AZ:$AZ)</f>
        <v>0</v>
      </c>
      <c r="Q131" s="24">
        <f>_xlfn.XLOOKUP(Tabla1[[#This Row],[Subcuenta]],[3]Gastos!$B:$B,[3]Gastos!$BE:$BE)</f>
        <v>0</v>
      </c>
      <c r="R131" s="24">
        <f>_xlfn.XLOOKUP(Tabla1[[#This Row],[Subcuenta]],[3]Gastos!$B:$B,[3]Gastos!$BJ:$BJ)</f>
        <v>0</v>
      </c>
      <c r="S131" s="24">
        <f>SUM(Tabla1[[#This Row],[october]:[december]])</f>
        <v>0</v>
      </c>
      <c r="T131" s="43">
        <f t="shared" si="1"/>
        <v>7595374.7973999996</v>
      </c>
    </row>
    <row r="132" spans="2:20" x14ac:dyDescent="0.3">
      <c r="B132" s="25" t="s">
        <v>93</v>
      </c>
      <c r="C132" s="23" t="s">
        <v>193</v>
      </c>
      <c r="D132" s="24">
        <f>_xlfn.XLOOKUP(C132,[3]Gastos!$B:$B,[3]Gastos!$G:$G)</f>
        <v>0</v>
      </c>
      <c r="E132" s="24">
        <f>_xlfn.XLOOKUP(C132,[3]Gastos!$B:$B,[3]Gastos!$L:$L)</f>
        <v>0</v>
      </c>
      <c r="F132" s="24">
        <f>_xlfn.XLOOKUP(C132,[3]Gastos!$B:$B,[3]Gastos!$Q:$Q)</f>
        <v>1755447.0663999999</v>
      </c>
      <c r="G132" s="24">
        <f>SUM(Tabla1[[#This Row],[january]:[march]])</f>
        <v>1755447.0663999999</v>
      </c>
      <c r="H132" s="24">
        <f>_xlfn.XLOOKUP(C132,[3]Gastos!$B:$B,[3]Gastos!$V:$V)</f>
        <v>0</v>
      </c>
      <c r="I132" s="24">
        <f>_xlfn.XLOOKUP(C132,[3]Gastos!$B:$B,[3]Gastos!$AA:$AA)</f>
        <v>0</v>
      </c>
      <c r="J132" s="24">
        <f>_xlfn.XLOOKUP(C132,[3]Gastos!$B:$B,[3]Gastos!$AF:$AF)</f>
        <v>0</v>
      </c>
      <c r="K132" s="24">
        <f>SUM(Tabla1[[#This Row],[april]:[june]])</f>
        <v>0</v>
      </c>
      <c r="L132" s="24">
        <f>_xlfn.XLOOKUP(C132,[3]Gastos!$B:$B,[3]Gastos!$AK:$AK)</f>
        <v>0</v>
      </c>
      <c r="M132" s="24">
        <f>_xlfn.XLOOKUP(C132,[3]Gastos!$B:$B,[3]Gastos!$AP:$AP)</f>
        <v>0</v>
      </c>
      <c r="N132" s="24">
        <f>_xlfn.XLOOKUP(Tabla1[[#This Row],[Subcuenta]],[3]Gastos!$B:$B,[3]Gastos!$AU:$AU)</f>
        <v>0</v>
      </c>
      <c r="O132" s="24">
        <f>SUM(Tabla1[[#This Row],[july]:[september]])</f>
        <v>0</v>
      </c>
      <c r="P132" s="24">
        <f>_xlfn.XLOOKUP(Tabla1[[#This Row],[Subcuenta]],[3]Gastos!$B:$B,[3]Gastos!$AZ:$AZ)</f>
        <v>0</v>
      </c>
      <c r="Q132" s="24">
        <f>_xlfn.XLOOKUP(Tabla1[[#This Row],[Subcuenta]],[3]Gastos!$B:$B,[3]Gastos!$BE:$BE)</f>
        <v>0</v>
      </c>
      <c r="R132" s="24">
        <f>_xlfn.XLOOKUP(Tabla1[[#This Row],[Subcuenta]],[3]Gastos!$B:$B,[3]Gastos!$BJ:$BJ)</f>
        <v>0</v>
      </c>
      <c r="S132" s="24">
        <f>SUM(Tabla1[[#This Row],[october]:[december]])</f>
        <v>0</v>
      </c>
      <c r="T132" s="43">
        <f t="shared" si="1"/>
        <v>1755447.0663999999</v>
      </c>
    </row>
    <row r="133" spans="2:20" x14ac:dyDescent="0.3">
      <c r="B133" s="25" t="s">
        <v>93</v>
      </c>
      <c r="C133" s="23" t="s">
        <v>224</v>
      </c>
      <c r="D133" s="24">
        <f>_xlfn.XLOOKUP(C133,[3]Gastos!$B:$B,[3]Gastos!$G:$G)</f>
        <v>4240485.4440000001</v>
      </c>
      <c r="E133" s="24">
        <f>_xlfn.XLOOKUP(C133,[3]Gastos!$B:$B,[3]Gastos!$L:$L)</f>
        <v>4237056.7560000001</v>
      </c>
      <c r="F133" s="24">
        <f>_xlfn.XLOOKUP(C133,[3]Gastos!$B:$B,[3]Gastos!$Q:$Q)</f>
        <v>4236042.4837999996</v>
      </c>
      <c r="G133" s="24">
        <f>SUM(Tabla1[[#This Row],[january]:[march]])</f>
        <v>12713584.683799999</v>
      </c>
      <c r="H133" s="24">
        <f>_xlfn.XLOOKUP(C133,[3]Gastos!$B:$B,[3]Gastos!$V:$V)</f>
        <v>4231983</v>
      </c>
      <c r="I133" s="24">
        <f>_xlfn.XLOOKUP(C133,[3]Gastos!$B:$B,[3]Gastos!$AA:$AA)</f>
        <v>4246484</v>
      </c>
      <c r="J133" s="24">
        <f>_xlfn.XLOOKUP(C133,[3]Gastos!$B:$B,[3]Gastos!$AF:$AF)</f>
        <v>4252253</v>
      </c>
      <c r="K133" s="24">
        <f>SUM(Tabla1[[#This Row],[april]:[june]])</f>
        <v>12730720</v>
      </c>
      <c r="L133" s="24">
        <f>_xlfn.XLOOKUP(C133,[3]Gastos!$B:$B,[3]Gastos!$AK:$AK)</f>
        <v>4253011</v>
      </c>
      <c r="M133" s="24">
        <f>_xlfn.XLOOKUP(C133,[3]Gastos!$B:$B,[3]Gastos!$AP:$AP)</f>
        <v>4251486</v>
      </c>
      <c r="N133" s="24">
        <f>_xlfn.XLOOKUP(Tabla1[[#This Row],[Subcuenta]],[3]Gastos!$B:$B,[3]Gastos!$AU:$AU)</f>
        <v>4573138</v>
      </c>
      <c r="O133" s="24">
        <f>SUM(Tabla1[[#This Row],[july]:[september]])</f>
        <v>13077635</v>
      </c>
      <c r="P133" s="24">
        <f>_xlfn.XLOOKUP(Tabla1[[#This Row],[Subcuenta]],[3]Gastos!$B:$B,[3]Gastos!$AZ:$AZ)</f>
        <v>4344560</v>
      </c>
      <c r="Q133" s="24">
        <f>_xlfn.XLOOKUP(Tabla1[[#This Row],[Subcuenta]],[3]Gastos!$B:$B,[3]Gastos!$BE:$BE)</f>
        <v>4341260</v>
      </c>
      <c r="R133" s="24">
        <f>_xlfn.XLOOKUP(Tabla1[[#This Row],[Subcuenta]],[3]Gastos!$B:$B,[3]Gastos!$BJ:$BJ)</f>
        <v>4672907</v>
      </c>
      <c r="S133" s="24">
        <f>SUM(Tabla1[[#This Row],[october]:[december]])</f>
        <v>13358727</v>
      </c>
      <c r="T133" s="43">
        <f t="shared" si="1"/>
        <v>51880666.683799997</v>
      </c>
    </row>
    <row r="134" spans="2:20" x14ac:dyDescent="0.3">
      <c r="B134" s="25" t="s">
        <v>93</v>
      </c>
      <c r="C134" s="23" t="s">
        <v>194</v>
      </c>
      <c r="D134" s="24">
        <f>_xlfn.XLOOKUP(C134,[3]Gastos!$B:$B,[3]Gastos!$G:$G)</f>
        <v>517603</v>
      </c>
      <c r="E134" s="24">
        <f>_xlfn.XLOOKUP(C134,[3]Gastos!$B:$B,[3]Gastos!$L:$L)</f>
        <v>449479.68044000003</v>
      </c>
      <c r="F134" s="24">
        <f>_xlfn.XLOOKUP(C134,[3]Gastos!$B:$B,[3]Gastos!$Q:$Q)</f>
        <v>525395.88331999991</v>
      </c>
      <c r="G134" s="24">
        <f>SUM(Tabla1[[#This Row],[january]:[march]])</f>
        <v>1492478.5637599998</v>
      </c>
      <c r="H134" s="24">
        <f>_xlfn.XLOOKUP(C134,[3]Gastos!$B:$B,[3]Gastos!$V:$V)</f>
        <v>522798</v>
      </c>
      <c r="I134" s="24">
        <f>_xlfn.XLOOKUP(C134,[3]Gastos!$B:$B,[3]Gastos!$AA:$AA)</f>
        <v>525395.88331999991</v>
      </c>
      <c r="J134" s="24">
        <f>_xlfn.XLOOKUP(C134,[3]Gastos!$B:$B,[3]Gastos!$AF:$AF)</f>
        <v>525396</v>
      </c>
      <c r="K134" s="24">
        <f>SUM(Tabla1[[#This Row],[april]:[june]])</f>
        <v>1573589.88332</v>
      </c>
      <c r="L134" s="24">
        <f>_xlfn.XLOOKUP(C134,[3]Gastos!$B:$B,[3]Gastos!$AK:$AK)</f>
        <v>525955.6195599999</v>
      </c>
      <c r="M134" s="24">
        <f>_xlfn.XLOOKUP(C134,[3]Gastos!$B:$B,[3]Gastos!$AP:$AP)</f>
        <v>457691.89703999995</v>
      </c>
      <c r="N134" s="24">
        <f>_xlfn.XLOOKUP(Tabla1[[#This Row],[Subcuenta]],[3]Gastos!$B:$B,[3]Gastos!$AU:$AU)</f>
        <v>586440.78331999993</v>
      </c>
      <c r="O134" s="24">
        <f>SUM(Tabla1[[#This Row],[july]:[september]])</f>
        <v>1570088.2999199997</v>
      </c>
      <c r="P134" s="24">
        <f>_xlfn.XLOOKUP(Tabla1[[#This Row],[Subcuenta]],[3]Gastos!$B:$B,[3]Gastos!$AZ:$AZ)</f>
        <v>454976.58331999992</v>
      </c>
      <c r="Q134" s="24">
        <f>_xlfn.XLOOKUP(Tabla1[[#This Row],[Subcuenta]],[3]Gastos!$B:$B,[3]Gastos!$BE:$BE)</f>
        <v>433151.58235999994</v>
      </c>
      <c r="R134" s="24">
        <f>_xlfn.XLOOKUP(Tabla1[[#This Row],[Subcuenta]],[3]Gastos!$B:$B,[3]Gastos!$BJ:$BJ)</f>
        <v>618657.40831999993</v>
      </c>
      <c r="S134" s="24">
        <f>SUM(Tabla1[[#This Row],[october]:[december]])</f>
        <v>1506785.5739999998</v>
      </c>
      <c r="T134" s="43">
        <f t="shared" si="1"/>
        <v>6142942.3209999995</v>
      </c>
    </row>
    <row r="135" spans="2:20" x14ac:dyDescent="0.3">
      <c r="B135" s="25" t="s">
        <v>93</v>
      </c>
      <c r="C135" s="23" t="s">
        <v>225</v>
      </c>
      <c r="D135" s="24">
        <f>_xlfn.XLOOKUP(C135,[3]Gastos!$B:$B,[3]Gastos!$G:$G)</f>
        <v>789094.74820000003</v>
      </c>
      <c r="E135" s="24">
        <f>_xlfn.XLOOKUP(C135,[3]Gastos!$B:$B,[3]Gastos!$L:$L)</f>
        <v>768263.60080000001</v>
      </c>
      <c r="F135" s="24">
        <f>_xlfn.XLOOKUP(C135,[3]Gastos!$B:$B,[3]Gastos!$Q:$Q)</f>
        <v>768263.60080000001</v>
      </c>
      <c r="G135" s="24">
        <f>SUM(Tabla1[[#This Row],[january]:[march]])</f>
        <v>2325621.9498000001</v>
      </c>
      <c r="H135" s="24">
        <f>_xlfn.XLOOKUP(C135,[3]Gastos!$B:$B,[3]Gastos!$V:$V)</f>
        <v>800212</v>
      </c>
      <c r="I135" s="24">
        <f>_xlfn.XLOOKUP(C135,[3]Gastos!$B:$B,[3]Gastos!$AA:$AA)</f>
        <v>768264</v>
      </c>
      <c r="J135" s="24">
        <f>_xlfn.XLOOKUP(C135,[3]Gastos!$B:$B,[3]Gastos!$AF:$AF)</f>
        <v>769569</v>
      </c>
      <c r="K135" s="24">
        <f>SUM(Tabla1[[#This Row],[april]:[june]])</f>
        <v>2338045</v>
      </c>
      <c r="L135" s="24">
        <f>_xlfn.XLOOKUP(C135,[3]Gastos!$B:$B,[3]Gastos!$AK:$AK)</f>
        <v>839249.16330000001</v>
      </c>
      <c r="M135" s="24">
        <f>_xlfn.XLOOKUP(C135,[3]Gastos!$B:$B,[3]Gastos!$AP:$AP)</f>
        <v>769568.50949999993</v>
      </c>
      <c r="N135" s="24">
        <f>_xlfn.XLOOKUP(Tabla1[[#This Row],[Subcuenta]],[3]Gastos!$B:$B,[3]Gastos!$AU:$AU)</f>
        <v>953416.00949999993</v>
      </c>
      <c r="O135" s="24">
        <f>SUM(Tabla1[[#This Row],[july]:[september]])</f>
        <v>2562233.6822999995</v>
      </c>
      <c r="P135" s="24">
        <f>_xlfn.XLOOKUP(Tabla1[[#This Row],[Subcuenta]],[3]Gastos!$B:$B,[3]Gastos!$AZ:$AZ)</f>
        <v>786868.59149999998</v>
      </c>
      <c r="Q135" s="24">
        <f>_xlfn.XLOOKUP(Tabla1[[#This Row],[Subcuenta]],[3]Gastos!$B:$B,[3]Gastos!$BE:$BE)</f>
        <v>771207.39949999994</v>
      </c>
      <c r="R135" s="24">
        <f>_xlfn.XLOOKUP(Tabla1[[#This Row],[Subcuenta]],[3]Gastos!$B:$B,[3]Gastos!$BJ:$BJ)</f>
        <v>999667.27449999994</v>
      </c>
      <c r="S135" s="24">
        <f>SUM(Tabla1[[#This Row],[october]:[december]])</f>
        <v>2557743.2654999997</v>
      </c>
      <c r="T135" s="43">
        <f t="shared" si="1"/>
        <v>9783643.8975999989</v>
      </c>
    </row>
    <row r="136" spans="2:20" x14ac:dyDescent="0.3">
      <c r="B136" s="25" t="s">
        <v>93</v>
      </c>
      <c r="C136" s="23" t="s">
        <v>195</v>
      </c>
      <c r="D136" s="24">
        <f>_xlfn.XLOOKUP(C136,[3]Gastos!$B:$B,[3]Gastos!$G:$G)</f>
        <v>367555</v>
      </c>
      <c r="E136" s="24">
        <f>_xlfn.XLOOKUP(C136,[3]Gastos!$B:$B,[3]Gastos!$L:$L)</f>
        <v>377243.57015400007</v>
      </c>
      <c r="F136" s="24">
        <f>_xlfn.XLOOKUP(C136,[3]Gastos!$B:$B,[3]Gastos!$Q:$Q)</f>
        <v>377165.36015400005</v>
      </c>
      <c r="G136" s="24">
        <f>SUM(Tabla1[[#This Row],[january]:[march]])</f>
        <v>1121963.9303080002</v>
      </c>
      <c r="H136" s="24">
        <f>_xlfn.XLOOKUP(C136,[3]Gastos!$B:$B,[3]Gastos!$V:$V)</f>
        <v>505760</v>
      </c>
      <c r="I136" s="24">
        <f>_xlfn.XLOOKUP(C136,[3]Gastos!$B:$B,[3]Gastos!$AA:$AA)</f>
        <v>376622.18015400006</v>
      </c>
      <c r="J136" s="24">
        <f>_xlfn.XLOOKUP(C136,[3]Gastos!$B:$B,[3]Gastos!$AF:$AF)</f>
        <v>526588</v>
      </c>
      <c r="K136" s="24">
        <f>SUM(Tabla1[[#This Row],[april]:[june]])</f>
        <v>1408970.1801539999</v>
      </c>
      <c r="L136" s="24">
        <f>_xlfn.XLOOKUP(C136,[3]Gastos!$B:$B,[3]Gastos!$AK:$AK)</f>
        <v>1505547.7670400003</v>
      </c>
      <c r="M136" s="24">
        <f>_xlfn.XLOOKUP(C136,[3]Gastos!$B:$B,[3]Gastos!$AP:$AP)</f>
        <v>1187640.3670400002</v>
      </c>
      <c r="N136" s="24">
        <f>_xlfn.XLOOKUP(Tabla1[[#This Row],[Subcuenta]],[3]Gastos!$B:$B,[3]Gastos!$AU:$AU)</f>
        <v>1351179.4640000002</v>
      </c>
      <c r="O136" s="24">
        <f>SUM(Tabla1[[#This Row],[july]:[september]])</f>
        <v>4044367.5980800004</v>
      </c>
      <c r="P136" s="24">
        <f>_xlfn.XLOOKUP(Tabla1[[#This Row],[Subcuenta]],[3]Gastos!$B:$B,[3]Gastos!$AZ:$AZ)</f>
        <v>1176967.4640000002</v>
      </c>
      <c r="Q136" s="24">
        <f>_xlfn.XLOOKUP(Tabla1[[#This Row],[Subcuenta]],[3]Gastos!$B:$B,[3]Gastos!$BE:$BE)</f>
        <v>1192016.2640000002</v>
      </c>
      <c r="R136" s="24">
        <f>_xlfn.XLOOKUP(Tabla1[[#This Row],[Subcuenta]],[3]Gastos!$B:$B,[3]Gastos!$BJ:$BJ)</f>
        <v>1381880.8640000001</v>
      </c>
      <c r="S136" s="24">
        <f>SUM(Tabla1[[#This Row],[october]:[december]])</f>
        <v>3750864.5920000002</v>
      </c>
      <c r="T136" s="43">
        <f t="shared" si="1"/>
        <v>10326166.300542001</v>
      </c>
    </row>
    <row r="137" spans="2:20" x14ac:dyDescent="0.3">
      <c r="B137" s="25" t="s">
        <v>93</v>
      </c>
      <c r="C137" s="23" t="s">
        <v>196</v>
      </c>
      <c r="D137" s="24">
        <f>_xlfn.XLOOKUP(C137,[3]Gastos!$B:$B,[3]Gastos!$G:$G)</f>
        <v>267350</v>
      </c>
      <c r="E137" s="24">
        <f>_xlfn.XLOOKUP(C137,[3]Gastos!$B:$B,[3]Gastos!$L:$L)</f>
        <v>259771.70742399999</v>
      </c>
      <c r="F137" s="24">
        <f>_xlfn.XLOOKUP(C137,[3]Gastos!$B:$B,[3]Gastos!$Q:$Q)</f>
        <v>257705</v>
      </c>
      <c r="G137" s="24">
        <f>SUM(Tabla1[[#This Row],[january]:[march]])</f>
        <v>784826.70742400002</v>
      </c>
      <c r="H137" s="24">
        <f>_xlfn.XLOOKUP(C137,[3]Gastos!$B:$B,[3]Gastos!$V:$V)</f>
        <v>257705</v>
      </c>
      <c r="I137" s="24">
        <f>_xlfn.XLOOKUP(C137,[3]Gastos!$B:$B,[3]Gastos!$AA:$AA)</f>
        <v>257704.64483199999</v>
      </c>
      <c r="J137" s="24">
        <f>_xlfn.XLOOKUP(C137,[3]Gastos!$B:$B,[3]Gastos!$AF:$AF)</f>
        <v>260725</v>
      </c>
      <c r="K137" s="24">
        <f>SUM(Tabla1[[#This Row],[april]:[june]])</f>
        <v>776134.64483200002</v>
      </c>
      <c r="L137" s="24">
        <f>_xlfn.XLOOKUP(C137,[3]Gastos!$B:$B,[3]Gastos!$AK:$AK)</f>
        <v>281636.82656000002</v>
      </c>
      <c r="M137" s="24">
        <f>_xlfn.XLOOKUP(C137,[3]Gastos!$B:$B,[3]Gastos!$AP:$AP)</f>
        <v>259863.87110399999</v>
      </c>
      <c r="N137" s="24">
        <f>_xlfn.XLOOKUP(Tabla1[[#This Row],[Subcuenta]],[3]Gastos!$B:$B,[3]Gastos!$AU:$AU)</f>
        <v>384610.78854400001</v>
      </c>
      <c r="O137" s="24">
        <f>SUM(Tabla1[[#This Row],[july]:[september]])</f>
        <v>926111.48620799999</v>
      </c>
      <c r="P137" s="24">
        <f>_xlfn.XLOOKUP(Tabla1[[#This Row],[Subcuenta]],[3]Gastos!$B:$B,[3]Gastos!$AZ:$AZ)</f>
        <v>269216.79712</v>
      </c>
      <c r="Q137" s="24">
        <f>_xlfn.XLOOKUP(Tabla1[[#This Row],[Subcuenta]],[3]Gastos!$B:$B,[3]Gastos!$BE:$BE)</f>
        <v>259863.87110399999</v>
      </c>
      <c r="R137" s="24">
        <f>_xlfn.XLOOKUP(Tabla1[[#This Row],[Subcuenta]],[3]Gastos!$B:$B,[3]Gastos!$BJ:$BJ)</f>
        <v>336325.975424</v>
      </c>
      <c r="S137" s="24">
        <f>SUM(Tabla1[[#This Row],[october]:[december]])</f>
        <v>865406.64364799997</v>
      </c>
      <c r="T137" s="43">
        <f t="shared" si="1"/>
        <v>3352479.4821120002</v>
      </c>
    </row>
    <row r="138" spans="2:20" x14ac:dyDescent="0.3">
      <c r="B138" s="25" t="s">
        <v>93</v>
      </c>
      <c r="C138" s="23" t="s">
        <v>200</v>
      </c>
      <c r="D138" s="24">
        <f>_xlfn.XLOOKUP(C138,[3]Gastos!$B:$B,[3]Gastos!$G:$G)</f>
        <v>835100.91099999996</v>
      </c>
      <c r="E138" s="24">
        <f>_xlfn.XLOOKUP(C138,[3]Gastos!$B:$B,[3]Gastos!$L:$L)</f>
        <v>901547.22640000004</v>
      </c>
      <c r="F138" s="24">
        <f>_xlfn.XLOOKUP(C138,[3]Gastos!$B:$B,[3]Gastos!$Q:$Q)</f>
        <v>853933.14099999995</v>
      </c>
      <c r="G138" s="24">
        <f>SUM(Tabla1[[#This Row],[january]:[march]])</f>
        <v>2590581.2783999997</v>
      </c>
      <c r="H138" s="24">
        <f>_xlfn.XLOOKUP(C138,[3]Gastos!$B:$B,[3]Gastos!$V:$V)</f>
        <v>818657</v>
      </c>
      <c r="I138" s="24">
        <f>_xlfn.XLOOKUP(C138,[3]Gastos!$B:$B,[3]Gastos!$AA:$AA)</f>
        <v>877558</v>
      </c>
      <c r="J138" s="24">
        <f>_xlfn.XLOOKUP(C138,[3]Gastos!$B:$B,[3]Gastos!$AF:$AF)</f>
        <v>984093</v>
      </c>
      <c r="K138" s="24">
        <f>SUM(Tabla1[[#This Row],[april]:[june]])</f>
        <v>2680308</v>
      </c>
      <c r="L138" s="24">
        <f>_xlfn.XLOOKUP(C138,[3]Gastos!$B:$B,[3]Gastos!$AK:$AK)</f>
        <v>94463.17452</v>
      </c>
      <c r="M138" s="24">
        <f>_xlfn.XLOOKUP(C138,[3]Gastos!$B:$B,[3]Gastos!$AP:$AP)</f>
        <v>80481.45276</v>
      </c>
      <c r="N138" s="24">
        <f>_xlfn.XLOOKUP(Tabla1[[#This Row],[Subcuenta]],[3]Gastos!$B:$B,[3]Gastos!$AU:$AU)</f>
        <v>111628.53988000001</v>
      </c>
      <c r="O138" s="24">
        <f>SUM(Tabla1[[#This Row],[july]:[september]])</f>
        <v>286573.16716000001</v>
      </c>
      <c r="P138" s="24">
        <f>_xlfn.XLOOKUP(Tabla1[[#This Row],[Subcuenta]],[3]Gastos!$B:$B,[3]Gastos!$AZ:$AZ)</f>
        <v>0</v>
      </c>
      <c r="Q138" s="24">
        <f>_xlfn.XLOOKUP(Tabla1[[#This Row],[Subcuenta]],[3]Gastos!$B:$B,[3]Gastos!$BE:$BE)</f>
        <v>93353.83988</v>
      </c>
      <c r="R138" s="24">
        <f>_xlfn.XLOOKUP(Tabla1[[#This Row],[Subcuenta]],[3]Gastos!$B:$B,[3]Gastos!$BJ:$BJ)</f>
        <v>117539.77976</v>
      </c>
      <c r="S138" s="24">
        <f>SUM(Tabla1[[#This Row],[october]:[december]])</f>
        <v>210893.61963999999</v>
      </c>
      <c r="T138" s="43">
        <f t="shared" si="1"/>
        <v>5768356.0652000001</v>
      </c>
    </row>
    <row r="139" spans="2:20" x14ac:dyDescent="0.3">
      <c r="B139" s="25" t="s">
        <v>93</v>
      </c>
      <c r="C139" s="23" t="s">
        <v>197</v>
      </c>
      <c r="D139" s="24">
        <f>_xlfn.XLOOKUP(C139,[3]Gastos!$B:$B,[3]Gastos!$G:$G)</f>
        <v>0</v>
      </c>
      <c r="E139" s="24">
        <f>_xlfn.XLOOKUP(C139,[3]Gastos!$B:$B,[3]Gastos!$L:$L)</f>
        <v>0</v>
      </c>
      <c r="F139" s="24">
        <f>_xlfn.XLOOKUP(C139,[3]Gastos!$B:$B,[3]Gastos!$Q:$Q)</f>
        <v>500000</v>
      </c>
      <c r="G139" s="24">
        <f>SUM(Tabla1[[#This Row],[january]:[march]])</f>
        <v>500000</v>
      </c>
      <c r="H139" s="24">
        <f>_xlfn.XLOOKUP(C139,[3]Gastos!$B:$B,[3]Gastos!$V:$V)</f>
        <v>500000</v>
      </c>
      <c r="I139" s="24">
        <f>_xlfn.XLOOKUP(C139,[3]Gastos!$B:$B,[3]Gastos!$AA:$AA)</f>
        <v>491603.76319999999</v>
      </c>
      <c r="J139" s="24">
        <f>_xlfn.XLOOKUP(C139,[3]Gastos!$B:$B,[3]Gastos!$AF:$AF)</f>
        <v>513350</v>
      </c>
      <c r="K139" s="24">
        <f>SUM(Tabla1[[#This Row],[april]:[june]])</f>
        <v>1504953.7631999999</v>
      </c>
      <c r="L139" s="24">
        <f>_xlfn.XLOOKUP(C139,[3]Gastos!$B:$B,[3]Gastos!$AK:$AK)</f>
        <v>510019.90480000002</v>
      </c>
      <c r="M139" s="24">
        <f>_xlfn.XLOOKUP(C139,[3]Gastos!$B:$B,[3]Gastos!$AP:$AP)</f>
        <v>477469.43459999998</v>
      </c>
      <c r="N139" s="24">
        <f>_xlfn.XLOOKUP(Tabla1[[#This Row],[Subcuenta]],[3]Gastos!$B:$B,[3]Gastos!$AU:$AU)</f>
        <v>603980.8702</v>
      </c>
      <c r="O139" s="24">
        <f>SUM(Tabla1[[#This Row],[july]:[september]])</f>
        <v>1591470.2095999999</v>
      </c>
      <c r="P139" s="24">
        <f>_xlfn.XLOOKUP(Tabla1[[#This Row],[Subcuenta]],[3]Gastos!$B:$B,[3]Gastos!$AZ:$AZ)</f>
        <v>536703.76679999998</v>
      </c>
      <c r="Q139" s="24">
        <f>_xlfn.XLOOKUP(Tabla1[[#This Row],[Subcuenta]],[3]Gastos!$B:$B,[3]Gastos!$BE:$BE)</f>
        <v>517939.79580000002</v>
      </c>
      <c r="R139" s="24">
        <f>_xlfn.XLOOKUP(Tabla1[[#This Row],[Subcuenta]],[3]Gastos!$B:$B,[3]Gastos!$BJ:$BJ)</f>
        <v>642087.03520000004</v>
      </c>
      <c r="S139" s="24">
        <f>SUM(Tabla1[[#This Row],[october]:[december]])</f>
        <v>1696730.5978000001</v>
      </c>
      <c r="T139" s="43">
        <f t="shared" si="1"/>
        <v>5293154.5705999993</v>
      </c>
    </row>
    <row r="140" spans="2:20" x14ac:dyDescent="0.3">
      <c r="B140" s="25" t="s">
        <v>93</v>
      </c>
      <c r="C140" s="23" t="s">
        <v>226</v>
      </c>
      <c r="D140" s="24">
        <f>_xlfn.XLOOKUP(C140,[3]Gastos!$B:$B,[3]Gastos!$G:$G)</f>
        <v>959280.02399999998</v>
      </c>
      <c r="E140" s="24">
        <f>_xlfn.XLOOKUP(C140,[3]Gastos!$B:$B,[3]Gastos!$L:$L)</f>
        <v>1004578.4121999999</v>
      </c>
      <c r="F140" s="24">
        <f>_xlfn.XLOOKUP(C140,[3]Gastos!$B:$B,[3]Gastos!$Q:$Q)</f>
        <v>903239.0514</v>
      </c>
      <c r="G140" s="24">
        <f>SUM(Tabla1[[#This Row],[january]:[march]])</f>
        <v>2867097.4875999996</v>
      </c>
      <c r="H140" s="24">
        <f>_xlfn.XLOOKUP(C140,[3]Gastos!$B:$B,[3]Gastos!$V:$V)</f>
        <v>903239</v>
      </c>
      <c r="I140" s="24">
        <f>_xlfn.XLOOKUP(C140,[3]Gastos!$B:$B,[3]Gastos!$AA:$AA)</f>
        <v>903239</v>
      </c>
      <c r="J140" s="24">
        <f>_xlfn.XLOOKUP(C140,[3]Gastos!$B:$B,[3]Gastos!$AF:$AF)</f>
        <v>912955</v>
      </c>
      <c r="K140" s="24">
        <f>SUM(Tabla1[[#This Row],[april]:[june]])</f>
        <v>2719433</v>
      </c>
      <c r="L140" s="24">
        <f>_xlfn.XLOOKUP(C140,[3]Gastos!$B:$B,[3]Gastos!$AK:$AK)</f>
        <v>927665.59419999993</v>
      </c>
      <c r="M140" s="24">
        <f>_xlfn.XLOOKUP(C140,[3]Gastos!$B:$B,[3]Gastos!$AP:$AP)</f>
        <v>912955.1764</v>
      </c>
      <c r="N140" s="24">
        <f>_xlfn.XLOOKUP(Tabla1[[#This Row],[Subcuenta]],[3]Gastos!$B:$B,[3]Gastos!$AU:$AU)</f>
        <v>1072063.0475999999</v>
      </c>
      <c r="O140" s="24">
        <f>SUM(Tabla1[[#This Row],[july]:[september]])</f>
        <v>2912683.8181999996</v>
      </c>
      <c r="P140" s="24">
        <f>_xlfn.XLOOKUP(Tabla1[[#This Row],[Subcuenta]],[3]Gastos!$B:$B,[3]Gastos!$AZ:$AZ)</f>
        <v>930710.11639999994</v>
      </c>
      <c r="Q140" s="24">
        <f>_xlfn.XLOOKUP(Tabla1[[#This Row],[Subcuenta]],[3]Gastos!$B:$B,[3]Gastos!$BE:$BE)</f>
        <v>921548.52020000003</v>
      </c>
      <c r="R140" s="24">
        <f>_xlfn.XLOOKUP(Tabla1[[#This Row],[Subcuenta]],[3]Gastos!$B:$B,[3]Gastos!$BJ:$BJ)</f>
        <v>1139976.7975999999</v>
      </c>
      <c r="S140" s="24">
        <f>SUM(Tabla1[[#This Row],[october]:[december]])</f>
        <v>2992235.4342</v>
      </c>
      <c r="T140" s="43">
        <f t="shared" si="1"/>
        <v>11491449.739999998</v>
      </c>
    </row>
    <row r="141" spans="2:20" x14ac:dyDescent="0.3">
      <c r="B141" s="25" t="s">
        <v>93</v>
      </c>
      <c r="C141" s="23" t="s">
        <v>227</v>
      </c>
      <c r="D141" s="24">
        <f>_xlfn.XLOOKUP(C141,[3]Gastos!$B:$B,[3]Gastos!$G:$G)</f>
        <v>611544.25719999999</v>
      </c>
      <c r="E141" s="24">
        <f>_xlfn.XLOOKUP(C141,[3]Gastos!$B:$B,[3]Gastos!$L:$L)</f>
        <v>599569.25719999999</v>
      </c>
      <c r="F141" s="24">
        <f>_xlfn.XLOOKUP(C141,[3]Gastos!$B:$B,[3]Gastos!$Q:$Q)</f>
        <v>609980.25719999999</v>
      </c>
      <c r="G141" s="24">
        <f>SUM(Tabla1[[#This Row],[january]:[march]])</f>
        <v>1821093.7716000001</v>
      </c>
      <c r="H141" s="24">
        <f>_xlfn.XLOOKUP(C141,[3]Gastos!$B:$B,[3]Gastos!$V:$V)</f>
        <v>581001</v>
      </c>
      <c r="I141" s="24">
        <f>_xlfn.XLOOKUP(C141,[3]Gastos!$B:$B,[3]Gastos!$AA:$AA)</f>
        <v>634775</v>
      </c>
      <c r="J141" s="24">
        <f>_xlfn.XLOOKUP(C141,[3]Gastos!$B:$B,[3]Gastos!$AF:$AF)</f>
        <v>661323</v>
      </c>
      <c r="K141" s="24">
        <f>SUM(Tabla1[[#This Row],[april]:[june]])</f>
        <v>1877099</v>
      </c>
      <c r="L141" s="24">
        <f>_xlfn.XLOOKUP(C141,[3]Gastos!$B:$B,[3]Gastos!$AK:$AK)</f>
        <v>634711.24560000002</v>
      </c>
      <c r="M141" s="24">
        <f>_xlfn.XLOOKUP(C141,[3]Gastos!$B:$B,[3]Gastos!$AP:$AP)</f>
        <v>650395.25719999999</v>
      </c>
      <c r="N141" s="24">
        <f>_xlfn.XLOOKUP(Tabla1[[#This Row],[Subcuenta]],[3]Gastos!$B:$B,[3]Gastos!$AU:$AU)</f>
        <v>863931.777</v>
      </c>
      <c r="O141" s="24">
        <f>SUM(Tabla1[[#This Row],[july]:[september]])</f>
        <v>2149038.2797999997</v>
      </c>
      <c r="P141" s="24">
        <f>_xlfn.XLOOKUP(Tabla1[[#This Row],[Subcuenta]],[3]Gastos!$B:$B,[3]Gastos!$AZ:$AZ)</f>
        <v>662364.95819999999</v>
      </c>
      <c r="Q141" s="24">
        <f>_xlfn.XLOOKUP(Tabla1[[#This Row],[Subcuenta]],[3]Gastos!$B:$B,[3]Gastos!$BE:$BE)</f>
        <v>660512.20900000003</v>
      </c>
      <c r="R141" s="24">
        <f>_xlfn.XLOOKUP(Tabla1[[#This Row],[Subcuenta]],[3]Gastos!$B:$B,[3]Gastos!$BJ:$BJ)</f>
        <v>943533.60860000004</v>
      </c>
      <c r="S141" s="24">
        <f>SUM(Tabla1[[#This Row],[october]:[december]])</f>
        <v>2266410.7757999999</v>
      </c>
      <c r="T141" s="43">
        <f t="shared" si="1"/>
        <v>8113641.8272000002</v>
      </c>
    </row>
    <row r="142" spans="2:20" x14ac:dyDescent="0.3">
      <c r="B142" s="25" t="s">
        <v>93</v>
      </c>
      <c r="C142" s="23" t="s">
        <v>228</v>
      </c>
      <c r="D142" s="24">
        <f>_xlfn.XLOOKUP(C142,[3]Gastos!$B:$B,[3]Gastos!$G:$G)</f>
        <v>486689.51360000001</v>
      </c>
      <c r="E142" s="24">
        <f>_xlfn.XLOOKUP(C142,[3]Gastos!$B:$B,[3]Gastos!$L:$L)</f>
        <v>486689.51360000001</v>
      </c>
      <c r="F142" s="24">
        <f>_xlfn.XLOOKUP(C142,[3]Gastos!$B:$B,[3]Gastos!$Q:$Q)</f>
        <v>486689.51360000001</v>
      </c>
      <c r="G142" s="24">
        <f>SUM(Tabla1[[#This Row],[january]:[march]])</f>
        <v>1460068.5408000001</v>
      </c>
      <c r="H142" s="24">
        <f>_xlfn.XLOOKUP(C142,[3]Gastos!$B:$B,[3]Gastos!$V:$V)</f>
        <v>486690</v>
      </c>
      <c r="I142" s="24">
        <f>_xlfn.XLOOKUP(C142,[3]Gastos!$B:$B,[3]Gastos!$AA:$AA)</f>
        <v>470466</v>
      </c>
      <c r="J142" s="24">
        <f>_xlfn.XLOOKUP(C142,[3]Gastos!$B:$B,[3]Gastos!$AF:$AF)</f>
        <v>486690</v>
      </c>
      <c r="K142" s="24">
        <f>SUM(Tabla1[[#This Row],[april]:[june]])</f>
        <v>1443846</v>
      </c>
      <c r="L142" s="24">
        <f>_xlfn.XLOOKUP(C142,[3]Gastos!$B:$B,[3]Gastos!$AK:$AK)</f>
        <v>534681.5</v>
      </c>
      <c r="M142" s="24">
        <f>_xlfn.XLOOKUP(C142,[3]Gastos!$B:$B,[3]Gastos!$AP:$AP)</f>
        <v>534681.5</v>
      </c>
      <c r="N142" s="24">
        <f>_xlfn.XLOOKUP(Tabla1[[#This Row],[Subcuenta]],[3]Gastos!$B:$B,[3]Gastos!$AU:$AU)</f>
        <v>780731.76</v>
      </c>
      <c r="O142" s="24">
        <f>SUM(Tabla1[[#This Row],[july]:[september]])</f>
        <v>1850094.76</v>
      </c>
      <c r="P142" s="24">
        <f>_xlfn.XLOOKUP(Tabla1[[#This Row],[Subcuenta]],[3]Gastos!$B:$B,[3]Gastos!$AZ:$AZ)</f>
        <v>419098.38</v>
      </c>
      <c r="Q142" s="24">
        <f>_xlfn.XLOOKUP(Tabla1[[#This Row],[Subcuenta]],[3]Gastos!$B:$B,[3]Gastos!$BE:$BE)</f>
        <v>544858.62</v>
      </c>
      <c r="R142" s="24">
        <f>_xlfn.XLOOKUP(Tabla1[[#This Row],[Subcuenta]],[3]Gastos!$B:$B,[3]Gastos!$BJ:$BJ)</f>
        <v>835119.5</v>
      </c>
      <c r="S142" s="24">
        <f>SUM(Tabla1[[#This Row],[october]:[december]])</f>
        <v>1799076.5</v>
      </c>
      <c r="T142" s="43">
        <f t="shared" ref="T142:T167" si="2">SUM(G142,K142,O142,S142)</f>
        <v>6553085.8008000003</v>
      </c>
    </row>
    <row r="143" spans="2:20" x14ac:dyDescent="0.3">
      <c r="B143" s="25" t="s">
        <v>93</v>
      </c>
      <c r="C143" s="23" t="s">
        <v>198</v>
      </c>
      <c r="D143" s="24">
        <f>_xlfn.XLOOKUP(C143,[3]Gastos!$B:$B,[3]Gastos!$G:$G)</f>
        <v>452623</v>
      </c>
      <c r="E143" s="24">
        <f>_xlfn.XLOOKUP(C143,[3]Gastos!$B:$B,[3]Gastos!$L:$L)</f>
        <v>452262.1385</v>
      </c>
      <c r="F143" s="24">
        <f>_xlfn.XLOOKUP(C143,[3]Gastos!$B:$B,[3]Gastos!$Q:$Q)</f>
        <v>452155</v>
      </c>
      <c r="G143" s="24">
        <f>SUM(Tabla1[[#This Row],[january]:[march]])</f>
        <v>1357040.1384999999</v>
      </c>
      <c r="H143" s="24">
        <f>_xlfn.XLOOKUP(C143,[3]Gastos!$B:$B,[3]Gastos!$V:$V)</f>
        <v>451728</v>
      </c>
      <c r="I143" s="24">
        <f>_xlfn.XLOOKUP(C143,[3]Gastos!$B:$B,[3]Gastos!$AA:$AA)</f>
        <v>451411.83212000004</v>
      </c>
      <c r="J143" s="24">
        <f>_xlfn.XLOOKUP(C143,[3]Gastos!$B:$B,[3]Gastos!$AF:$AF)</f>
        <v>450959</v>
      </c>
      <c r="K143" s="24">
        <f>SUM(Tabla1[[#This Row],[april]:[june]])</f>
        <v>1354098.8321199999</v>
      </c>
      <c r="L143" s="24">
        <f>_xlfn.XLOOKUP(C143,[3]Gastos!$B:$B,[3]Gastos!$AK:$AK)</f>
        <v>452212.60000000003</v>
      </c>
      <c r="M143" s="24">
        <f>_xlfn.XLOOKUP(C143,[3]Gastos!$B:$B,[3]Gastos!$AP:$AP)</f>
        <v>452079.7</v>
      </c>
      <c r="N143" s="24">
        <f>_xlfn.XLOOKUP(Tabla1[[#This Row],[Subcuenta]],[3]Gastos!$B:$B,[3]Gastos!$AU:$AU)</f>
        <v>475261.4</v>
      </c>
      <c r="O143" s="24">
        <f>SUM(Tabla1[[#This Row],[july]:[september]])</f>
        <v>1379553.7000000002</v>
      </c>
      <c r="P143" s="24">
        <f>_xlfn.XLOOKUP(Tabla1[[#This Row],[Subcuenta]],[3]Gastos!$B:$B,[3]Gastos!$AZ:$AZ)</f>
        <v>452449.80000000005</v>
      </c>
      <c r="Q143" s="24">
        <f>_xlfn.XLOOKUP(Tabla1[[#This Row],[Subcuenta]],[3]Gastos!$B:$B,[3]Gastos!$BE:$BE)</f>
        <v>452162.4</v>
      </c>
      <c r="R143" s="24">
        <f>_xlfn.XLOOKUP(Tabla1[[#This Row],[Subcuenta]],[3]Gastos!$B:$B,[3]Gastos!$BJ:$BJ)</f>
        <v>479918.60000000003</v>
      </c>
      <c r="S143" s="24">
        <f>SUM(Tabla1[[#This Row],[october]:[december]])</f>
        <v>1384530.8</v>
      </c>
      <c r="T143" s="43">
        <f t="shared" si="2"/>
        <v>5475223.4706199998</v>
      </c>
    </row>
    <row r="144" spans="2:20" x14ac:dyDescent="0.3">
      <c r="B144" s="25" t="s">
        <v>93</v>
      </c>
      <c r="C144" s="23" t="s">
        <v>229</v>
      </c>
      <c r="D144" s="24">
        <f>_xlfn.XLOOKUP(C144,[3]Gastos!$B:$B,[3]Gastos!$G:$G)</f>
        <v>699999.15119999996</v>
      </c>
      <c r="E144" s="24">
        <f>_xlfn.XLOOKUP(C144,[3]Gastos!$B:$B,[3]Gastos!$L:$L)</f>
        <v>699999.15119999996</v>
      </c>
      <c r="F144" s="24">
        <f>_xlfn.XLOOKUP(C144,[3]Gastos!$B:$B,[3]Gastos!$Q:$Q)</f>
        <v>699999.15119999996</v>
      </c>
      <c r="G144" s="24">
        <f>SUM(Tabla1[[#This Row],[january]:[march]])</f>
        <v>2099997.4535999997</v>
      </c>
      <c r="H144" s="24">
        <f>_xlfn.XLOOKUP(C144,[3]Gastos!$B:$B,[3]Gastos!$V:$V)</f>
        <v>697167</v>
      </c>
      <c r="I144" s="24">
        <f>_xlfn.XLOOKUP(C144,[3]Gastos!$B:$B,[3]Gastos!$AA:$AA)</f>
        <v>686002</v>
      </c>
      <c r="J144" s="24">
        <f>_xlfn.XLOOKUP(C144,[3]Gastos!$B:$B,[3]Gastos!$AF:$AF)</f>
        <v>1541453</v>
      </c>
      <c r="K144" s="24">
        <f>SUM(Tabla1[[#This Row],[april]:[june]])</f>
        <v>2924622</v>
      </c>
      <c r="L144" s="24">
        <f>_xlfn.XLOOKUP(C144,[3]Gastos!$B:$B,[3]Gastos!$AK:$AK)</f>
        <v>0</v>
      </c>
      <c r="M144" s="24">
        <f>_xlfn.XLOOKUP(C144,[3]Gastos!$B:$B,[3]Gastos!$AP:$AP)</f>
        <v>0</v>
      </c>
      <c r="N144" s="24">
        <f>_xlfn.XLOOKUP(Tabla1[[#This Row],[Subcuenta]],[3]Gastos!$B:$B,[3]Gastos!$AU:$AU)</f>
        <v>0</v>
      </c>
      <c r="O144" s="24">
        <f>SUM(Tabla1[[#This Row],[july]:[september]])</f>
        <v>0</v>
      </c>
      <c r="P144" s="24">
        <f>_xlfn.XLOOKUP(Tabla1[[#This Row],[Subcuenta]],[3]Gastos!$B:$B,[3]Gastos!$AZ:$AZ)</f>
        <v>0</v>
      </c>
      <c r="Q144" s="24">
        <f>_xlfn.XLOOKUP(Tabla1[[#This Row],[Subcuenta]],[3]Gastos!$B:$B,[3]Gastos!$BE:$BE)</f>
        <v>0</v>
      </c>
      <c r="R144" s="24">
        <f>_xlfn.XLOOKUP(Tabla1[[#This Row],[Subcuenta]],[3]Gastos!$B:$B,[3]Gastos!$BJ:$BJ)</f>
        <v>0</v>
      </c>
      <c r="S144" s="24">
        <f>SUM(Tabla1[[#This Row],[october]:[december]])</f>
        <v>0</v>
      </c>
      <c r="T144" s="43">
        <f t="shared" si="2"/>
        <v>5024619.4535999997</v>
      </c>
    </row>
    <row r="145" spans="2:20" x14ac:dyDescent="0.3">
      <c r="B145" s="25" t="s">
        <v>93</v>
      </c>
      <c r="C145" s="23" t="s">
        <v>230</v>
      </c>
      <c r="D145" s="24">
        <f>_xlfn.XLOOKUP(C145,[3]Gastos!$B:$B,[3]Gastos!$G:$G)</f>
        <v>711805.77720000001</v>
      </c>
      <c r="E145" s="24">
        <f>_xlfn.XLOOKUP(C145,[3]Gastos!$B:$B,[3]Gastos!$L:$L)</f>
        <v>626523.973</v>
      </c>
      <c r="F145" s="24">
        <f>_xlfn.XLOOKUP(C145,[3]Gastos!$B:$B,[3]Gastos!$Q:$Q)</f>
        <v>727182.20979999995</v>
      </c>
      <c r="G145" s="24">
        <f>SUM(Tabla1[[#This Row],[january]:[march]])</f>
        <v>2065511.96</v>
      </c>
      <c r="H145" s="24">
        <f>_xlfn.XLOOKUP(C145,[3]Gastos!$B:$B,[3]Gastos!$V:$V)</f>
        <v>612932</v>
      </c>
      <c r="I145" s="24">
        <f>_xlfn.XLOOKUP(C145,[3]Gastos!$B:$B,[3]Gastos!$AA:$AA)</f>
        <v>639007</v>
      </c>
      <c r="J145" s="24">
        <f>_xlfn.XLOOKUP(C145,[3]Gastos!$B:$B,[3]Gastos!$AF:$AF)</f>
        <v>682679</v>
      </c>
      <c r="K145" s="24">
        <f>SUM(Tabla1[[#This Row],[april]:[june]])</f>
        <v>1934618</v>
      </c>
      <c r="L145" s="24">
        <f>_xlfn.XLOOKUP(C145,[3]Gastos!$B:$B,[3]Gastos!$AK:$AK)</f>
        <v>608270.74919999996</v>
      </c>
      <c r="M145" s="24">
        <f>_xlfn.XLOOKUP(C145,[3]Gastos!$B:$B,[3]Gastos!$AP:$AP)</f>
        <v>608270.74919999996</v>
      </c>
      <c r="N145" s="24">
        <f>_xlfn.XLOOKUP(Tabla1[[#This Row],[Subcuenta]],[3]Gastos!$B:$B,[3]Gastos!$AU:$AU)</f>
        <v>905729.8138</v>
      </c>
      <c r="O145" s="24">
        <f>SUM(Tabla1[[#This Row],[july]:[september]])</f>
        <v>2122271.3122</v>
      </c>
      <c r="P145" s="24">
        <f>_xlfn.XLOOKUP(Tabla1[[#This Row],[Subcuenta]],[3]Gastos!$B:$B,[3]Gastos!$AZ:$AZ)</f>
        <v>756297.33920000005</v>
      </c>
      <c r="Q145" s="24">
        <f>_xlfn.XLOOKUP(Tabla1[[#This Row],[Subcuenta]],[3]Gastos!$B:$B,[3]Gastos!$BE:$BE)</f>
        <v>759954.69239999994</v>
      </c>
      <c r="R145" s="24">
        <f>_xlfn.XLOOKUP(Tabla1[[#This Row],[Subcuenta]],[3]Gastos!$B:$B,[3]Gastos!$BJ:$BJ)</f>
        <v>1007517.1666</v>
      </c>
      <c r="S145" s="24">
        <f>SUM(Tabla1[[#This Row],[october]:[december]])</f>
        <v>2523769.1982</v>
      </c>
      <c r="T145" s="43">
        <f t="shared" si="2"/>
        <v>8646170.4704</v>
      </c>
    </row>
    <row r="146" spans="2:20" x14ac:dyDescent="0.3">
      <c r="B146" s="25" t="s">
        <v>93</v>
      </c>
      <c r="C146" s="23" t="s">
        <v>231</v>
      </c>
      <c r="D146" s="24">
        <f>_xlfn.XLOOKUP(C146,[3]Gastos!$B:$B,[3]Gastos!$G:$G)</f>
        <v>595334.28819999995</v>
      </c>
      <c r="E146" s="24">
        <f>_xlfn.XLOOKUP(C146,[3]Gastos!$B:$B,[3]Gastos!$L:$L)</f>
        <v>600000.38359999994</v>
      </c>
      <c r="F146" s="24">
        <f>_xlfn.XLOOKUP(C146,[3]Gastos!$B:$B,[3]Gastos!$Q:$Q)</f>
        <v>582889.38359999994</v>
      </c>
      <c r="G146" s="24">
        <f>SUM(Tabla1[[#This Row],[january]:[march]])</f>
        <v>1778224.0554</v>
      </c>
      <c r="H146" s="24">
        <f>_xlfn.XLOOKUP(C146,[3]Gastos!$B:$B,[3]Gastos!$V:$V)</f>
        <v>420001</v>
      </c>
      <c r="I146" s="24">
        <f>_xlfn.XLOOKUP(C146,[3]Gastos!$B:$B,[3]Gastos!$AA:$AA)</f>
        <v>39999</v>
      </c>
      <c r="J146" s="24">
        <f>_xlfn.XLOOKUP(C146,[3]Gastos!$B:$B,[3]Gastos!$AF:$AF)</f>
        <v>1585155</v>
      </c>
      <c r="K146" s="24">
        <f>SUM(Tabla1[[#This Row],[april]:[june]])</f>
        <v>2045155</v>
      </c>
      <c r="L146" s="24">
        <f>_xlfn.XLOOKUP(C146,[3]Gastos!$B:$B,[3]Gastos!$AK:$AK)</f>
        <v>0</v>
      </c>
      <c r="M146" s="24">
        <f>_xlfn.XLOOKUP(C146,[3]Gastos!$B:$B,[3]Gastos!$AP:$AP)</f>
        <v>0</v>
      </c>
      <c r="N146" s="24">
        <f>_xlfn.XLOOKUP(Tabla1[[#This Row],[Subcuenta]],[3]Gastos!$B:$B,[3]Gastos!$AU:$AU)</f>
        <v>0</v>
      </c>
      <c r="O146" s="24">
        <f>SUM(Tabla1[[#This Row],[july]:[september]])</f>
        <v>0</v>
      </c>
      <c r="P146" s="24">
        <f>_xlfn.XLOOKUP(Tabla1[[#This Row],[Subcuenta]],[3]Gastos!$B:$B,[3]Gastos!$AZ:$AZ)</f>
        <v>0</v>
      </c>
      <c r="Q146" s="24">
        <f>_xlfn.XLOOKUP(Tabla1[[#This Row],[Subcuenta]],[3]Gastos!$B:$B,[3]Gastos!$BE:$BE)</f>
        <v>0</v>
      </c>
      <c r="R146" s="24">
        <f>_xlfn.XLOOKUP(Tabla1[[#This Row],[Subcuenta]],[3]Gastos!$B:$B,[3]Gastos!$BJ:$BJ)</f>
        <v>0</v>
      </c>
      <c r="S146" s="24">
        <f>SUM(Tabla1[[#This Row],[october]:[december]])</f>
        <v>0</v>
      </c>
      <c r="T146" s="43">
        <f t="shared" si="2"/>
        <v>3823379.0554</v>
      </c>
    </row>
    <row r="147" spans="2:20" x14ac:dyDescent="0.3">
      <c r="B147" s="25" t="s">
        <v>93</v>
      </c>
      <c r="C147" s="23" t="s">
        <v>232</v>
      </c>
      <c r="D147" s="24">
        <f>_xlfn.XLOOKUP(C147,[3]Gastos!$B:$B,[3]Gastos!$G:$G)</f>
        <v>634922.45700000005</v>
      </c>
      <c r="E147" s="24">
        <f>_xlfn.XLOOKUP(C147,[3]Gastos!$B:$B,[3]Gastos!$L:$L)</f>
        <v>600181.14549999998</v>
      </c>
      <c r="F147" s="24">
        <f>_xlfn.XLOOKUP(C147,[3]Gastos!$B:$B,[3]Gastos!$Q:$Q)</f>
        <v>703750.19449999998</v>
      </c>
      <c r="G147" s="24">
        <f>SUM(Tabla1[[#This Row],[january]:[march]])</f>
        <v>1938853.797</v>
      </c>
      <c r="H147" s="24">
        <f>_xlfn.XLOOKUP(C147,[3]Gastos!$B:$B,[3]Gastos!$V:$V)</f>
        <v>642643</v>
      </c>
      <c r="I147" s="24">
        <f>_xlfn.XLOOKUP(C147,[3]Gastos!$B:$B,[3]Gastos!$AA:$AA)</f>
        <v>318428</v>
      </c>
      <c r="J147" s="24">
        <f>_xlfn.XLOOKUP(C147,[3]Gastos!$B:$B,[3]Gastos!$AF:$AF)</f>
        <v>1899067</v>
      </c>
      <c r="K147" s="24">
        <f>SUM(Tabla1[[#This Row],[april]:[june]])</f>
        <v>2860138</v>
      </c>
      <c r="L147" s="24">
        <f>_xlfn.XLOOKUP(C147,[3]Gastos!$B:$B,[3]Gastos!$AK:$AK)</f>
        <v>0</v>
      </c>
      <c r="M147" s="24">
        <f>_xlfn.XLOOKUP(C147,[3]Gastos!$B:$B,[3]Gastos!$AP:$AP)</f>
        <v>0</v>
      </c>
      <c r="N147" s="24">
        <f>_xlfn.XLOOKUP(Tabla1[[#This Row],[Subcuenta]],[3]Gastos!$B:$B,[3]Gastos!$AU:$AU)</f>
        <v>0</v>
      </c>
      <c r="O147" s="24">
        <f>SUM(Tabla1[[#This Row],[july]:[september]])</f>
        <v>0</v>
      </c>
      <c r="P147" s="24">
        <f>_xlfn.XLOOKUP(Tabla1[[#This Row],[Subcuenta]],[3]Gastos!$B:$B,[3]Gastos!$AZ:$AZ)</f>
        <v>0</v>
      </c>
      <c r="Q147" s="24">
        <f>_xlfn.XLOOKUP(Tabla1[[#This Row],[Subcuenta]],[3]Gastos!$B:$B,[3]Gastos!$BE:$BE)</f>
        <v>0</v>
      </c>
      <c r="R147" s="24">
        <f>_xlfn.XLOOKUP(Tabla1[[#This Row],[Subcuenta]],[3]Gastos!$B:$B,[3]Gastos!$BJ:$BJ)</f>
        <v>0</v>
      </c>
      <c r="S147" s="24">
        <f>SUM(Tabla1[[#This Row],[october]:[december]])</f>
        <v>0</v>
      </c>
      <c r="T147" s="43">
        <f t="shared" si="2"/>
        <v>4798991.7970000003</v>
      </c>
    </row>
    <row r="148" spans="2:20" x14ac:dyDescent="0.3">
      <c r="B148" s="25" t="s">
        <v>93</v>
      </c>
      <c r="C148" s="23" t="s">
        <v>233</v>
      </c>
      <c r="D148" s="24">
        <f>_xlfn.XLOOKUP(C148,[3]Gastos!$B:$B,[3]Gastos!$G:$G)</f>
        <v>711922.77980000002</v>
      </c>
      <c r="E148" s="24">
        <f>_xlfn.XLOOKUP(C148,[3]Gastos!$B:$B,[3]Gastos!$L:$L)</f>
        <v>650406.41279999993</v>
      </c>
      <c r="F148" s="24">
        <f>_xlfn.XLOOKUP(C148,[3]Gastos!$B:$B,[3]Gastos!$Q:$Q)</f>
        <v>618007.79180000001</v>
      </c>
      <c r="G148" s="24">
        <f>SUM(Tabla1[[#This Row],[january]:[march]])</f>
        <v>1980336.9844</v>
      </c>
      <c r="H148" s="24">
        <f>_xlfn.XLOOKUP(C148,[3]Gastos!$B:$B,[3]Gastos!$V:$V)</f>
        <v>631778</v>
      </c>
      <c r="I148" s="24">
        <f>_xlfn.XLOOKUP(C148,[3]Gastos!$B:$B,[3]Gastos!$AA:$AA)</f>
        <v>472652</v>
      </c>
      <c r="J148" s="24">
        <f>_xlfn.XLOOKUP(C148,[3]Gastos!$B:$B,[3]Gastos!$AF:$AF)</f>
        <v>1252462</v>
      </c>
      <c r="K148" s="24">
        <f>SUM(Tabla1[[#This Row],[april]:[june]])</f>
        <v>2356892</v>
      </c>
      <c r="L148" s="24">
        <f>_xlfn.XLOOKUP(C148,[3]Gastos!$B:$B,[3]Gastos!$AK:$AK)</f>
        <v>0</v>
      </c>
      <c r="M148" s="24">
        <f>_xlfn.XLOOKUP(C148,[3]Gastos!$B:$B,[3]Gastos!$AP:$AP)</f>
        <v>0</v>
      </c>
      <c r="N148" s="24">
        <f>_xlfn.XLOOKUP(Tabla1[[#This Row],[Subcuenta]],[3]Gastos!$B:$B,[3]Gastos!$AU:$AU)</f>
        <v>0</v>
      </c>
      <c r="O148" s="24">
        <f>SUM(Tabla1[[#This Row],[july]:[september]])</f>
        <v>0</v>
      </c>
      <c r="P148" s="24">
        <f>_xlfn.XLOOKUP(Tabla1[[#This Row],[Subcuenta]],[3]Gastos!$B:$B,[3]Gastos!$AZ:$AZ)</f>
        <v>0</v>
      </c>
      <c r="Q148" s="24">
        <f>_xlfn.XLOOKUP(Tabla1[[#This Row],[Subcuenta]],[3]Gastos!$B:$B,[3]Gastos!$BE:$BE)</f>
        <v>0</v>
      </c>
      <c r="R148" s="24">
        <f>_xlfn.XLOOKUP(Tabla1[[#This Row],[Subcuenta]],[3]Gastos!$B:$B,[3]Gastos!$BJ:$BJ)</f>
        <v>0</v>
      </c>
      <c r="S148" s="24">
        <f>SUM(Tabla1[[#This Row],[october]:[december]])</f>
        <v>0</v>
      </c>
      <c r="T148" s="43">
        <f t="shared" si="2"/>
        <v>4337228.9844000004</v>
      </c>
    </row>
    <row r="149" spans="2:20" x14ac:dyDescent="0.3">
      <c r="B149" s="25" t="s">
        <v>93</v>
      </c>
      <c r="C149" s="23" t="s">
        <v>234</v>
      </c>
      <c r="D149" s="24">
        <f>_xlfn.XLOOKUP(C149,[3]Gastos!$B:$B,[3]Gastos!$G:$G)</f>
        <v>579999.6496</v>
      </c>
      <c r="E149" s="24">
        <f>_xlfn.XLOOKUP(C149,[3]Gastos!$B:$B,[3]Gastos!$L:$L)</f>
        <v>600000.38359999994</v>
      </c>
      <c r="F149" s="24">
        <f>_xlfn.XLOOKUP(C149,[3]Gastos!$B:$B,[3]Gastos!$Q:$Q)</f>
        <v>267046.19180000003</v>
      </c>
      <c r="G149" s="24">
        <f>SUM(Tabla1[[#This Row],[january]:[march]])</f>
        <v>1447046.2250000001</v>
      </c>
      <c r="H149" s="24">
        <f>_xlfn.XLOOKUP(C149,[3]Gastos!$B:$B,[3]Gastos!$V:$V)</f>
        <v>593663</v>
      </c>
      <c r="I149" s="24">
        <f>_xlfn.XLOOKUP(C149,[3]Gastos!$B:$B,[3]Gastos!$AA:$AA)</f>
        <v>340000</v>
      </c>
      <c r="J149" s="24">
        <f>_xlfn.XLOOKUP(C149,[3]Gastos!$B:$B,[3]Gastos!$AF:$AF)</f>
        <v>1375713</v>
      </c>
      <c r="K149" s="24">
        <f>SUM(Tabla1[[#This Row],[april]:[june]])</f>
        <v>2309376</v>
      </c>
      <c r="L149" s="24">
        <f>_xlfn.XLOOKUP(C149,[3]Gastos!$B:$B,[3]Gastos!$AK:$AK)</f>
        <v>0</v>
      </c>
      <c r="M149" s="24">
        <f>_xlfn.XLOOKUP(C149,[3]Gastos!$B:$B,[3]Gastos!$AP:$AP)</f>
        <v>0</v>
      </c>
      <c r="N149" s="24">
        <f>_xlfn.XLOOKUP(Tabla1[[#This Row],[Subcuenta]],[3]Gastos!$B:$B,[3]Gastos!$AU:$AU)</f>
        <v>0</v>
      </c>
      <c r="O149" s="24">
        <f>SUM(Tabla1[[#This Row],[july]:[september]])</f>
        <v>0</v>
      </c>
      <c r="P149" s="24">
        <f>_xlfn.XLOOKUP(Tabla1[[#This Row],[Subcuenta]],[3]Gastos!$B:$B,[3]Gastos!$AZ:$AZ)</f>
        <v>0</v>
      </c>
      <c r="Q149" s="24">
        <f>_xlfn.XLOOKUP(Tabla1[[#This Row],[Subcuenta]],[3]Gastos!$B:$B,[3]Gastos!$BE:$BE)</f>
        <v>0</v>
      </c>
      <c r="R149" s="24">
        <f>_xlfn.XLOOKUP(Tabla1[[#This Row],[Subcuenta]],[3]Gastos!$B:$B,[3]Gastos!$BJ:$BJ)</f>
        <v>0</v>
      </c>
      <c r="S149" s="24">
        <f>SUM(Tabla1[[#This Row],[october]:[december]])</f>
        <v>0</v>
      </c>
      <c r="T149" s="43">
        <f t="shared" si="2"/>
        <v>3756422.2250000001</v>
      </c>
    </row>
    <row r="150" spans="2:20" x14ac:dyDescent="0.3">
      <c r="B150" s="25" t="s">
        <v>93</v>
      </c>
      <c r="C150" s="23" t="s">
        <v>235</v>
      </c>
      <c r="D150" s="24">
        <f>_xlfn.XLOOKUP(C150,[3]Gastos!$B:$B,[3]Gastos!$G:$G)</f>
        <v>579999.6496</v>
      </c>
      <c r="E150" s="24">
        <f>_xlfn.XLOOKUP(C150,[3]Gastos!$B:$B,[3]Gastos!$L:$L)</f>
        <v>600000.38359999994</v>
      </c>
      <c r="F150" s="24">
        <f>_xlfn.XLOOKUP(C150,[3]Gastos!$B:$B,[3]Gastos!$Q:$Q)</f>
        <v>600000.38359999994</v>
      </c>
      <c r="G150" s="24">
        <f>SUM(Tabla1[[#This Row],[january]:[march]])</f>
        <v>1780000.4167999998</v>
      </c>
      <c r="H150" s="24">
        <f>_xlfn.XLOOKUP(C150,[3]Gastos!$B:$B,[3]Gastos!$V:$V)</f>
        <v>600000</v>
      </c>
      <c r="I150" s="24">
        <f>_xlfn.XLOOKUP(C150,[3]Gastos!$B:$B,[3]Gastos!$AA:$AA)</f>
        <v>600000</v>
      </c>
      <c r="J150" s="24">
        <f>_xlfn.XLOOKUP(C150,[3]Gastos!$B:$B,[3]Gastos!$AF:$AF)</f>
        <v>580000</v>
      </c>
      <c r="K150" s="24">
        <f>SUM(Tabla1[[#This Row],[april]:[june]])</f>
        <v>1780000</v>
      </c>
      <c r="L150" s="24">
        <f>_xlfn.XLOOKUP(C150,[3]Gastos!$B:$B,[3]Gastos!$AK:$AK)</f>
        <v>600000.38359999994</v>
      </c>
      <c r="M150" s="24">
        <f>_xlfn.XLOOKUP(C150,[3]Gastos!$B:$B,[3]Gastos!$AP:$AP)</f>
        <v>596755.38359999994</v>
      </c>
      <c r="N150" s="24">
        <f>_xlfn.XLOOKUP(Tabla1[[#This Row],[Subcuenta]],[3]Gastos!$B:$B,[3]Gastos!$AU:$AU)</f>
        <v>860762.39299999992</v>
      </c>
      <c r="O150" s="24">
        <f>SUM(Tabla1[[#This Row],[july]:[september]])</f>
        <v>2057518.1601999998</v>
      </c>
      <c r="P150" s="24">
        <f>_xlfn.XLOOKUP(Tabla1[[#This Row],[Subcuenta]],[3]Gastos!$B:$B,[3]Gastos!$AZ:$AZ)</f>
        <v>676667.39300000004</v>
      </c>
      <c r="Q150" s="24">
        <f>_xlfn.XLOOKUP(Tabla1[[#This Row],[Subcuenta]],[3]Gastos!$B:$B,[3]Gastos!$BE:$BE)</f>
        <v>691482.80780000007</v>
      </c>
      <c r="R150" s="24">
        <f>_xlfn.XLOOKUP(Tabla1[[#This Row],[Subcuenta]],[3]Gastos!$B:$B,[3]Gastos!$BJ:$BJ)</f>
        <v>930118.55779999995</v>
      </c>
      <c r="S150" s="24">
        <f>SUM(Tabla1[[#This Row],[october]:[december]])</f>
        <v>2298268.7586000003</v>
      </c>
      <c r="T150" s="43">
        <f t="shared" si="2"/>
        <v>7915787.3355999999</v>
      </c>
    </row>
    <row r="151" spans="2:20" x14ac:dyDescent="0.3">
      <c r="B151" s="25" t="s">
        <v>93</v>
      </c>
      <c r="C151" s="23" t="s">
        <v>236</v>
      </c>
      <c r="D151" s="24">
        <f>_xlfn.XLOOKUP(C151,[3]Gastos!$B:$B,[3]Gastos!$G:$G)</f>
        <v>1051657.3739999998</v>
      </c>
      <c r="E151" s="24">
        <f>_xlfn.XLOOKUP(C151,[3]Gastos!$B:$B,[3]Gastos!$L:$L)</f>
        <v>1048695.3739999998</v>
      </c>
      <c r="F151" s="24">
        <f>_xlfn.XLOOKUP(C151,[3]Gastos!$B:$B,[3]Gastos!$Q:$Q)</f>
        <v>1047818.374</v>
      </c>
      <c r="G151" s="24">
        <f>SUM(Tabla1[[#This Row],[january]:[march]])</f>
        <v>3148171.1219999995</v>
      </c>
      <c r="H151" s="24">
        <f>_xlfn.XLOOKUP(C151,[3]Gastos!$B:$B,[3]Gastos!$V:$V)</f>
        <v>1044310</v>
      </c>
      <c r="I151" s="24">
        <f>_xlfn.XLOOKUP(C151,[3]Gastos!$B:$B,[3]Gastos!$AA:$AA)</f>
        <v>1041720</v>
      </c>
      <c r="J151" s="24">
        <f>_xlfn.XLOOKUP(C151,[3]Gastos!$B:$B,[3]Gastos!$AF:$AF)</f>
        <v>1051410</v>
      </c>
      <c r="K151" s="24">
        <f>SUM(Tabla1[[#This Row],[april]:[june]])</f>
        <v>3137440</v>
      </c>
      <c r="L151" s="24">
        <f>_xlfn.XLOOKUP(C151,[3]Gastos!$B:$B,[3]Gastos!$AK:$AK)</f>
        <v>1315799.1864999998</v>
      </c>
      <c r="M151" s="24">
        <f>_xlfn.XLOOKUP(C151,[3]Gastos!$B:$B,[3]Gastos!$AP:$AP)</f>
        <v>1050866.1864999998</v>
      </c>
      <c r="N151" s="24">
        <f>_xlfn.XLOOKUP(Tabla1[[#This Row],[Subcuenta]],[3]Gastos!$B:$B,[3]Gastos!$AU:$AU)</f>
        <v>1254819.6884999999</v>
      </c>
      <c r="O151" s="24">
        <f>SUM(Tabla1[[#This Row],[july]:[september]])</f>
        <v>3621485.0614999998</v>
      </c>
      <c r="P151" s="24">
        <f>_xlfn.XLOOKUP(Tabla1[[#This Row],[Subcuenta]],[3]Gastos!$B:$B,[3]Gastos!$AZ:$AZ)</f>
        <v>1169355.7519999999</v>
      </c>
      <c r="Q151" s="24">
        <f>_xlfn.XLOOKUP(Tabla1[[#This Row],[Subcuenta]],[3]Gastos!$B:$B,[3]Gastos!$BE:$BE)</f>
        <v>1213769.1884999999</v>
      </c>
      <c r="R151" s="24">
        <f>_xlfn.XLOOKUP(Tabla1[[#This Row],[Subcuenta]],[3]Gastos!$B:$B,[3]Gastos!$BJ:$BJ)</f>
        <v>1459120.0634999999</v>
      </c>
      <c r="S151" s="24">
        <f>SUM(Tabla1[[#This Row],[october]:[december]])</f>
        <v>3842245.0039999997</v>
      </c>
      <c r="T151" s="43">
        <f t="shared" si="2"/>
        <v>13749341.1875</v>
      </c>
    </row>
    <row r="152" spans="2:20" x14ac:dyDescent="0.3">
      <c r="B152" s="25" t="s">
        <v>93</v>
      </c>
      <c r="C152" s="23" t="s">
        <v>237</v>
      </c>
      <c r="D152" s="24">
        <f>_xlfn.XLOOKUP(C152,[3]Gastos!$B:$B,[3]Gastos!$G:$G)</f>
        <v>723151.54879999999</v>
      </c>
      <c r="E152" s="24">
        <f>_xlfn.XLOOKUP(C152,[3]Gastos!$B:$B,[3]Gastos!$L:$L)</f>
        <v>666465.77600000007</v>
      </c>
      <c r="F152" s="24">
        <f>_xlfn.XLOOKUP(C152,[3]Gastos!$B:$B,[3]Gastos!$Q:$Q)</f>
        <v>636981.77279999992</v>
      </c>
      <c r="G152" s="24">
        <f>SUM(Tabla1[[#This Row],[january]:[march]])</f>
        <v>2026599.0976</v>
      </c>
      <c r="H152" s="24">
        <f>_xlfn.XLOOKUP(C152,[3]Gastos!$B:$B,[3]Gastos!$V:$V)</f>
        <v>765233</v>
      </c>
      <c r="I152" s="24">
        <f>_xlfn.XLOOKUP(C152,[3]Gastos!$B:$B,[3]Gastos!$AA:$AA)</f>
        <v>831113</v>
      </c>
      <c r="J152" s="24">
        <f>_xlfn.XLOOKUP(C152,[3]Gastos!$B:$B,[3]Gastos!$AF:$AF)</f>
        <v>717421</v>
      </c>
      <c r="K152" s="24">
        <f>SUM(Tabla1[[#This Row],[april]:[june]])</f>
        <v>2313767</v>
      </c>
      <c r="L152" s="24">
        <f>_xlfn.XLOOKUP(C152,[3]Gastos!$B:$B,[3]Gastos!$AK:$AK)</f>
        <v>694281.21279999998</v>
      </c>
      <c r="M152" s="24">
        <f>_xlfn.XLOOKUP(C152,[3]Gastos!$B:$B,[3]Gastos!$AP:$AP)</f>
        <v>694281.21279999998</v>
      </c>
      <c r="N152" s="24">
        <f>_xlfn.XLOOKUP(Tabla1[[#This Row],[Subcuenta]],[3]Gastos!$B:$B,[3]Gastos!$AU:$AU)</f>
        <v>1018886.2848</v>
      </c>
      <c r="O152" s="24">
        <f>SUM(Tabla1[[#This Row],[july]:[september]])</f>
        <v>2407448.7104000002</v>
      </c>
      <c r="P152" s="24">
        <f>_xlfn.XLOOKUP(Tabla1[[#This Row],[Subcuenta]],[3]Gastos!$B:$B,[3]Gastos!$AZ:$AZ)</f>
        <v>934084.7328</v>
      </c>
      <c r="Q152" s="24">
        <f>_xlfn.XLOOKUP(Tabla1[[#This Row],[Subcuenta]],[3]Gastos!$B:$B,[3]Gastos!$BE:$BE)</f>
        <v>739717.58400000003</v>
      </c>
      <c r="R152" s="24">
        <f>_xlfn.XLOOKUP(Tabla1[[#This Row],[Subcuenta]],[3]Gastos!$B:$B,[3]Gastos!$BJ:$BJ)</f>
        <v>1249195.3856000002</v>
      </c>
      <c r="S152" s="24">
        <f>SUM(Tabla1[[#This Row],[october]:[december]])</f>
        <v>2922997.7024000003</v>
      </c>
      <c r="T152" s="43">
        <f t="shared" si="2"/>
        <v>9670812.510400001</v>
      </c>
    </row>
    <row r="153" spans="2:20" x14ac:dyDescent="0.3">
      <c r="B153" s="25" t="s">
        <v>93</v>
      </c>
      <c r="C153" s="23" t="s">
        <v>238</v>
      </c>
      <c r="D153" s="24">
        <f>_xlfn.XLOOKUP(C153,[3]Gastos!$B:$B,[3]Gastos!$G:$G)</f>
        <v>653016.69200000004</v>
      </c>
      <c r="E153" s="24">
        <f>_xlfn.XLOOKUP(C153,[3]Gastos!$B:$B,[3]Gastos!$L:$L)</f>
        <v>669436.69200000004</v>
      </c>
      <c r="F153" s="24">
        <f>_xlfn.XLOOKUP(C153,[3]Gastos!$B:$B,[3]Gastos!$Q:$Q)</f>
        <v>691696.4412</v>
      </c>
      <c r="G153" s="24">
        <f>SUM(Tabla1[[#This Row],[january]:[march]])</f>
        <v>2014149.8252000001</v>
      </c>
      <c r="H153" s="24">
        <f>_xlfn.XLOOKUP(C153,[3]Gastos!$B:$B,[3]Gastos!$V:$V)</f>
        <v>705719</v>
      </c>
      <c r="I153" s="24">
        <f>_xlfn.XLOOKUP(C153,[3]Gastos!$B:$B,[3]Gastos!$AA:$AA)</f>
        <v>635732</v>
      </c>
      <c r="J153" s="24">
        <f>_xlfn.XLOOKUP(C153,[3]Gastos!$B:$B,[3]Gastos!$AF:$AF)</f>
        <v>660400</v>
      </c>
      <c r="K153" s="24">
        <f>SUM(Tabla1[[#This Row],[april]:[june]])</f>
        <v>2001851</v>
      </c>
      <c r="L153" s="24">
        <f>_xlfn.XLOOKUP(C153,[3]Gastos!$B:$B,[3]Gastos!$AK:$AK)</f>
        <v>678662.2452</v>
      </c>
      <c r="M153" s="24">
        <f>_xlfn.XLOOKUP(C153,[3]Gastos!$B:$B,[3]Gastos!$AP:$AP)</f>
        <v>642436.4412</v>
      </c>
      <c r="N153" s="24">
        <f>_xlfn.XLOOKUP(Tabla1[[#This Row],[Subcuenta]],[3]Gastos!$B:$B,[3]Gastos!$AU:$AU)</f>
        <v>832670.16200000001</v>
      </c>
      <c r="O153" s="24">
        <f>SUM(Tabla1[[#This Row],[july]:[september]])</f>
        <v>2153768.8484</v>
      </c>
      <c r="P153" s="24">
        <f>_xlfn.XLOOKUP(Tabla1[[#This Row],[Subcuenta]],[3]Gastos!$B:$B,[3]Gastos!$AZ:$AZ)</f>
        <v>664844.16200000001</v>
      </c>
      <c r="Q153" s="24">
        <f>_xlfn.XLOOKUP(Tabla1[[#This Row],[Subcuenta]],[3]Gastos!$B:$B,[3]Gastos!$BE:$BE)</f>
        <v>672357.4412</v>
      </c>
      <c r="R153" s="24">
        <f>_xlfn.XLOOKUP(Tabla1[[#This Row],[Subcuenta]],[3]Gastos!$B:$B,[3]Gastos!$BJ:$BJ)</f>
        <v>888843.66200000001</v>
      </c>
      <c r="S153" s="24">
        <f>SUM(Tabla1[[#This Row],[october]:[december]])</f>
        <v>2226045.2652000003</v>
      </c>
      <c r="T153" s="43">
        <f t="shared" si="2"/>
        <v>8395814.9387999997</v>
      </c>
    </row>
    <row r="154" spans="2:20" x14ac:dyDescent="0.3">
      <c r="B154" s="25" t="s">
        <v>93</v>
      </c>
      <c r="C154" s="23" t="s">
        <v>239</v>
      </c>
      <c r="D154" s="24">
        <f>_xlfn.XLOOKUP(C154,[3]Gastos!$B:$B,[3]Gastos!$G:$G)</f>
        <v>0</v>
      </c>
      <c r="E154" s="24">
        <f>_xlfn.XLOOKUP(C154,[3]Gastos!$B:$B,[3]Gastos!$L:$L)</f>
        <v>0</v>
      </c>
      <c r="F154" s="24">
        <f>_xlfn.XLOOKUP(C154,[3]Gastos!$B:$B,[3]Gastos!$Q:$Q)</f>
        <v>0</v>
      </c>
      <c r="G154" s="24">
        <f>SUM(Tabla1[[#This Row],[january]:[march]])</f>
        <v>0</v>
      </c>
      <c r="H154" s="24">
        <f>_xlfn.XLOOKUP(C154,[3]Gastos!$B:$B,[3]Gastos!$V:$V)</f>
        <v>0</v>
      </c>
      <c r="I154" s="24">
        <f>_xlfn.XLOOKUP(C154,[3]Gastos!$B:$B,[3]Gastos!$AA:$AA)</f>
        <v>529714.84</v>
      </c>
      <c r="J154" s="24">
        <f>_xlfn.XLOOKUP(C154,[3]Gastos!$B:$B,[3]Gastos!$AF:$AF)</f>
        <v>565488</v>
      </c>
      <c r="K154" s="24">
        <f>SUM(Tabla1[[#This Row],[april]:[june]])</f>
        <v>1095202.8399999999</v>
      </c>
      <c r="L154" s="24">
        <f>_xlfn.XLOOKUP(C154,[3]Gastos!$B:$B,[3]Gastos!$AK:$AK)</f>
        <v>575611.75679999997</v>
      </c>
      <c r="M154" s="24">
        <f>_xlfn.XLOOKUP(C154,[3]Gastos!$B:$B,[3]Gastos!$AP:$AP)</f>
        <v>14243.772000000001</v>
      </c>
      <c r="N154" s="24">
        <f>_xlfn.XLOOKUP(Tabla1[[#This Row],[Subcuenta]],[3]Gastos!$B:$B,[3]Gastos!$AU:$AU)</f>
        <v>0</v>
      </c>
      <c r="O154" s="24">
        <f>SUM(Tabla1[[#This Row],[july]:[september]])</f>
        <v>589855.52879999997</v>
      </c>
      <c r="P154" s="24">
        <f>_xlfn.XLOOKUP(Tabla1[[#This Row],[Subcuenta]],[3]Gastos!$B:$B,[3]Gastos!$AZ:$AZ)</f>
        <v>0</v>
      </c>
      <c r="Q154" s="24">
        <f>_xlfn.XLOOKUP(Tabla1[[#This Row],[Subcuenta]],[3]Gastos!$B:$B,[3]Gastos!$BE:$BE)</f>
        <v>0</v>
      </c>
      <c r="R154" s="24">
        <f>_xlfn.XLOOKUP(Tabla1[[#This Row],[Subcuenta]],[3]Gastos!$B:$B,[3]Gastos!$BJ:$BJ)</f>
        <v>0</v>
      </c>
      <c r="S154" s="24">
        <f>SUM(Tabla1[[#This Row],[october]:[december]])</f>
        <v>0</v>
      </c>
      <c r="T154" s="43">
        <f t="shared" si="2"/>
        <v>1685058.3687999998</v>
      </c>
    </row>
    <row r="155" spans="2:20" x14ac:dyDescent="0.3">
      <c r="B155" s="25" t="s">
        <v>93</v>
      </c>
      <c r="C155" s="23" t="s">
        <v>240</v>
      </c>
      <c r="D155" s="24">
        <f>_xlfn.XLOOKUP(C155,[3]Gastos!$B:$B,[3]Gastos!$G:$G)</f>
        <v>0</v>
      </c>
      <c r="E155" s="24">
        <f>_xlfn.XLOOKUP(C155,[3]Gastos!$B:$B,[3]Gastos!$L:$L)</f>
        <v>0</v>
      </c>
      <c r="F155" s="24">
        <f>_xlfn.XLOOKUP(C155,[3]Gastos!$B:$B,[3]Gastos!$Q:$Q)</f>
        <v>0</v>
      </c>
      <c r="G155" s="24">
        <f>SUM(Tabla1[[#This Row],[january]:[march]])</f>
        <v>0</v>
      </c>
      <c r="H155" s="24">
        <f>_xlfn.XLOOKUP(C155,[3]Gastos!$B:$B,[3]Gastos!$V:$V)</f>
        <v>0</v>
      </c>
      <c r="I155" s="24">
        <f>_xlfn.XLOOKUP(C155,[3]Gastos!$B:$B,[3]Gastos!$AA:$AA)</f>
        <v>326666.4558</v>
      </c>
      <c r="J155" s="24">
        <f>_xlfn.XLOOKUP(C155,[3]Gastos!$B:$B,[3]Gastos!$AF:$AF)</f>
        <v>699999</v>
      </c>
      <c r="K155" s="24">
        <f>SUM(Tabla1[[#This Row],[april]:[june]])</f>
        <v>1026665.4558</v>
      </c>
      <c r="L155" s="24">
        <f>_xlfn.XLOOKUP(C155,[3]Gastos!$B:$B,[3]Gastos!$AK:$AK)</f>
        <v>707693.97019999998</v>
      </c>
      <c r="M155" s="24">
        <f>_xlfn.XLOOKUP(C155,[3]Gastos!$B:$B,[3]Gastos!$AP:$AP)</f>
        <v>705167.62880000006</v>
      </c>
      <c r="N155" s="24">
        <f>_xlfn.XLOOKUP(Tabla1[[#This Row],[Subcuenta]],[3]Gastos!$B:$B,[3]Gastos!$AU:$AU)</f>
        <v>801954.64520000003</v>
      </c>
      <c r="O155" s="24">
        <f>SUM(Tabla1[[#This Row],[july]:[september]])</f>
        <v>2214816.2442000001</v>
      </c>
      <c r="P155" s="24">
        <f>_xlfn.XLOOKUP(Tabla1[[#This Row],[Subcuenta]],[3]Gastos!$B:$B,[3]Gastos!$AZ:$AZ)</f>
        <v>750414.06260000006</v>
      </c>
      <c r="Q155" s="24">
        <f>_xlfn.XLOOKUP(Tabla1[[#This Row],[Subcuenta]],[3]Gastos!$B:$B,[3]Gastos!$BE:$BE)</f>
        <v>721293.88119999995</v>
      </c>
      <c r="R155" s="24">
        <f>_xlfn.XLOOKUP(Tabla1[[#This Row],[Subcuenta]],[3]Gastos!$B:$B,[3]Gastos!$BJ:$BJ)</f>
        <v>950778.04559999995</v>
      </c>
      <c r="S155" s="24">
        <f>SUM(Tabla1[[#This Row],[october]:[december]])</f>
        <v>2422485.9893999998</v>
      </c>
      <c r="T155" s="43">
        <f t="shared" si="2"/>
        <v>5663967.6894000005</v>
      </c>
    </row>
    <row r="156" spans="2:20" x14ac:dyDescent="0.3">
      <c r="B156" s="25" t="s">
        <v>93</v>
      </c>
      <c r="C156" s="23" t="s">
        <v>241</v>
      </c>
      <c r="D156" s="24">
        <f>_xlfn.XLOOKUP(C156,[3]Gastos!$B:$B,[3]Gastos!$G:$G)</f>
        <v>0</v>
      </c>
      <c r="E156" s="24">
        <f>_xlfn.XLOOKUP(C156,[3]Gastos!$B:$B,[3]Gastos!$L:$L)</f>
        <v>0</v>
      </c>
      <c r="F156" s="24">
        <f>_xlfn.XLOOKUP(C156,[3]Gastos!$B:$B,[3]Gastos!$Q:$Q)</f>
        <v>0</v>
      </c>
      <c r="G156" s="24">
        <f>SUM(Tabla1[[#This Row],[january]:[march]])</f>
        <v>0</v>
      </c>
      <c r="H156" s="24">
        <f>_xlfn.XLOOKUP(C156,[3]Gastos!$B:$B,[3]Gastos!$V:$V)</f>
        <v>0</v>
      </c>
      <c r="I156" s="24">
        <f>_xlfn.XLOOKUP(C156,[3]Gastos!$B:$B,[3]Gastos!$AA:$AA)</f>
        <v>197675.12599999999</v>
      </c>
      <c r="J156" s="24">
        <f>_xlfn.XLOOKUP(C156,[3]Gastos!$B:$B,[3]Gastos!$AF:$AF)</f>
        <v>623836</v>
      </c>
      <c r="K156" s="24">
        <f>SUM(Tabla1[[#This Row],[april]:[june]])</f>
        <v>821511.12599999993</v>
      </c>
      <c r="L156" s="24">
        <f>_xlfn.XLOOKUP(C156,[3]Gastos!$B:$B,[3]Gastos!$AK:$AK)</f>
        <v>720072.94959999993</v>
      </c>
      <c r="M156" s="24">
        <f>_xlfn.XLOOKUP(C156,[3]Gastos!$B:$B,[3]Gastos!$AP:$AP)</f>
        <v>732425.21160000004</v>
      </c>
      <c r="N156" s="24">
        <f>_xlfn.XLOOKUP(Tabla1[[#This Row],[Subcuenta]],[3]Gastos!$B:$B,[3]Gastos!$AU:$AU)</f>
        <v>755806.01679999998</v>
      </c>
      <c r="O156" s="24">
        <f>SUM(Tabla1[[#This Row],[july]:[september]])</f>
        <v>2208304.1779999998</v>
      </c>
      <c r="P156" s="24">
        <f>_xlfn.XLOOKUP(Tabla1[[#This Row],[Subcuenta]],[3]Gastos!$B:$B,[3]Gastos!$AZ:$AZ)</f>
        <v>787062.25560000003</v>
      </c>
      <c r="Q156" s="24">
        <f>_xlfn.XLOOKUP(Tabla1[[#This Row],[Subcuenta]],[3]Gastos!$B:$B,[3]Gastos!$BE:$BE)</f>
        <v>756090.93440000003</v>
      </c>
      <c r="R156" s="24">
        <f>_xlfn.XLOOKUP(Tabla1[[#This Row],[Subcuenta]],[3]Gastos!$B:$B,[3]Gastos!$BJ:$BJ)</f>
        <v>856783.59840000002</v>
      </c>
      <c r="S156" s="24">
        <f>SUM(Tabla1[[#This Row],[october]:[december]])</f>
        <v>2399936.7884</v>
      </c>
      <c r="T156" s="43">
        <f t="shared" si="2"/>
        <v>5429752.0923999995</v>
      </c>
    </row>
    <row r="157" spans="2:20" x14ac:dyDescent="0.3">
      <c r="B157" s="25" t="s">
        <v>93</v>
      </c>
      <c r="C157" s="23" t="s">
        <v>242</v>
      </c>
      <c r="D157" s="24">
        <f>_xlfn.XLOOKUP(C157,[3]Gastos!$B:$B,[3]Gastos!$G:$G)</f>
        <v>0</v>
      </c>
      <c r="E157" s="24">
        <f>_xlfn.XLOOKUP(C157,[3]Gastos!$B:$B,[3]Gastos!$L:$L)</f>
        <v>0</v>
      </c>
      <c r="F157" s="24">
        <f>_xlfn.XLOOKUP(C157,[3]Gastos!$B:$B,[3]Gastos!$Q:$Q)</f>
        <v>0</v>
      </c>
      <c r="G157" s="24">
        <f>SUM(Tabla1[[#This Row],[january]:[march]])</f>
        <v>0</v>
      </c>
      <c r="H157" s="24">
        <f>_xlfn.XLOOKUP(C157,[3]Gastos!$B:$B,[3]Gastos!$V:$V)</f>
        <v>0</v>
      </c>
      <c r="I157" s="24">
        <f>_xlfn.XLOOKUP(C157,[3]Gastos!$B:$B,[3]Gastos!$AA:$AA)</f>
        <v>20001.198899999999</v>
      </c>
      <c r="J157" s="24">
        <f>_xlfn.XLOOKUP(C157,[3]Gastos!$B:$B,[3]Gastos!$AF:$AF)</f>
        <v>492977</v>
      </c>
      <c r="K157" s="24">
        <f>SUM(Tabla1[[#This Row],[april]:[june]])</f>
        <v>512978.19890000002</v>
      </c>
      <c r="L157" s="24">
        <f>_xlfn.XLOOKUP(C157,[3]Gastos!$B:$B,[3]Gastos!$AK:$AK)</f>
        <v>0</v>
      </c>
      <c r="M157" s="24">
        <f>_xlfn.XLOOKUP(C157,[3]Gastos!$B:$B,[3]Gastos!$AP:$AP)</f>
        <v>0</v>
      </c>
      <c r="N157" s="24">
        <f>_xlfn.XLOOKUP(Tabla1[[#This Row],[Subcuenta]],[3]Gastos!$B:$B,[3]Gastos!$AU:$AU)</f>
        <v>0</v>
      </c>
      <c r="O157" s="24">
        <f>SUM(Tabla1[[#This Row],[july]:[september]])</f>
        <v>0</v>
      </c>
      <c r="P157" s="24">
        <f>_xlfn.XLOOKUP(Tabla1[[#This Row],[Subcuenta]],[3]Gastos!$B:$B,[3]Gastos!$AZ:$AZ)</f>
        <v>0</v>
      </c>
      <c r="Q157" s="24">
        <f>_xlfn.XLOOKUP(Tabla1[[#This Row],[Subcuenta]],[3]Gastos!$B:$B,[3]Gastos!$BE:$BE)</f>
        <v>0</v>
      </c>
      <c r="R157" s="24">
        <f>_xlfn.XLOOKUP(Tabla1[[#This Row],[Subcuenta]],[3]Gastos!$B:$B,[3]Gastos!$BJ:$BJ)</f>
        <v>0</v>
      </c>
      <c r="S157" s="24">
        <f>SUM(Tabla1[[#This Row],[october]:[december]])</f>
        <v>0</v>
      </c>
      <c r="T157" s="43">
        <f t="shared" si="2"/>
        <v>512978.19890000002</v>
      </c>
    </row>
    <row r="158" spans="2:20" x14ac:dyDescent="0.3">
      <c r="B158" s="25" t="s">
        <v>93</v>
      </c>
      <c r="C158" s="23" t="s">
        <v>243</v>
      </c>
      <c r="D158" s="24">
        <f>_xlfn.XLOOKUP(C158,[3]Gastos!$B:$B,[3]Gastos!$G:$G)</f>
        <v>0</v>
      </c>
      <c r="E158" s="24">
        <f>_xlfn.XLOOKUP(C158,[3]Gastos!$B:$B,[3]Gastos!$L:$L)</f>
        <v>0</v>
      </c>
      <c r="F158" s="24">
        <f>_xlfn.XLOOKUP(C158,[3]Gastos!$B:$B,[3]Gastos!$Q:$Q)</f>
        <v>0</v>
      </c>
      <c r="G158" s="24">
        <f>SUM(Tabla1[[#This Row],[january]:[march]])</f>
        <v>0</v>
      </c>
      <c r="H158" s="24">
        <f>_xlfn.XLOOKUP(C158,[3]Gastos!$B:$B,[3]Gastos!$V:$V)</f>
        <v>0</v>
      </c>
      <c r="I158" s="24">
        <f>_xlfn.XLOOKUP(C158,[3]Gastos!$B:$B,[3]Gastos!$AA:$AA)</f>
        <v>0</v>
      </c>
      <c r="J158" s="24">
        <f>_xlfn.XLOOKUP(C158,[3]Gastos!$B:$B,[3]Gastos!$AF:$AF)</f>
        <v>699342</v>
      </c>
      <c r="K158" s="24">
        <f>SUM(Tabla1[[#This Row],[april]:[june]])</f>
        <v>699342</v>
      </c>
      <c r="L158" s="24">
        <f>_xlfn.XLOOKUP(C158,[3]Gastos!$B:$B,[3]Gastos!$AK:$AK)</f>
        <v>713325.62170000002</v>
      </c>
      <c r="M158" s="24">
        <f>_xlfn.XLOOKUP(C158,[3]Gastos!$B:$B,[3]Gastos!$AP:$AP)</f>
        <v>705541.65650000004</v>
      </c>
      <c r="N158" s="24">
        <f>_xlfn.XLOOKUP(Tabla1[[#This Row],[Subcuenta]],[3]Gastos!$B:$B,[3]Gastos!$AU:$AU)</f>
        <v>807560.75089999998</v>
      </c>
      <c r="O158" s="24">
        <f>SUM(Tabla1[[#This Row],[july]:[september]])</f>
        <v>2226428.0290999999</v>
      </c>
      <c r="P158" s="24">
        <f>_xlfn.XLOOKUP(Tabla1[[#This Row],[Subcuenta]],[3]Gastos!$B:$B,[3]Gastos!$AZ:$AZ)</f>
        <v>767178.31719999993</v>
      </c>
      <c r="Q158" s="24">
        <f>_xlfn.XLOOKUP(Tabla1[[#This Row],[Subcuenta]],[3]Gastos!$B:$B,[3]Gastos!$BE:$BE)</f>
        <v>676029.53749999998</v>
      </c>
      <c r="R158" s="24">
        <f>_xlfn.XLOOKUP(Tabla1[[#This Row],[Subcuenta]],[3]Gastos!$B:$B,[3]Gastos!$BJ:$BJ)</f>
        <v>953545.60629999998</v>
      </c>
      <c r="S158" s="24">
        <f>SUM(Tabla1[[#This Row],[october]:[december]])</f>
        <v>2396753.4610000001</v>
      </c>
      <c r="T158" s="43">
        <f t="shared" si="2"/>
        <v>5322523.4901000001</v>
      </c>
    </row>
    <row r="159" spans="2:20" x14ac:dyDescent="0.3">
      <c r="B159" s="25" t="s">
        <v>93</v>
      </c>
      <c r="C159" s="23" t="s">
        <v>199</v>
      </c>
      <c r="D159" s="24">
        <f>_xlfn.XLOOKUP(C159,[3]Gastos!$B:$B,[3]Gastos!$G:$G)</f>
        <v>0</v>
      </c>
      <c r="E159" s="24">
        <f>_xlfn.XLOOKUP(C159,[3]Gastos!$B:$B,[3]Gastos!$L:$L)</f>
        <v>0</v>
      </c>
      <c r="F159" s="24">
        <f>_xlfn.XLOOKUP(C159,[3]Gastos!$B:$B,[3]Gastos!$Q:$Q)</f>
        <v>0</v>
      </c>
      <c r="G159" s="24">
        <f>SUM(Tabla1[[#This Row],[january]:[march]])</f>
        <v>0</v>
      </c>
      <c r="H159" s="24">
        <f>_xlfn.XLOOKUP(C159,[3]Gastos!$B:$B,[3]Gastos!$V:$V)</f>
        <v>0</v>
      </c>
      <c r="I159" s="24">
        <f>_xlfn.XLOOKUP(C159,[3]Gastos!$B:$B,[3]Gastos!$AA:$AA)</f>
        <v>0</v>
      </c>
      <c r="J159" s="24">
        <f>_xlfn.XLOOKUP(C159,[3]Gastos!$B:$B,[3]Gastos!$AF:$AF)</f>
        <v>330607</v>
      </c>
      <c r="K159" s="24">
        <f>SUM(Tabla1[[#This Row],[april]:[june]])</f>
        <v>330607</v>
      </c>
      <c r="L159" s="24">
        <f>_xlfn.XLOOKUP(C159,[3]Gastos!$B:$B,[3]Gastos!$AK:$AK)</f>
        <v>0</v>
      </c>
      <c r="M159" s="24">
        <f>_xlfn.XLOOKUP(C159,[3]Gastos!$B:$B,[3]Gastos!$AP:$AP)</f>
        <v>0</v>
      </c>
      <c r="N159" s="24">
        <f>_xlfn.XLOOKUP(Tabla1[[#This Row],[Subcuenta]],[3]Gastos!$B:$B,[3]Gastos!$AU:$AU)</f>
        <v>0</v>
      </c>
      <c r="O159" s="24">
        <f>SUM(Tabla1[[#This Row],[july]:[september]])</f>
        <v>0</v>
      </c>
      <c r="P159" s="24">
        <f>_xlfn.XLOOKUP(Tabla1[[#This Row],[Subcuenta]],[3]Gastos!$B:$B,[3]Gastos!$AZ:$AZ)</f>
        <v>0</v>
      </c>
      <c r="Q159" s="24">
        <f>_xlfn.XLOOKUP(Tabla1[[#This Row],[Subcuenta]],[3]Gastos!$B:$B,[3]Gastos!$BE:$BE)</f>
        <v>0</v>
      </c>
      <c r="R159" s="24">
        <f>_xlfn.XLOOKUP(Tabla1[[#This Row],[Subcuenta]],[3]Gastos!$B:$B,[3]Gastos!$BJ:$BJ)</f>
        <v>0</v>
      </c>
      <c r="S159" s="24">
        <f>SUM(Tabla1[[#This Row],[october]:[december]])</f>
        <v>0</v>
      </c>
      <c r="T159" s="43">
        <f t="shared" si="2"/>
        <v>330607</v>
      </c>
    </row>
    <row r="160" spans="2:20" x14ac:dyDescent="0.3">
      <c r="B160" s="25" t="s">
        <v>93</v>
      </c>
      <c r="C160" s="23" t="s">
        <v>244</v>
      </c>
      <c r="D160" s="24">
        <f>_xlfn.XLOOKUP(C160,[3]Gastos!$B:$B,[3]Gastos!$G:$G)</f>
        <v>0</v>
      </c>
      <c r="E160" s="24">
        <f>_xlfn.XLOOKUP(C160,[3]Gastos!$B:$B,[3]Gastos!$L:$L)</f>
        <v>0</v>
      </c>
      <c r="F160" s="24">
        <f>_xlfn.XLOOKUP(C160,[3]Gastos!$B:$B,[3]Gastos!$Q:$Q)</f>
        <v>0</v>
      </c>
      <c r="G160" s="24">
        <f>SUM(Tabla1[[#This Row],[january]:[march]])</f>
        <v>0</v>
      </c>
      <c r="H160" s="24">
        <f>_xlfn.XLOOKUP(C160,[3]Gastos!$B:$B,[3]Gastos!$V:$V)</f>
        <v>0</v>
      </c>
      <c r="I160" s="24">
        <f>_xlfn.XLOOKUP(C160,[3]Gastos!$B:$B,[3]Gastos!$AA:$AA)</f>
        <v>0</v>
      </c>
      <c r="J160" s="24">
        <f>_xlfn.XLOOKUP(C160,[3]Gastos!$B:$B,[3]Gastos!$AF:$AF)</f>
        <v>0</v>
      </c>
      <c r="K160" s="24">
        <f>SUM(Tabla1[[#This Row],[april]:[june]])</f>
        <v>0</v>
      </c>
      <c r="L160" s="24">
        <f>_xlfn.XLOOKUP(C160,[3]Gastos!$B:$B,[3]Gastos!$AK:$AK)</f>
        <v>0</v>
      </c>
      <c r="M160" s="24">
        <f>_xlfn.XLOOKUP(C160,[3]Gastos!$B:$B,[3]Gastos!$AP:$AP)</f>
        <v>533319.10959999997</v>
      </c>
      <c r="N160" s="24">
        <f>_xlfn.XLOOKUP(Tabla1[[#This Row],[Subcuenta]],[3]Gastos!$B:$B,[3]Gastos!$AU:$AU)</f>
        <v>655179.47160000005</v>
      </c>
      <c r="O160" s="24">
        <f>SUM(Tabla1[[#This Row],[july]:[september]])</f>
        <v>1188498.5811999999</v>
      </c>
      <c r="P160" s="24">
        <f>_xlfn.XLOOKUP(Tabla1[[#This Row],[Subcuenta]],[3]Gastos!$B:$B,[3]Gastos!$AZ:$AZ)</f>
        <v>608454.64720000001</v>
      </c>
      <c r="Q160" s="24">
        <f>_xlfn.XLOOKUP(Tabla1[[#This Row],[Subcuenta]],[3]Gastos!$B:$B,[3]Gastos!$BE:$BE)</f>
        <v>594351.97160000005</v>
      </c>
      <c r="R160" s="24">
        <f>_xlfn.XLOOKUP(Tabla1[[#This Row],[Subcuenta]],[3]Gastos!$B:$B,[3]Gastos!$BJ:$BJ)</f>
        <v>705297.97160000005</v>
      </c>
      <c r="S160" s="24">
        <f>SUM(Tabla1[[#This Row],[october]:[december]])</f>
        <v>1908104.5904000001</v>
      </c>
      <c r="T160" s="43">
        <f t="shared" si="2"/>
        <v>3096603.1716</v>
      </c>
    </row>
    <row r="161" spans="2:21" x14ac:dyDescent="0.3">
      <c r="B161" s="25" t="s">
        <v>93</v>
      </c>
      <c r="C161" s="23" t="s">
        <v>245</v>
      </c>
      <c r="D161" s="24">
        <f>_xlfn.XLOOKUP(C161,[3]Gastos!$B:$B,[3]Gastos!$G:$G)</f>
        <v>0</v>
      </c>
      <c r="E161" s="24">
        <f>_xlfn.XLOOKUP(C161,[3]Gastos!$B:$B,[3]Gastos!$L:$L)</f>
        <v>0</v>
      </c>
      <c r="F161" s="24">
        <f>_xlfn.XLOOKUP(C161,[3]Gastos!$B:$B,[3]Gastos!$Q:$Q)</f>
        <v>0</v>
      </c>
      <c r="G161" s="24">
        <f>SUM(Tabla1[[#This Row],[january]:[march]])</f>
        <v>0</v>
      </c>
      <c r="H161" s="24">
        <f>_xlfn.XLOOKUP(C161,[3]Gastos!$B:$B,[3]Gastos!$V:$V)</f>
        <v>0</v>
      </c>
      <c r="I161" s="24">
        <f>_xlfn.XLOOKUP(C161,[3]Gastos!$B:$B,[3]Gastos!$AA:$AA)</f>
        <v>0</v>
      </c>
      <c r="J161" s="24">
        <f>_xlfn.XLOOKUP(C161,[3]Gastos!$B:$B,[3]Gastos!$AF:$AF)</f>
        <v>0</v>
      </c>
      <c r="K161" s="24">
        <f>SUM(Tabla1[[#This Row],[april]:[june]])</f>
        <v>0</v>
      </c>
      <c r="L161" s="24">
        <f>_xlfn.XLOOKUP(C161,[3]Gastos!$B:$B,[3]Gastos!$AK:$AK)</f>
        <v>0</v>
      </c>
      <c r="M161" s="24">
        <f>_xlfn.XLOOKUP(C161,[3]Gastos!$B:$B,[3]Gastos!$AP:$AP)</f>
        <v>585378</v>
      </c>
      <c r="N161" s="24">
        <f>_xlfn.XLOOKUP(Tabla1[[#This Row],[Subcuenta]],[3]Gastos!$B:$B,[3]Gastos!$AU:$AU)</f>
        <v>80000.058399999994</v>
      </c>
      <c r="O161" s="24">
        <f>SUM(Tabla1[[#This Row],[july]:[september]])</f>
        <v>665378.05839999998</v>
      </c>
      <c r="P161" s="24">
        <f>_xlfn.XLOOKUP(Tabla1[[#This Row],[Subcuenta]],[3]Gastos!$B:$B,[3]Gastos!$AZ:$AZ)</f>
        <v>0</v>
      </c>
      <c r="Q161" s="24">
        <f>_xlfn.XLOOKUP(Tabla1[[#This Row],[Subcuenta]],[3]Gastos!$B:$B,[3]Gastos!$BE:$BE)</f>
        <v>0</v>
      </c>
      <c r="R161" s="24">
        <f>_xlfn.XLOOKUP(Tabla1[[#This Row],[Subcuenta]],[3]Gastos!$B:$B,[3]Gastos!$BJ:$BJ)</f>
        <v>0</v>
      </c>
      <c r="S161" s="24">
        <f>SUM(Tabla1[[#This Row],[october]:[december]])</f>
        <v>0</v>
      </c>
      <c r="T161" s="43">
        <f t="shared" si="2"/>
        <v>665378.05839999998</v>
      </c>
    </row>
    <row r="162" spans="2:21" x14ac:dyDescent="0.3">
      <c r="B162" s="25" t="s">
        <v>93</v>
      </c>
      <c r="C162" s="23" t="s">
        <v>387</v>
      </c>
      <c r="D162" s="24">
        <f>_xlfn.XLOOKUP(C162,[3]Gastos!$B:$B,[3]Gastos!$G:$G)</f>
        <v>0</v>
      </c>
      <c r="E162" s="24">
        <f>_xlfn.XLOOKUP(C162,[3]Gastos!$B:$B,[3]Gastos!$L:$L)</f>
        <v>0</v>
      </c>
      <c r="F162" s="24">
        <f>_xlfn.XLOOKUP(C162,[3]Gastos!$B:$B,[3]Gastos!$Q:$Q)</f>
        <v>0</v>
      </c>
      <c r="G162" s="24">
        <f>SUM(Tabla1[[#This Row],[january]:[march]])</f>
        <v>0</v>
      </c>
      <c r="H162" s="24">
        <f>_xlfn.XLOOKUP(C162,[3]Gastos!$B:$B,[3]Gastos!$V:$V)</f>
        <v>0</v>
      </c>
      <c r="I162" s="24">
        <f>_xlfn.XLOOKUP(C162,[3]Gastos!$B:$B,[3]Gastos!$AA:$AA)</f>
        <v>0</v>
      </c>
      <c r="J162" s="24">
        <f>_xlfn.XLOOKUP(C162,[3]Gastos!$B:$B,[3]Gastos!$AF:$AF)</f>
        <v>0</v>
      </c>
      <c r="K162" s="24">
        <f>SUM(Tabla1[[#This Row],[april]:[june]])</f>
        <v>0</v>
      </c>
      <c r="L162" s="24">
        <f>_xlfn.XLOOKUP(C162,[3]Gastos!$B:$B,[3]Gastos!$AK:$AK)</f>
        <v>0</v>
      </c>
      <c r="M162" s="24">
        <f>_xlfn.XLOOKUP(C162,[3]Gastos!$B:$B,[3]Gastos!$AP:$AP)</f>
        <v>0</v>
      </c>
      <c r="N162" s="24">
        <f>_xlfn.XLOOKUP(Tabla1[[#This Row],[Subcuenta]],[3]Gastos!$B:$B,[3]Gastos!$AU:$AU)</f>
        <v>478114.17879999999</v>
      </c>
      <c r="O162" s="24">
        <f>SUM(Tabla1[[#This Row],[july]:[september]])</f>
        <v>478114.17879999999</v>
      </c>
      <c r="P162" s="24">
        <f>_xlfn.XLOOKUP(Tabla1[[#This Row],[Subcuenta]],[3]Gastos!$B:$B,[3]Gastos!$AZ:$AZ)</f>
        <v>679448.86479999998</v>
      </c>
      <c r="Q162" s="24">
        <f>_xlfn.XLOOKUP(Tabla1[[#This Row],[Subcuenta]],[3]Gastos!$B:$B,[3]Gastos!$BE:$BE)</f>
        <v>624251.15260000003</v>
      </c>
      <c r="R162" s="24">
        <f>_xlfn.XLOOKUP(Tabla1[[#This Row],[Subcuenta]],[3]Gastos!$B:$B,[3]Gastos!$BJ:$BJ)</f>
        <v>743677.94660000002</v>
      </c>
      <c r="S162" s="24">
        <f>SUM(Tabla1[[#This Row],[october]:[december]])</f>
        <v>2047377.9640000002</v>
      </c>
      <c r="T162" s="43">
        <f>SUM(G162,K162,O162,S162)</f>
        <v>2525492.1428</v>
      </c>
    </row>
    <row r="163" spans="2:21" x14ac:dyDescent="0.3">
      <c r="B163" s="25" t="s">
        <v>93</v>
      </c>
      <c r="C163" s="23" t="s">
        <v>388</v>
      </c>
      <c r="D163" s="24">
        <f>_xlfn.XLOOKUP(C163,[3]Gastos!$B:$B,[3]Gastos!$G:$G)</f>
        <v>0</v>
      </c>
      <c r="E163" s="24">
        <f>_xlfn.XLOOKUP(C163,[3]Gastos!$B:$B,[3]Gastos!$L:$L)</f>
        <v>0</v>
      </c>
      <c r="F163" s="24">
        <f>_xlfn.XLOOKUP(C163,[3]Gastos!$B:$B,[3]Gastos!$Q:$Q)</f>
        <v>0</v>
      </c>
      <c r="G163" s="24">
        <f>SUM(Tabla1[[#This Row],[january]:[march]])</f>
        <v>0</v>
      </c>
      <c r="H163" s="24">
        <f>_xlfn.XLOOKUP(C163,[3]Gastos!$B:$B,[3]Gastos!$V:$V)</f>
        <v>0</v>
      </c>
      <c r="I163" s="24">
        <f>_xlfn.XLOOKUP(C163,[3]Gastos!$B:$B,[3]Gastos!$AA:$AA)</f>
        <v>0</v>
      </c>
      <c r="J163" s="24">
        <f>_xlfn.XLOOKUP(C163,[3]Gastos!$B:$B,[3]Gastos!$AF:$AF)</f>
        <v>0</v>
      </c>
      <c r="K163" s="24">
        <f>SUM(Tabla1[[#This Row],[april]:[june]])</f>
        <v>0</v>
      </c>
      <c r="L163" s="24">
        <f>_xlfn.XLOOKUP(C163,[3]Gastos!$B:$B,[3]Gastos!$AK:$AK)</f>
        <v>0</v>
      </c>
      <c r="M163" s="24">
        <f>_xlfn.XLOOKUP(C163,[3]Gastos!$B:$B,[3]Gastos!$AP:$AP)</f>
        <v>0</v>
      </c>
      <c r="N163" s="24">
        <f>_xlfn.XLOOKUP(Tabla1[[#This Row],[Subcuenta]],[3]Gastos!$B:$B,[3]Gastos!$AU:$AU)</f>
        <v>0</v>
      </c>
      <c r="O163" s="24">
        <f>SUM(Tabla1[[#This Row],[july]:[september]])</f>
        <v>0</v>
      </c>
      <c r="P163" s="24">
        <f>_xlfn.XLOOKUP(Tabla1[[#This Row],[Subcuenta]],[3]Gastos!$B:$B,[3]Gastos!$AZ:$AZ)</f>
        <v>0</v>
      </c>
      <c r="Q163" s="24">
        <f>_xlfn.XLOOKUP(Tabla1[[#This Row],[Subcuenta]],[3]Gastos!$B:$B,[3]Gastos!$BE:$BE)</f>
        <v>390092.1</v>
      </c>
      <c r="R163" s="24">
        <f>_xlfn.XLOOKUP(Tabla1[[#This Row],[Subcuenta]],[3]Gastos!$B:$B,[3]Gastos!$BJ:$BJ)</f>
        <v>0</v>
      </c>
      <c r="S163" s="24">
        <f>SUM(Tabla1[[#This Row],[october]:[december]])</f>
        <v>390092.1</v>
      </c>
      <c r="T163" s="43">
        <f>SUM(G163,K163,O163,S163)</f>
        <v>390092.1</v>
      </c>
    </row>
    <row r="164" spans="2:21" x14ac:dyDescent="0.3">
      <c r="B164" s="25" t="s">
        <v>93</v>
      </c>
      <c r="C164" s="23" t="s">
        <v>389</v>
      </c>
      <c r="D164" s="24">
        <f>_xlfn.XLOOKUP(C164,[3]Gastos!$B:$B,[3]Gastos!$G:$G)</f>
        <v>0</v>
      </c>
      <c r="E164" s="24">
        <f>_xlfn.XLOOKUP(C164,[3]Gastos!$B:$B,[3]Gastos!$L:$L)</f>
        <v>0</v>
      </c>
      <c r="F164" s="24">
        <f>_xlfn.XLOOKUP(C164,[3]Gastos!$B:$B,[3]Gastos!$Q:$Q)</f>
        <v>0</v>
      </c>
      <c r="G164" s="24">
        <f>SUM(Tabla1[[#This Row],[january]:[march]])</f>
        <v>0</v>
      </c>
      <c r="H164" s="24">
        <f>_xlfn.XLOOKUP(C164,[3]Gastos!$B:$B,[3]Gastos!$V:$V)</f>
        <v>0</v>
      </c>
      <c r="I164" s="24">
        <f>_xlfn.XLOOKUP(C164,[3]Gastos!$B:$B,[3]Gastos!$AA:$AA)</f>
        <v>0</v>
      </c>
      <c r="J164" s="24">
        <f>_xlfn.XLOOKUP(C164,[3]Gastos!$B:$B,[3]Gastos!$AF:$AF)</f>
        <v>0</v>
      </c>
      <c r="K164" s="24">
        <f>SUM(Tabla1[[#This Row],[april]:[june]])</f>
        <v>0</v>
      </c>
      <c r="L164" s="24">
        <f>_xlfn.XLOOKUP(C164,[3]Gastos!$B:$B,[3]Gastos!$AK:$AK)</f>
        <v>0</v>
      </c>
      <c r="M164" s="24">
        <f>_xlfn.XLOOKUP(C164,[3]Gastos!$B:$B,[3]Gastos!$AP:$AP)</f>
        <v>0</v>
      </c>
      <c r="N164" s="24">
        <f>_xlfn.XLOOKUP(Tabla1[[#This Row],[Subcuenta]],[3]Gastos!$B:$B,[3]Gastos!$AU:$AU)</f>
        <v>0</v>
      </c>
      <c r="O164" s="24">
        <f>SUM(Tabla1[[#This Row],[july]:[september]])</f>
        <v>0</v>
      </c>
      <c r="P164" s="24">
        <f>_xlfn.XLOOKUP(Tabla1[[#This Row],[Subcuenta]],[3]Gastos!$B:$B,[3]Gastos!$AZ:$AZ)</f>
        <v>0</v>
      </c>
      <c r="Q164" s="24">
        <f>_xlfn.XLOOKUP(Tabla1[[#This Row],[Subcuenta]],[3]Gastos!$B:$B,[3]Gastos!$BE:$BE)</f>
        <v>370282.49900000001</v>
      </c>
      <c r="R164" s="24">
        <f>_xlfn.XLOOKUP(Tabla1[[#This Row],[Subcuenta]],[3]Gastos!$B:$B,[3]Gastos!$BJ:$BJ)</f>
        <v>737568.77749999997</v>
      </c>
      <c r="S164" s="24">
        <f>SUM(Tabla1[[#This Row],[october]:[december]])</f>
        <v>1107851.2764999999</v>
      </c>
      <c r="T164" s="43">
        <f>SUM(G164,K164,O164,S164)</f>
        <v>1107851.2764999999</v>
      </c>
    </row>
    <row r="165" spans="2:21" x14ac:dyDescent="0.3">
      <c r="B165" s="25" t="s">
        <v>93</v>
      </c>
      <c r="C165" s="23" t="s">
        <v>246</v>
      </c>
      <c r="D165" s="24">
        <f>_xlfn.XLOOKUP(C165,[3]Gastos!$B:$B,[3]Gastos!$G:$G)</f>
        <v>6000000</v>
      </c>
      <c r="E165" s="24">
        <f>_xlfn.XLOOKUP(C165,[3]Gastos!$B:$B,[3]Gastos!$L:$L)</f>
        <v>6000000</v>
      </c>
      <c r="F165" s="24">
        <f>_xlfn.XLOOKUP(C165,[3]Gastos!$B:$B,[3]Gastos!$Q:$Q)</f>
        <v>6000000</v>
      </c>
      <c r="G165" s="24">
        <f>SUM(Tabla1[[#This Row],[january]:[march]])</f>
        <v>18000000</v>
      </c>
      <c r="H165" s="24">
        <f>_xlfn.XLOOKUP(C165,[3]Gastos!$B:$B,[3]Gastos!$V:$V)</f>
        <v>6000000</v>
      </c>
      <c r="I165" s="24">
        <f>_xlfn.XLOOKUP(C165,[3]Gastos!$B:$B,[3]Gastos!$AA:$AA)</f>
        <v>6000000</v>
      </c>
      <c r="J165" s="24">
        <f>_xlfn.XLOOKUP(C165,[3]Gastos!$B:$B,[3]Gastos!$AF:$AF)</f>
        <v>6000000</v>
      </c>
      <c r="K165" s="24">
        <f>SUM(Tabla1[[#This Row],[april]:[june]])</f>
        <v>18000000</v>
      </c>
      <c r="L165" s="24">
        <f>_xlfn.XLOOKUP(C165,[3]Gastos!$B:$B,[3]Gastos!$AK:$AK)</f>
        <v>6000000</v>
      </c>
      <c r="M165" s="24">
        <f>_xlfn.XLOOKUP(C165,[3]Gastos!$B:$B,[3]Gastos!$AP:$AP)</f>
        <v>6000000</v>
      </c>
      <c r="N165" s="24">
        <v>6000000</v>
      </c>
      <c r="O165" s="24">
        <f>SUM(Tabla1[[#This Row],[july]:[september]])</f>
        <v>18000000</v>
      </c>
      <c r="P165" s="24">
        <f>_xlfn.XLOOKUP(Tabla1[[#This Row],[Subcuenta]],[3]Gastos!$B:$B,[3]Gastos!$AZ:$AZ)</f>
        <v>6000000</v>
      </c>
      <c r="Q165" s="24">
        <f>_xlfn.XLOOKUP(Tabla1[[#This Row],[Subcuenta]],[3]Gastos!$B:$B,[3]Gastos!$BE:$BE)</f>
        <v>6000000</v>
      </c>
      <c r="R165" s="24">
        <f>_xlfn.XLOOKUP(Tabla1[[#This Row],[Subcuenta]],[3]Gastos!$B:$B,[3]Gastos!$BJ:$BJ)</f>
        <v>6000000</v>
      </c>
      <c r="S165" s="24">
        <f>SUM(Tabla1[[#This Row],[october]:[december]])</f>
        <v>18000000</v>
      </c>
      <c r="T165" s="43">
        <f t="shared" si="2"/>
        <v>72000000</v>
      </c>
    </row>
    <row r="166" spans="2:21" ht="14.5" x14ac:dyDescent="0.35">
      <c r="B166" s="25" t="s">
        <v>93</v>
      </c>
      <c r="C166" s="94" t="s">
        <v>173</v>
      </c>
      <c r="D166" s="24">
        <v>6738628.6013999982</v>
      </c>
      <c r="E166" s="24">
        <v>6815213</v>
      </c>
      <c r="F166" s="24">
        <v>6788146.8963000011</v>
      </c>
      <c r="G166" s="24">
        <f>SUM(Tabla1[[#This Row],[january]:[march]])</f>
        <v>20341988.497699998</v>
      </c>
      <c r="H166" s="24">
        <v>6945537</v>
      </c>
      <c r="I166" s="24">
        <v>6870407</v>
      </c>
      <c r="J166" s="24">
        <v>7804331</v>
      </c>
      <c r="K166" s="24">
        <f>SUM(Tabla1[[#This Row],[april]:[june]])</f>
        <v>21620275</v>
      </c>
      <c r="L166" s="24">
        <v>7115324</v>
      </c>
      <c r="M166" s="24">
        <v>7083931.9673999995</v>
      </c>
      <c r="N166" s="24">
        <v>8138993.4890000001</v>
      </c>
      <c r="O166" s="24">
        <f>SUM(Tabla1[[#This Row],[july]:[september]])</f>
        <v>22338249.4564</v>
      </c>
      <c r="P166" s="24">
        <v>7189378.6808000002</v>
      </c>
      <c r="Q166" s="24">
        <v>7189611.5761999991</v>
      </c>
      <c r="R166" s="24">
        <v>6345732.2846000018</v>
      </c>
      <c r="S166" s="24">
        <f>SUM(Tabla1[[#This Row],[october]:[december]])</f>
        <v>20724722.5416</v>
      </c>
      <c r="T166" s="43">
        <f t="shared" si="2"/>
        <v>85025235.495700002</v>
      </c>
    </row>
    <row r="167" spans="2:21" x14ac:dyDescent="0.3">
      <c r="B167" s="26" t="s">
        <v>93</v>
      </c>
      <c r="C167" s="27" t="s">
        <v>172</v>
      </c>
      <c r="D167" s="28">
        <v>678237</v>
      </c>
      <c r="E167" s="28">
        <v>680272</v>
      </c>
      <c r="F167" s="28">
        <v>621739</v>
      </c>
      <c r="G167" s="28">
        <f>SUM(Tabla1[[#This Row],[january]:[march]])</f>
        <v>1980248</v>
      </c>
      <c r="H167" s="28">
        <v>685029</v>
      </c>
      <c r="I167" s="28">
        <v>798049</v>
      </c>
      <c r="J167" s="28">
        <v>710646</v>
      </c>
      <c r="K167" s="28">
        <f>SUM(Tabla1[[#This Row],[april]:[june]])</f>
        <v>2193724</v>
      </c>
      <c r="L167" s="28">
        <v>690923</v>
      </c>
      <c r="M167" s="28">
        <v>689649</v>
      </c>
      <c r="N167" s="28">
        <v>712517</v>
      </c>
      <c r="O167" s="28">
        <f>SUM(Tabla1[[#This Row],[july]:[september]])</f>
        <v>2093089</v>
      </c>
      <c r="P167" s="24">
        <v>664486</v>
      </c>
      <c r="Q167" s="28">
        <v>669136</v>
      </c>
      <c r="R167" s="28">
        <v>700641</v>
      </c>
      <c r="S167" s="28">
        <f>SUM(Tabla1[[#This Row],[october]:[december]])</f>
        <v>2034263</v>
      </c>
      <c r="T167" s="43">
        <f t="shared" si="2"/>
        <v>8301324</v>
      </c>
      <c r="U167" s="64" t="e">
        <f>SUM(#REF!)</f>
        <v>#REF!</v>
      </c>
    </row>
    <row r="168" spans="2:21" x14ac:dyDescent="0.3">
      <c r="B168" s="26" t="s">
        <v>356</v>
      </c>
      <c r="C168" s="27" t="s">
        <v>356</v>
      </c>
      <c r="D168" s="28">
        <v>13810361</v>
      </c>
      <c r="E168" s="28">
        <v>8785167</v>
      </c>
      <c r="F168" s="28">
        <v>12679987</v>
      </c>
      <c r="G168" s="28">
        <f>SUM(Tabla1[[#This Row],[january]:[march]])</f>
        <v>35275515</v>
      </c>
      <c r="H168" s="28">
        <v>13081655</v>
      </c>
      <c r="I168" s="28">
        <v>14789863</v>
      </c>
      <c r="J168" s="28">
        <v>13981688</v>
      </c>
      <c r="K168" s="28">
        <f>SUM(Tabla1[[#This Row],[april]:[june]])</f>
        <v>41853206</v>
      </c>
      <c r="L168" s="28">
        <v>12481688</v>
      </c>
      <c r="M168" s="28">
        <v>13743420</v>
      </c>
      <c r="N168" s="28">
        <v>14014073</v>
      </c>
      <c r="O168" s="28">
        <f>SUM(Tabla1[[#This Row],[july]:[september]])</f>
        <v>40239181</v>
      </c>
      <c r="P168" s="28">
        <v>13916392</v>
      </c>
      <c r="Q168" s="28">
        <v>14759811</v>
      </c>
      <c r="R168" s="28">
        <v>13590588</v>
      </c>
      <c r="S168" s="28">
        <f>SUM(Tabla1[[#This Row],[october]:[december]])</f>
        <v>42266791</v>
      </c>
      <c r="T168" s="65">
        <f>SUM(G168,K168,O168,S168)</f>
        <v>159634693</v>
      </c>
    </row>
    <row r="169" spans="2:21" x14ac:dyDescent="0.3">
      <c r="B169" s="46"/>
      <c r="C169" s="46"/>
      <c r="D169" s="46">
        <f>SUBTOTAL(109,Tabla1[january])</f>
        <v>209992321.68608195</v>
      </c>
      <c r="E169" s="46">
        <f>SUBTOTAL(109,Tabla1[february])</f>
        <v>206631301.81148002</v>
      </c>
      <c r="F169" s="46">
        <f>SUBTOTAL(109,Tabla1[march])</f>
        <v>215700370.319038</v>
      </c>
      <c r="G169" s="46">
        <f>SUBTOTAL(109,Tabla1[cuarter 1])</f>
        <v>632323993.81659997</v>
      </c>
      <c r="H169" s="46">
        <f>SUBTOTAL(109,Tabla1[april])</f>
        <v>204190654.57368401</v>
      </c>
      <c r="I169" s="46">
        <f>SUBTOTAL(109,Tabla1[may])</f>
        <v>207610444.96933344</v>
      </c>
      <c r="J169" s="46">
        <f>SUBTOTAL(109,Tabla1[june])</f>
        <v>199810926.06144002</v>
      </c>
      <c r="K169" s="46">
        <f>SUBTOTAL(109,Tabla1[cuarter 2])</f>
        <v>611612025.60445738</v>
      </c>
      <c r="L169" s="46">
        <f>SUBTOTAL(109,Tabla1[july])</f>
        <v>215823817.38032001</v>
      </c>
      <c r="M169" s="46">
        <f>SUBTOTAL(109,Tabla1[august])</f>
        <v>214438557.32478005</v>
      </c>
      <c r="N169" s="46">
        <f>SUBTOTAL(109,Tabla1[september])</f>
        <v>183835070.96523997</v>
      </c>
      <c r="O169" s="46">
        <f>SUBTOTAL(109,Tabla1[cuarter 3])</f>
        <v>614097445.67033982</v>
      </c>
      <c r="P169" s="46">
        <f>SUBTOTAL(109,Tabla1[october])</f>
        <v>195869494.01043999</v>
      </c>
      <c r="Q169" s="46">
        <f>SUBTOTAL(109,Tabla1[november])</f>
        <v>159629377.49612004</v>
      </c>
      <c r="R169" s="46">
        <f>SUBTOTAL(109,Tabla1[december])</f>
        <v>304456334.22413993</v>
      </c>
      <c r="S169" s="46">
        <f>SUBTOTAL(109,Tabla1[cuarter 4])</f>
        <v>659955205.7306999</v>
      </c>
      <c r="T169" s="46">
        <f>SUBTOTAL(109,Tabla1[[Total ]])</f>
        <v>2517988670.8220978</v>
      </c>
    </row>
    <row r="172" spans="2:21" x14ac:dyDescent="0.3">
      <c r="C172" t="s">
        <v>87</v>
      </c>
    </row>
    <row r="173" spans="2:21" x14ac:dyDescent="0.3">
      <c r="D173" s="72"/>
      <c r="E173" s="72"/>
      <c r="F173" s="72"/>
    </row>
  </sheetData>
  <phoneticPr fontId="3" type="noConversion"/>
  <conditionalFormatting sqref="B1:B167 B170:B1048576">
    <cfRule type="containsText" dxfId="107" priority="3" operator="containsText" text="Personal">
      <formula>NOT(ISERROR(SEARCH("Personal",B1)))</formula>
    </cfRule>
    <cfRule type="containsText" dxfId="106" priority="4" operator="containsText" text="Financieros">
      <formula>NOT(ISERROR(SEARCH("Financieros",B1)))</formula>
    </cfRule>
    <cfRule type="containsText" dxfId="105" priority="5" operator="containsText" text="Extras">
      <formula>NOT(ISERROR(SEARCH("Extras",B1)))</formula>
    </cfRule>
    <cfRule type="containsText" dxfId="104" priority="6" operator="containsText" text="viaj">
      <formula>NOT(ISERROR(SEARCH("viaj",B1)))</formula>
    </cfRule>
    <cfRule type="containsText" dxfId="103" priority="7" operator="containsText" text="Importacion">
      <formula>NOT(ISERROR(SEARCH("Importacion",B1)))</formula>
    </cfRule>
    <cfRule type="containsText" dxfId="102" priority="8" operator="containsText" text="Sonriendo">
      <formula>NOT(ISERROR(SEARCH("Sonriendo",B1)))</formula>
    </cfRule>
    <cfRule type="containsText" dxfId="101" priority="9" operator="containsText" text="Operaciones">
      <formula>NOT(ISERROR(SEARCH("Operaciones",B1)))</formula>
    </cfRule>
    <cfRule type="containsText" dxfId="100" priority="10" operator="containsText" text="Operqaciones">
      <formula>NOT(ISERROR(SEARCH("Operqaciones",B1)))</formula>
    </cfRule>
    <cfRule type="containsText" dxfId="99" priority="11" operator="containsText" text="Oficina">
      <formula>NOT(ISERROR(SEARCH("Oficina",B1)))</formula>
    </cfRule>
    <cfRule type="cellIs" dxfId="98" priority="12" operator="equal">
      <formula>"Oficina"</formula>
    </cfRule>
  </conditionalFormatting>
  <conditionalFormatting sqref="C170:C1048576 C1:C167">
    <cfRule type="duplicateValues" dxfId="97" priority="2"/>
  </conditionalFormatting>
  <pageMargins left="0.7" right="0.7" top="0.75" bottom="0.75" header="0.3" footer="0.3"/>
  <ignoredErrors>
    <ignoredError sqref="L166:M168 Q168 Q53 Q166:Q167" calculatedColumn="1"/>
  </ignoredErrors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2FB42-4D7E-47D6-A913-6DA84B64A1B7}">
  <sheetPr codeName="Hoja9"/>
  <dimension ref="B1:U174"/>
  <sheetViews>
    <sheetView showGridLines="0" zoomScale="90" zoomScaleNormal="90" workbookViewId="0">
      <pane ySplit="5" topLeftCell="A155" activePane="bottomLeft" state="frozen"/>
      <selection pane="bottomLeft" activeCell="C29" sqref="C29"/>
    </sheetView>
  </sheetViews>
  <sheetFormatPr baseColWidth="10" defaultRowHeight="14" x14ac:dyDescent="0.3"/>
  <cols>
    <col min="1" max="1" width="1.6640625" customWidth="1"/>
    <col min="2" max="2" width="33.6640625" style="1" hidden="1" customWidth="1"/>
    <col min="3" max="3" width="84.6640625" customWidth="1"/>
    <col min="4" max="6" width="16.08203125" style="5" customWidth="1"/>
    <col min="7" max="7" width="13.6640625" style="5" customWidth="1"/>
    <col min="8" max="8" width="13.5" style="5" customWidth="1"/>
    <col min="9" max="13" width="16.08203125" style="5" customWidth="1"/>
    <col min="14" max="14" width="16.58203125" style="5" customWidth="1"/>
    <col min="15" max="15" width="16.08203125" style="5" customWidth="1"/>
    <col min="16" max="18" width="16.58203125" style="5" customWidth="1"/>
    <col min="19" max="19" width="16.08203125" style="5" customWidth="1"/>
    <col min="20" max="20" width="16.58203125" customWidth="1"/>
    <col min="21" max="21" width="15.6640625" customWidth="1"/>
    <col min="22" max="22" width="29.1640625" customWidth="1"/>
    <col min="23" max="23" width="15.58203125" bestFit="1" customWidth="1"/>
    <col min="24" max="24" width="16.6640625" bestFit="1" customWidth="1"/>
    <col min="25" max="25" width="14.6640625" bestFit="1" customWidth="1"/>
    <col min="26" max="26" width="13" bestFit="1" customWidth="1"/>
    <col min="27" max="28" width="12.6640625" bestFit="1" customWidth="1"/>
    <col min="29" max="29" width="12.08203125" bestFit="1" customWidth="1"/>
    <col min="30" max="30" width="14.6640625" bestFit="1" customWidth="1"/>
  </cols>
  <sheetData>
    <row r="1" spans="2:20" ht="33.65" customHeight="1" x14ac:dyDescent="0.3"/>
    <row r="2" spans="2:20" ht="29.4" customHeight="1" x14ac:dyDescent="0.3"/>
    <row r="3" spans="2:20" ht="30.65" customHeight="1" x14ac:dyDescent="0.3"/>
    <row r="4" spans="2:20" ht="30.65" customHeight="1" thickBot="1" x14ac:dyDescent="0.35"/>
    <row r="5" spans="2:20" ht="14.5" thickBot="1" x14ac:dyDescent="0.35">
      <c r="B5" s="39" t="s">
        <v>259</v>
      </c>
      <c r="C5" s="40" t="s">
        <v>2</v>
      </c>
      <c r="D5" s="52" t="s">
        <v>255</v>
      </c>
      <c r="E5" s="52" t="s">
        <v>256</v>
      </c>
      <c r="F5" s="52" t="s">
        <v>257</v>
      </c>
      <c r="G5" s="53" t="s">
        <v>347</v>
      </c>
      <c r="H5" s="52" t="s">
        <v>258</v>
      </c>
      <c r="I5" s="52" t="s">
        <v>247</v>
      </c>
      <c r="J5" s="52" t="s">
        <v>248</v>
      </c>
      <c r="K5" s="53" t="s">
        <v>346</v>
      </c>
      <c r="L5" s="52" t="s">
        <v>249</v>
      </c>
      <c r="M5" s="52" t="s">
        <v>250</v>
      </c>
      <c r="N5" s="52" t="s">
        <v>251</v>
      </c>
      <c r="O5" s="53" t="s">
        <v>348</v>
      </c>
      <c r="P5" s="52" t="s">
        <v>252</v>
      </c>
      <c r="Q5" s="52" t="s">
        <v>253</v>
      </c>
      <c r="R5" s="52" t="s">
        <v>254</v>
      </c>
      <c r="S5" s="53" t="s">
        <v>349</v>
      </c>
      <c r="T5" s="42" t="s">
        <v>15</v>
      </c>
    </row>
    <row r="6" spans="2:20" x14ac:dyDescent="0.3">
      <c r="B6" s="32" t="s">
        <v>260</v>
      </c>
      <c r="C6" s="33" t="s">
        <v>289</v>
      </c>
      <c r="D6" s="54">
        <v>1348270</v>
      </c>
      <c r="E6" s="54">
        <v>0</v>
      </c>
      <c r="F6" s="54">
        <v>0</v>
      </c>
      <c r="G6" s="59">
        <f>SUM(Tabla14[[#This Row],[january]:[march]])</f>
        <v>1348270</v>
      </c>
      <c r="H6" s="54">
        <v>597450</v>
      </c>
      <c r="I6" s="54">
        <v>0</v>
      </c>
      <c r="J6" s="54">
        <v>0</v>
      </c>
      <c r="K6" s="59">
        <f>SUM(Tabla14[[#This Row],[april]:[june]])</f>
        <v>597450</v>
      </c>
      <c r="L6" s="54">
        <v>0</v>
      </c>
      <c r="M6" s="54">
        <v>0</v>
      </c>
      <c r="N6" s="54">
        <v>0</v>
      </c>
      <c r="O6" s="59">
        <f>SUM(Tabla14[[#This Row],[july]:[august]])</f>
        <v>0</v>
      </c>
      <c r="P6" s="54">
        <v>195200</v>
      </c>
      <c r="Q6" s="54">
        <v>195200</v>
      </c>
      <c r="R6" s="54">
        <v>0</v>
      </c>
      <c r="S6" s="59">
        <f>SUM(Tabla14[[#This Row],[october]:[december]])</f>
        <v>390400</v>
      </c>
      <c r="T6" s="43">
        <f t="shared" ref="T6:T37" si="0">SUM(G6,K6,O6,S6)</f>
        <v>2336120</v>
      </c>
    </row>
    <row r="7" spans="2:20" x14ac:dyDescent="0.3">
      <c r="B7" s="35" t="s">
        <v>260</v>
      </c>
      <c r="C7" s="23" t="s">
        <v>119</v>
      </c>
      <c r="D7" s="55">
        <v>0</v>
      </c>
      <c r="E7" s="55">
        <v>629465</v>
      </c>
      <c r="F7" s="55">
        <v>0</v>
      </c>
      <c r="G7" s="60">
        <f>SUM(Tabla14[[#This Row],[january]:[march]])</f>
        <v>629465</v>
      </c>
      <c r="H7" s="55">
        <v>0</v>
      </c>
      <c r="I7" s="55">
        <v>0</v>
      </c>
      <c r="J7" s="55">
        <v>0</v>
      </c>
      <c r="K7" s="60">
        <f>SUM(Tabla14[[#This Row],[april]:[june]])</f>
        <v>0</v>
      </c>
      <c r="L7" s="55">
        <v>0</v>
      </c>
      <c r="M7" s="55">
        <v>0</v>
      </c>
      <c r="N7" s="55">
        <v>0</v>
      </c>
      <c r="O7" s="60">
        <f>SUM(Tabla14[[#This Row],[july]:[august]])</f>
        <v>0</v>
      </c>
      <c r="P7" s="55">
        <v>0</v>
      </c>
      <c r="Q7" s="55">
        <v>0</v>
      </c>
      <c r="R7" s="55">
        <v>0</v>
      </c>
      <c r="S7" s="60">
        <f>SUM(Tabla14[[#This Row],[october]:[december]])</f>
        <v>0</v>
      </c>
      <c r="T7" s="44">
        <f t="shared" si="0"/>
        <v>629465</v>
      </c>
    </row>
    <row r="8" spans="2:20" x14ac:dyDescent="0.3">
      <c r="B8" s="35" t="s">
        <v>260</v>
      </c>
      <c r="C8" s="23" t="s">
        <v>120</v>
      </c>
      <c r="D8" s="55">
        <v>277921</v>
      </c>
      <c r="E8" s="55">
        <v>1276676</v>
      </c>
      <c r="F8" s="55">
        <v>340030</v>
      </c>
      <c r="G8" s="60">
        <f>SUM(Tabla14[[#This Row],[january]:[march]])</f>
        <v>1894627</v>
      </c>
      <c r="H8" s="55">
        <v>533868</v>
      </c>
      <c r="I8" s="55">
        <v>664983</v>
      </c>
      <c r="J8" s="55">
        <v>1028979</v>
      </c>
      <c r="K8" s="60">
        <f>SUM(Tabla14[[#This Row],[april]:[june]])</f>
        <v>2227830</v>
      </c>
      <c r="L8" s="55">
        <v>534794</v>
      </c>
      <c r="M8" s="55">
        <v>534794</v>
      </c>
      <c r="N8" s="55">
        <v>274377</v>
      </c>
      <c r="O8" s="60">
        <f>SUM(Tabla14[[#This Row],[july]:[august]])</f>
        <v>1069588</v>
      </c>
      <c r="P8" s="55">
        <v>594280</v>
      </c>
      <c r="Q8" s="55">
        <v>1678135</v>
      </c>
      <c r="R8" s="55">
        <v>551129</v>
      </c>
      <c r="S8" s="60">
        <f>SUM(Tabla14[[#This Row],[october]:[december]])</f>
        <v>2823544</v>
      </c>
      <c r="T8" s="44">
        <f t="shared" si="0"/>
        <v>8015589</v>
      </c>
    </row>
    <row r="9" spans="2:20" x14ac:dyDescent="0.3">
      <c r="B9" s="35" t="s">
        <v>260</v>
      </c>
      <c r="C9" s="23" t="s">
        <v>121</v>
      </c>
      <c r="D9" s="55">
        <v>59500</v>
      </c>
      <c r="E9" s="55">
        <v>53550</v>
      </c>
      <c r="F9" s="55">
        <v>47600</v>
      </c>
      <c r="G9" s="60">
        <f>SUM(Tabla14[[#This Row],[january]:[march]])</f>
        <v>160650</v>
      </c>
      <c r="H9" s="55">
        <v>77350</v>
      </c>
      <c r="I9" s="55">
        <v>65450</v>
      </c>
      <c r="J9" s="55">
        <v>65450</v>
      </c>
      <c r="K9" s="60">
        <f>SUM(Tabla14[[#This Row],[april]:[june]])</f>
        <v>208250</v>
      </c>
      <c r="L9" s="55">
        <v>0</v>
      </c>
      <c r="M9" s="55">
        <v>0</v>
      </c>
      <c r="N9" s="55">
        <v>39000</v>
      </c>
      <c r="O9" s="60">
        <f>SUM(Tabla14[[#This Row],[july]:[august]])</f>
        <v>0</v>
      </c>
      <c r="P9" s="55">
        <v>66000</v>
      </c>
      <c r="Q9" s="55">
        <v>0</v>
      </c>
      <c r="R9" s="55">
        <v>81000</v>
      </c>
      <c r="S9" s="60">
        <f>SUM(Tabla14[[#This Row],[october]:[december]])</f>
        <v>147000</v>
      </c>
      <c r="T9" s="44">
        <f t="shared" si="0"/>
        <v>515900</v>
      </c>
    </row>
    <row r="10" spans="2:20" x14ac:dyDescent="0.3">
      <c r="B10" s="35" t="s">
        <v>260</v>
      </c>
      <c r="C10" s="23" t="s">
        <v>290</v>
      </c>
      <c r="D10" s="55">
        <v>407186</v>
      </c>
      <c r="E10" s="55">
        <v>0</v>
      </c>
      <c r="F10" s="55">
        <v>0</v>
      </c>
      <c r="G10" s="60">
        <f>SUM(Tabla14[[#This Row],[january]:[march]])</f>
        <v>407186</v>
      </c>
      <c r="H10" s="55">
        <v>243950</v>
      </c>
      <c r="I10" s="55">
        <v>21420</v>
      </c>
      <c r="J10" s="55">
        <v>0</v>
      </c>
      <c r="K10" s="60">
        <f>SUM(Tabla14[[#This Row],[april]:[june]])</f>
        <v>265370</v>
      </c>
      <c r="L10" s="55">
        <v>0</v>
      </c>
      <c r="M10" s="55">
        <v>0</v>
      </c>
      <c r="N10" s="55">
        <v>0</v>
      </c>
      <c r="O10" s="60">
        <f>SUM(Tabla14[[#This Row],[july]:[august]])</f>
        <v>0</v>
      </c>
      <c r="P10" s="55">
        <v>537261</v>
      </c>
      <c r="Q10" s="55">
        <v>1078794</v>
      </c>
      <c r="R10" s="55">
        <v>0</v>
      </c>
      <c r="S10" s="60">
        <f>SUM(Tabla14[[#This Row],[october]:[december]])</f>
        <v>1616055</v>
      </c>
      <c r="T10" s="44">
        <f t="shared" si="0"/>
        <v>2288611</v>
      </c>
    </row>
    <row r="11" spans="2:20" x14ac:dyDescent="0.3">
      <c r="B11" s="35" t="s">
        <v>260</v>
      </c>
      <c r="C11" s="23" t="s">
        <v>291</v>
      </c>
      <c r="D11" s="55">
        <v>311997</v>
      </c>
      <c r="E11" s="55">
        <v>110535</v>
      </c>
      <c r="F11" s="55">
        <v>105435</v>
      </c>
      <c r="G11" s="60">
        <f>SUM(Tabla14[[#This Row],[january]:[march]])</f>
        <v>527967</v>
      </c>
      <c r="H11" s="55">
        <v>114124</v>
      </c>
      <c r="I11" s="55">
        <v>114906</v>
      </c>
      <c r="J11" s="55">
        <v>116424</v>
      </c>
      <c r="K11" s="60">
        <f>SUM(Tabla14[[#This Row],[april]:[june]])</f>
        <v>345454</v>
      </c>
      <c r="L11" s="55">
        <v>43507</v>
      </c>
      <c r="M11" s="55">
        <v>43507</v>
      </c>
      <c r="N11" s="55">
        <v>20316</v>
      </c>
      <c r="O11" s="60">
        <f>SUM(Tabla14[[#This Row],[july]:[august]])</f>
        <v>87014</v>
      </c>
      <c r="P11" s="55">
        <v>21605</v>
      </c>
      <c r="Q11" s="55">
        <v>20316</v>
      </c>
      <c r="R11" s="55">
        <v>20847</v>
      </c>
      <c r="S11" s="60">
        <f>SUM(Tabla14[[#This Row],[october]:[december]])</f>
        <v>62768</v>
      </c>
      <c r="T11" s="44">
        <f t="shared" si="0"/>
        <v>1023203</v>
      </c>
    </row>
    <row r="12" spans="2:20" x14ac:dyDescent="0.3">
      <c r="B12" s="35" t="s">
        <v>260</v>
      </c>
      <c r="C12" s="23" t="s">
        <v>292</v>
      </c>
      <c r="D12" s="55">
        <v>188141</v>
      </c>
      <c r="E12" s="55">
        <v>179270</v>
      </c>
      <c r="F12" s="55">
        <v>167370</v>
      </c>
      <c r="G12" s="60">
        <f>SUM(Tabla14[[#This Row],[january]:[march]])</f>
        <v>534781</v>
      </c>
      <c r="H12" s="55">
        <v>201223</v>
      </c>
      <c r="I12" s="55">
        <v>193867</v>
      </c>
      <c r="J12" s="55">
        <v>194477</v>
      </c>
      <c r="K12" s="60">
        <f>SUM(Tabla14[[#This Row],[april]:[june]])</f>
        <v>589567</v>
      </c>
      <c r="L12" s="55">
        <v>190419</v>
      </c>
      <c r="M12" s="55">
        <v>190419</v>
      </c>
      <c r="N12" s="55">
        <v>142536</v>
      </c>
      <c r="O12" s="60">
        <f>SUM(Tabla14[[#This Row],[july]:[august]])</f>
        <v>380838</v>
      </c>
      <c r="P12" s="55">
        <v>162251</v>
      </c>
      <c r="Q12" s="55">
        <v>153182</v>
      </c>
      <c r="R12" s="55">
        <v>176228</v>
      </c>
      <c r="S12" s="60">
        <f>SUM(Tabla14[[#This Row],[october]:[december]])</f>
        <v>491661</v>
      </c>
      <c r="T12" s="44">
        <f t="shared" si="0"/>
        <v>1996847</v>
      </c>
    </row>
    <row r="13" spans="2:20" x14ac:dyDescent="0.3">
      <c r="B13" s="35" t="s">
        <v>260</v>
      </c>
      <c r="C13" s="23" t="s">
        <v>293</v>
      </c>
      <c r="D13" s="55">
        <v>2653425</v>
      </c>
      <c r="E13" s="55">
        <v>2709030</v>
      </c>
      <c r="F13" s="55">
        <v>2677039</v>
      </c>
      <c r="G13" s="60">
        <f>SUM(Tabla14[[#This Row],[january]:[march]])</f>
        <v>8039494</v>
      </c>
      <c r="H13" s="55">
        <v>2692199</v>
      </c>
      <c r="I13" s="55">
        <v>2725468</v>
      </c>
      <c r="J13" s="55">
        <v>2799623</v>
      </c>
      <c r="K13" s="60">
        <f>SUM(Tabla14[[#This Row],[april]:[june]])</f>
        <v>8217290</v>
      </c>
      <c r="L13" s="55">
        <v>2849246</v>
      </c>
      <c r="M13" s="55">
        <v>2849246</v>
      </c>
      <c r="N13" s="55">
        <v>2770909</v>
      </c>
      <c r="O13" s="60">
        <f>SUM(Tabla14[[#This Row],[july]:[august]])</f>
        <v>5698492</v>
      </c>
      <c r="P13" s="55">
        <v>395679</v>
      </c>
      <c r="Q13" s="55">
        <v>30000</v>
      </c>
      <c r="R13" s="55">
        <v>30000</v>
      </c>
      <c r="S13" s="60">
        <f>SUM(Tabla14[[#This Row],[october]:[december]])</f>
        <v>455679</v>
      </c>
      <c r="T13" s="44">
        <f t="shared" si="0"/>
        <v>22410955</v>
      </c>
    </row>
    <row r="14" spans="2:20" x14ac:dyDescent="0.3">
      <c r="B14" s="35" t="s">
        <v>260</v>
      </c>
      <c r="C14" s="23" t="s">
        <v>294</v>
      </c>
      <c r="D14" s="55">
        <v>0</v>
      </c>
      <c r="E14" s="55">
        <v>0</v>
      </c>
      <c r="F14" s="55">
        <v>0</v>
      </c>
      <c r="G14" s="60">
        <f>SUM(Tabla14[[#This Row],[january]:[march]])</f>
        <v>0</v>
      </c>
      <c r="H14" s="55">
        <v>0</v>
      </c>
      <c r="I14" s="55">
        <v>0</v>
      </c>
      <c r="J14" s="55">
        <v>0</v>
      </c>
      <c r="K14" s="60">
        <f>SUM(Tabla14[[#This Row],[april]:[june]])</f>
        <v>0</v>
      </c>
      <c r="L14" s="55">
        <v>0</v>
      </c>
      <c r="M14" s="55">
        <v>0</v>
      </c>
      <c r="N14" s="55">
        <v>0</v>
      </c>
      <c r="O14" s="60">
        <f>SUM(Tabla14[[#This Row],[july]:[august]])</f>
        <v>0</v>
      </c>
      <c r="P14" s="55">
        <v>0</v>
      </c>
      <c r="Q14" s="55">
        <v>0</v>
      </c>
      <c r="R14" s="55">
        <v>0</v>
      </c>
      <c r="S14" s="60">
        <f>SUM(Tabla14[[#This Row],[october]:[december]])</f>
        <v>0</v>
      </c>
      <c r="T14" s="44">
        <f t="shared" si="0"/>
        <v>0</v>
      </c>
    </row>
    <row r="15" spans="2:20" x14ac:dyDescent="0.3">
      <c r="B15" s="35" t="s">
        <v>260</v>
      </c>
      <c r="C15" s="23" t="s">
        <v>125</v>
      </c>
      <c r="D15" s="55">
        <v>193730.66666666666</v>
      </c>
      <c r="E15" s="55">
        <v>193894.33333333334</v>
      </c>
      <c r="F15" s="55">
        <v>194215.33333333334</v>
      </c>
      <c r="G15" s="60">
        <f>SUM(Tabla14[[#This Row],[january]:[march]])</f>
        <v>581840.33333333337</v>
      </c>
      <c r="H15" s="55">
        <v>194373.33333333334</v>
      </c>
      <c r="I15" s="55">
        <v>194775.33333333334</v>
      </c>
      <c r="J15" s="55">
        <v>292807.5</v>
      </c>
      <c r="K15" s="60">
        <f>SUM(Tabla14[[#This Row],[april]:[june]])</f>
        <v>681956.16666666674</v>
      </c>
      <c r="L15" s="55">
        <v>302858</v>
      </c>
      <c r="M15" s="55">
        <v>302858</v>
      </c>
      <c r="N15" s="55">
        <v>295995.5</v>
      </c>
      <c r="O15" s="60">
        <f>SUM(Tabla14[[#This Row],[july]:[august]])</f>
        <v>605716</v>
      </c>
      <c r="P15" s="55">
        <v>303625</v>
      </c>
      <c r="Q15" s="55">
        <v>304150</v>
      </c>
      <c r="R15" s="55">
        <v>318760</v>
      </c>
      <c r="S15" s="60">
        <f>SUM(Tabla14[[#This Row],[october]:[december]])</f>
        <v>926535</v>
      </c>
      <c r="T15" s="44">
        <f t="shared" si="0"/>
        <v>2796047.5</v>
      </c>
    </row>
    <row r="16" spans="2:20" x14ac:dyDescent="0.3">
      <c r="B16" s="35" t="s">
        <v>260</v>
      </c>
      <c r="C16" s="23" t="s">
        <v>126</v>
      </c>
      <c r="D16" s="55">
        <v>273352.88888888893</v>
      </c>
      <c r="E16" s="55">
        <v>136676.44444444447</v>
      </c>
      <c r="F16" s="55">
        <v>137786.33333333334</v>
      </c>
      <c r="G16" s="60">
        <f>SUM(Tabla14[[#This Row],[january]:[march]])</f>
        <v>547815.66666666674</v>
      </c>
      <c r="H16" s="55">
        <v>130608.33333333333</v>
      </c>
      <c r="I16" s="55">
        <v>130182.66666666667</v>
      </c>
      <c r="J16" s="55">
        <v>205114.5</v>
      </c>
      <c r="K16" s="60">
        <f>SUM(Tabla14[[#This Row],[april]:[june]])</f>
        <v>465905.5</v>
      </c>
      <c r="L16" s="55">
        <v>204947.5</v>
      </c>
      <c r="M16" s="55">
        <v>204947.5</v>
      </c>
      <c r="N16" s="55">
        <v>209641</v>
      </c>
      <c r="O16" s="60">
        <f>SUM(Tabla14[[#This Row],[july]:[august]])</f>
        <v>409895</v>
      </c>
      <c r="P16" s="55">
        <v>215046.5</v>
      </c>
      <c r="Q16" s="55">
        <v>216101</v>
      </c>
      <c r="R16" s="55">
        <v>216417.5</v>
      </c>
      <c r="S16" s="60">
        <f>SUM(Tabla14[[#This Row],[october]:[december]])</f>
        <v>647565</v>
      </c>
      <c r="T16" s="44">
        <f t="shared" si="0"/>
        <v>2071181.1666666667</v>
      </c>
    </row>
    <row r="17" spans="2:20" x14ac:dyDescent="0.3">
      <c r="B17" s="35" t="s">
        <v>260</v>
      </c>
      <c r="C17" s="23" t="s">
        <v>127</v>
      </c>
      <c r="D17" s="55">
        <v>13700</v>
      </c>
      <c r="E17" s="55">
        <v>1877</v>
      </c>
      <c r="F17" s="55">
        <v>1590</v>
      </c>
      <c r="G17" s="60">
        <f>SUM(Tabla14[[#This Row],[january]:[march]])</f>
        <v>17167</v>
      </c>
      <c r="H17" s="55">
        <v>2353.3333333333335</v>
      </c>
      <c r="I17" s="55">
        <v>1860</v>
      </c>
      <c r="J17" s="55">
        <v>3915</v>
      </c>
      <c r="K17" s="60">
        <f>SUM(Tabla14[[#This Row],[april]:[june]])</f>
        <v>8128.3333333333339</v>
      </c>
      <c r="L17" s="55">
        <v>3850</v>
      </c>
      <c r="M17" s="55">
        <v>3850</v>
      </c>
      <c r="N17" s="55">
        <v>2970</v>
      </c>
      <c r="O17" s="60">
        <f>SUM(Tabla14[[#This Row],[july]:[august]])</f>
        <v>7700</v>
      </c>
      <c r="P17" s="55">
        <v>3469</v>
      </c>
      <c r="Q17" s="55">
        <v>3555</v>
      </c>
      <c r="R17" s="55">
        <v>3540</v>
      </c>
      <c r="S17" s="60">
        <f>SUM(Tabla14[[#This Row],[october]:[december]])</f>
        <v>10564</v>
      </c>
      <c r="T17" s="44">
        <f t="shared" si="0"/>
        <v>43559.333333333336</v>
      </c>
    </row>
    <row r="18" spans="2:20" x14ac:dyDescent="0.3">
      <c r="B18" s="35" t="s">
        <v>260</v>
      </c>
      <c r="C18" s="23" t="s">
        <v>128</v>
      </c>
      <c r="D18" s="55">
        <v>0</v>
      </c>
      <c r="E18" s="55">
        <v>53616.666666666664</v>
      </c>
      <c r="F18" s="55">
        <v>7544.333333333333</v>
      </c>
      <c r="G18" s="60">
        <f>SUM(Tabla14[[#This Row],[january]:[march]])</f>
        <v>61161</v>
      </c>
      <c r="H18" s="55">
        <v>14626.666666666666</v>
      </c>
      <c r="I18" s="55">
        <v>44852.333333333336</v>
      </c>
      <c r="J18" s="55">
        <v>67278.5</v>
      </c>
      <c r="K18" s="60">
        <f>SUM(Tabla14[[#This Row],[april]:[june]])</f>
        <v>126757.5</v>
      </c>
      <c r="L18" s="55">
        <v>130893.5</v>
      </c>
      <c r="M18" s="55">
        <v>130893.5</v>
      </c>
      <c r="N18" s="55">
        <v>136355.5</v>
      </c>
      <c r="O18" s="60">
        <f>SUM(Tabla14[[#This Row],[july]:[august]])</f>
        <v>261787</v>
      </c>
      <c r="P18" s="55">
        <v>66942</v>
      </c>
      <c r="Q18" s="55">
        <v>0</v>
      </c>
      <c r="R18" s="55">
        <v>44986.5</v>
      </c>
      <c r="S18" s="60">
        <f>SUM(Tabla14[[#This Row],[october]:[december]])</f>
        <v>111928.5</v>
      </c>
      <c r="T18" s="44">
        <f t="shared" si="0"/>
        <v>561634</v>
      </c>
    </row>
    <row r="19" spans="2:20" x14ac:dyDescent="0.3">
      <c r="B19" s="35" t="s">
        <v>260</v>
      </c>
      <c r="C19" s="23" t="s">
        <v>295</v>
      </c>
      <c r="D19" s="55">
        <v>2760351</v>
      </c>
      <c r="E19" s="55">
        <v>2779667</v>
      </c>
      <c r="F19" s="55">
        <v>2809697</v>
      </c>
      <c r="G19" s="60">
        <f>SUM(Tabla14[[#This Row],[january]:[march]])</f>
        <v>8349715</v>
      </c>
      <c r="H19" s="55">
        <v>2824359</v>
      </c>
      <c r="I19" s="55">
        <v>2867625</v>
      </c>
      <c r="J19" s="55">
        <v>2934207</v>
      </c>
      <c r="K19" s="60">
        <f>SUM(Tabla14[[#This Row],[april]:[june]])</f>
        <v>8626191</v>
      </c>
      <c r="L19" s="55">
        <v>3020675</v>
      </c>
      <c r="M19" s="55">
        <v>3020675</v>
      </c>
      <c r="N19" s="55">
        <v>3139619</v>
      </c>
      <c r="O19" s="60">
        <f>SUM(Tabla14[[#This Row],[july]:[august]])</f>
        <v>6041350</v>
      </c>
      <c r="P19" s="55">
        <v>3164986</v>
      </c>
      <c r="Q19" s="55">
        <v>3193887</v>
      </c>
      <c r="R19" s="55">
        <v>3211696</v>
      </c>
      <c r="S19" s="60">
        <f>SUM(Tabla14[[#This Row],[october]:[december]])</f>
        <v>9570569</v>
      </c>
      <c r="T19" s="44">
        <f t="shared" si="0"/>
        <v>32587825</v>
      </c>
    </row>
    <row r="20" spans="2:20" x14ac:dyDescent="0.3">
      <c r="B20" s="35" t="s">
        <v>260</v>
      </c>
      <c r="C20" s="23" t="s">
        <v>130</v>
      </c>
      <c r="D20" s="55">
        <v>1269898</v>
      </c>
      <c r="E20" s="55">
        <v>0</v>
      </c>
      <c r="F20" s="55">
        <v>418032</v>
      </c>
      <c r="G20" s="60">
        <f>SUM(Tabla14[[#This Row],[january]:[march]])</f>
        <v>1687930</v>
      </c>
      <c r="H20" s="55">
        <v>395737</v>
      </c>
      <c r="I20" s="55">
        <v>397552</v>
      </c>
      <c r="J20" s="55">
        <v>417592</v>
      </c>
      <c r="K20" s="60">
        <f>SUM(Tabla14[[#This Row],[april]:[june]])</f>
        <v>1210881</v>
      </c>
      <c r="L20" s="55">
        <v>417251</v>
      </c>
      <c r="M20" s="55">
        <v>417251</v>
      </c>
      <c r="N20" s="55">
        <v>426802</v>
      </c>
      <c r="O20" s="60">
        <f>SUM(Tabla14[[#This Row],[july]:[august]])</f>
        <v>834502</v>
      </c>
      <c r="P20" s="55">
        <v>437814</v>
      </c>
      <c r="Q20" s="55">
        <v>439949</v>
      </c>
      <c r="R20" s="55">
        <v>440603</v>
      </c>
      <c r="S20" s="60">
        <f>SUM(Tabla14[[#This Row],[october]:[december]])</f>
        <v>1318366</v>
      </c>
      <c r="T20" s="44">
        <f t="shared" si="0"/>
        <v>5051679</v>
      </c>
    </row>
    <row r="21" spans="2:20" x14ac:dyDescent="0.3">
      <c r="B21" s="35" t="s">
        <v>260</v>
      </c>
      <c r="C21" s="23" t="s">
        <v>131</v>
      </c>
      <c r="D21" s="55">
        <v>0</v>
      </c>
      <c r="E21" s="55">
        <v>0</v>
      </c>
      <c r="F21" s="55">
        <v>0</v>
      </c>
      <c r="G21" s="60">
        <f>SUM(Tabla14[[#This Row],[january]:[march]])</f>
        <v>0</v>
      </c>
      <c r="H21" s="55">
        <v>38020</v>
      </c>
      <c r="I21" s="55">
        <v>41400</v>
      </c>
      <c r="J21" s="55">
        <v>5130</v>
      </c>
      <c r="K21" s="60">
        <f>SUM(Tabla14[[#This Row],[april]:[june]])</f>
        <v>84550</v>
      </c>
      <c r="L21" s="55">
        <v>12000</v>
      </c>
      <c r="M21" s="55">
        <v>12000</v>
      </c>
      <c r="N21" s="55">
        <v>17680</v>
      </c>
      <c r="O21" s="60">
        <f>SUM(Tabla14[[#This Row],[july]:[august]])</f>
        <v>24000</v>
      </c>
      <c r="P21" s="55">
        <v>14910</v>
      </c>
      <c r="Q21" s="55">
        <v>16510</v>
      </c>
      <c r="R21" s="55">
        <v>16430</v>
      </c>
      <c r="S21" s="60">
        <f>SUM(Tabla14[[#This Row],[october]:[december]])</f>
        <v>47850</v>
      </c>
      <c r="T21" s="44">
        <f t="shared" si="0"/>
        <v>156400</v>
      </c>
    </row>
    <row r="22" spans="2:20" x14ac:dyDescent="0.3">
      <c r="B22" s="35" t="s">
        <v>260</v>
      </c>
      <c r="C22" s="23" t="s">
        <v>132</v>
      </c>
      <c r="D22" s="55">
        <v>0</v>
      </c>
      <c r="E22" s="55">
        <v>0</v>
      </c>
      <c r="F22" s="55">
        <v>0</v>
      </c>
      <c r="G22" s="60">
        <f>SUM(Tabla14[[#This Row],[january]:[march]])</f>
        <v>0</v>
      </c>
      <c r="H22" s="55">
        <v>56608</v>
      </c>
      <c r="I22" s="55">
        <v>8021</v>
      </c>
      <c r="J22" s="55">
        <v>8021</v>
      </c>
      <c r="K22" s="60">
        <f>SUM(Tabla14[[#This Row],[april]:[june]])</f>
        <v>72650</v>
      </c>
      <c r="L22" s="55">
        <v>317081</v>
      </c>
      <c r="M22" s="55">
        <v>317081</v>
      </c>
      <c r="N22" s="55">
        <v>923373</v>
      </c>
      <c r="O22" s="60">
        <f>SUM(Tabla14[[#This Row],[july]:[august]])</f>
        <v>634162</v>
      </c>
      <c r="P22" s="55">
        <v>170594</v>
      </c>
      <c r="Q22" s="55">
        <v>84175</v>
      </c>
      <c r="R22" s="55">
        <v>85366</v>
      </c>
      <c r="S22" s="60">
        <f>SUM(Tabla14[[#This Row],[october]:[december]])</f>
        <v>340135</v>
      </c>
      <c r="T22" s="44">
        <f t="shared" si="0"/>
        <v>1046947</v>
      </c>
    </row>
    <row r="23" spans="2:20" x14ac:dyDescent="0.3">
      <c r="B23" s="35" t="s">
        <v>260</v>
      </c>
      <c r="C23" s="23" t="s">
        <v>296</v>
      </c>
      <c r="D23" s="55">
        <v>0</v>
      </c>
      <c r="E23" s="55">
        <v>0</v>
      </c>
      <c r="F23" s="55">
        <v>633329.4</v>
      </c>
      <c r="G23" s="60">
        <f>SUM(Tabla14[[#This Row],[january]:[march]])</f>
        <v>633329.4</v>
      </c>
      <c r="H23" s="55">
        <v>736743</v>
      </c>
      <c r="I23" s="55">
        <v>745140</v>
      </c>
      <c r="J23" s="55">
        <v>0</v>
      </c>
      <c r="K23" s="60">
        <f>SUM(Tabla14[[#This Row],[april]:[june]])</f>
        <v>1481883</v>
      </c>
      <c r="L23" s="55">
        <v>0</v>
      </c>
      <c r="M23" s="55">
        <v>0</v>
      </c>
      <c r="N23" s="55">
        <v>0</v>
      </c>
      <c r="O23" s="60">
        <f>SUM(Tabla14[[#This Row],[july]:[august]])</f>
        <v>0</v>
      </c>
      <c r="P23" s="55">
        <v>0</v>
      </c>
      <c r="Q23" s="55">
        <v>0</v>
      </c>
      <c r="R23" s="55">
        <v>0</v>
      </c>
      <c r="S23" s="60">
        <f>SUM(Tabla14[[#This Row],[october]:[december]])</f>
        <v>0</v>
      </c>
      <c r="T23" s="44">
        <f t="shared" si="0"/>
        <v>2115212.4</v>
      </c>
    </row>
    <row r="24" spans="2:20" x14ac:dyDescent="0.3">
      <c r="B24" s="35" t="s">
        <v>260</v>
      </c>
      <c r="C24" s="23" t="s">
        <v>297</v>
      </c>
      <c r="D24" s="55">
        <v>0</v>
      </c>
      <c r="E24" s="55">
        <v>0</v>
      </c>
      <c r="F24" s="55">
        <v>0</v>
      </c>
      <c r="G24" s="60">
        <f>SUM(Tabla14[[#This Row],[january]:[march]])</f>
        <v>0</v>
      </c>
      <c r="H24" s="55">
        <v>2292</v>
      </c>
      <c r="I24" s="55">
        <v>3071</v>
      </c>
      <c r="J24" s="55">
        <v>0</v>
      </c>
      <c r="K24" s="60">
        <f>SUM(Tabla14[[#This Row],[april]:[june]])</f>
        <v>5363</v>
      </c>
      <c r="L24" s="55">
        <v>0</v>
      </c>
      <c r="M24" s="55">
        <v>0</v>
      </c>
      <c r="N24" s="55">
        <v>0</v>
      </c>
      <c r="O24" s="60">
        <f>SUM(Tabla14[[#This Row],[july]:[august]])</f>
        <v>0</v>
      </c>
      <c r="P24" s="55">
        <v>0</v>
      </c>
      <c r="Q24" s="55">
        <v>0</v>
      </c>
      <c r="R24" s="55">
        <v>0</v>
      </c>
      <c r="S24" s="60">
        <f>SUM(Tabla14[[#This Row],[october]:[december]])</f>
        <v>0</v>
      </c>
      <c r="T24" s="44">
        <f t="shared" si="0"/>
        <v>5363</v>
      </c>
    </row>
    <row r="25" spans="2:20" x14ac:dyDescent="0.3">
      <c r="B25" s="35" t="s">
        <v>260</v>
      </c>
      <c r="C25" s="23" t="s">
        <v>133</v>
      </c>
      <c r="D25" s="55">
        <v>0</v>
      </c>
      <c r="E25" s="55">
        <v>0</v>
      </c>
      <c r="F25" s="55">
        <v>0</v>
      </c>
      <c r="G25" s="60">
        <f>SUM(Tabla14[[#This Row],[january]:[march]])</f>
        <v>0</v>
      </c>
      <c r="H25" s="55">
        <v>0</v>
      </c>
      <c r="I25" s="55">
        <v>0</v>
      </c>
      <c r="J25" s="55">
        <v>1056300</v>
      </c>
      <c r="K25" s="60">
        <f>SUM(Tabla14[[#This Row],[april]:[june]])</f>
        <v>1056300</v>
      </c>
      <c r="L25" s="55">
        <v>1141029</v>
      </c>
      <c r="M25" s="55">
        <v>1141029</v>
      </c>
      <c r="N25" s="55">
        <v>1164005</v>
      </c>
      <c r="O25" s="60">
        <f>SUM(Tabla14[[#This Row],[july]:[august]])</f>
        <v>2282058</v>
      </c>
      <c r="P25" s="55">
        <v>1179272</v>
      </c>
      <c r="Q25" s="55">
        <v>1190617</v>
      </c>
      <c r="R25" s="55">
        <v>1197998</v>
      </c>
      <c r="S25" s="60">
        <f>SUM(Tabla14[[#This Row],[october]:[december]])</f>
        <v>3567887</v>
      </c>
      <c r="T25" s="44">
        <f t="shared" si="0"/>
        <v>6906245</v>
      </c>
    </row>
    <row r="26" spans="2:20" x14ac:dyDescent="0.3">
      <c r="B26" s="35" t="s">
        <v>260</v>
      </c>
      <c r="C26" s="23" t="s">
        <v>134</v>
      </c>
      <c r="D26" s="55">
        <v>0</v>
      </c>
      <c r="E26" s="55">
        <v>0</v>
      </c>
      <c r="F26" s="55">
        <v>0</v>
      </c>
      <c r="G26" s="60">
        <f>SUM(Tabla14[[#This Row],[january]:[march]])</f>
        <v>0</v>
      </c>
      <c r="H26" s="55">
        <v>0</v>
      </c>
      <c r="I26" s="55">
        <v>0</v>
      </c>
      <c r="J26" s="55">
        <v>1540</v>
      </c>
      <c r="K26" s="60">
        <f>SUM(Tabla14[[#This Row],[april]:[june]])</f>
        <v>1540</v>
      </c>
      <c r="L26" s="55">
        <v>15605</v>
      </c>
      <c r="M26" s="55">
        <v>15605</v>
      </c>
      <c r="N26" s="55">
        <v>16416</v>
      </c>
      <c r="O26" s="60">
        <f>SUM(Tabla14[[#This Row],[july]:[august]])</f>
        <v>31210</v>
      </c>
      <c r="P26" s="55">
        <v>17405</v>
      </c>
      <c r="Q26" s="55">
        <v>14282</v>
      </c>
      <c r="R26" s="55">
        <v>14832</v>
      </c>
      <c r="S26" s="60">
        <f>SUM(Tabla14[[#This Row],[october]:[december]])</f>
        <v>46519</v>
      </c>
      <c r="T26" s="44">
        <f t="shared" si="0"/>
        <v>79269</v>
      </c>
    </row>
    <row r="27" spans="2:20" x14ac:dyDescent="0.3">
      <c r="B27" s="35" t="s">
        <v>260</v>
      </c>
      <c r="C27" s="23" t="s">
        <v>298</v>
      </c>
      <c r="D27" s="55">
        <v>0</v>
      </c>
      <c r="E27" s="55">
        <v>0</v>
      </c>
      <c r="F27" s="55">
        <v>0</v>
      </c>
      <c r="G27" s="60">
        <f>SUM(Tabla14[[#This Row],[january]:[march]])</f>
        <v>0</v>
      </c>
      <c r="H27" s="55">
        <v>0</v>
      </c>
      <c r="I27" s="55">
        <v>0</v>
      </c>
      <c r="J27" s="55">
        <v>357000</v>
      </c>
      <c r="K27" s="60">
        <f>SUM(Tabla14[[#This Row],[april]:[june]])</f>
        <v>357000</v>
      </c>
      <c r="L27" s="55">
        <v>357000</v>
      </c>
      <c r="M27" s="55">
        <v>357000</v>
      </c>
      <c r="N27" s="55">
        <v>1510625</v>
      </c>
      <c r="O27" s="60">
        <f>SUM(Tabla14[[#This Row],[july]:[august]])</f>
        <v>714000</v>
      </c>
      <c r="P27" s="55">
        <v>297500</v>
      </c>
      <c r="Q27" s="55">
        <v>297500</v>
      </c>
      <c r="R27" s="55">
        <v>297500</v>
      </c>
      <c r="S27" s="60">
        <f>SUM(Tabla14[[#This Row],[october]:[december]])</f>
        <v>892500</v>
      </c>
      <c r="T27" s="44">
        <f t="shared" si="0"/>
        <v>1963500</v>
      </c>
    </row>
    <row r="28" spans="2:20" x14ac:dyDescent="0.3">
      <c r="B28" s="35" t="s">
        <v>260</v>
      </c>
      <c r="C28" s="23" t="s">
        <v>299</v>
      </c>
      <c r="D28" s="55">
        <v>0</v>
      </c>
      <c r="E28" s="55">
        <v>178024</v>
      </c>
      <c r="F28" s="55">
        <v>626224</v>
      </c>
      <c r="G28" s="60">
        <f>SUM(Tabla14[[#This Row],[january]:[march]])</f>
        <v>804248</v>
      </c>
      <c r="H28" s="55">
        <v>0</v>
      </c>
      <c r="I28" s="55">
        <v>392700</v>
      </c>
      <c r="J28" s="55">
        <v>0</v>
      </c>
      <c r="K28" s="60">
        <f>SUM(Tabla14[[#This Row],[april]:[june]])</f>
        <v>392700</v>
      </c>
      <c r="L28" s="55">
        <v>0</v>
      </c>
      <c r="M28" s="55">
        <v>0</v>
      </c>
      <c r="N28" s="55">
        <v>0</v>
      </c>
      <c r="O28" s="60">
        <f>SUM(Tabla14[[#This Row],[july]:[august]])</f>
        <v>0</v>
      </c>
      <c r="P28" s="55">
        <v>0</v>
      </c>
      <c r="Q28" s="55">
        <v>0</v>
      </c>
      <c r="R28" s="55">
        <v>2455050</v>
      </c>
      <c r="S28" s="60">
        <f>SUM(Tabla14[[#This Row],[october]:[december]])</f>
        <v>2455050</v>
      </c>
      <c r="T28" s="44">
        <f t="shared" si="0"/>
        <v>3651998</v>
      </c>
    </row>
    <row r="29" spans="2:20" x14ac:dyDescent="0.3">
      <c r="B29" s="35" t="s">
        <v>260</v>
      </c>
      <c r="C29" s="23" t="s">
        <v>300</v>
      </c>
      <c r="D29" s="55">
        <v>0</v>
      </c>
      <c r="E29" s="55">
        <v>0</v>
      </c>
      <c r="F29" s="55">
        <v>462315</v>
      </c>
      <c r="G29" s="60">
        <f>SUM(Tabla14[[#This Row],[january]:[march]])</f>
        <v>462315</v>
      </c>
      <c r="H29" s="55">
        <v>0</v>
      </c>
      <c r="I29" s="55">
        <v>7864800</v>
      </c>
      <c r="J29" s="55">
        <v>0</v>
      </c>
      <c r="K29" s="60">
        <f>SUM(Tabla14[[#This Row],[april]:[june]])</f>
        <v>7864800</v>
      </c>
      <c r="L29" s="55">
        <v>0</v>
      </c>
      <c r="M29" s="55">
        <v>0</v>
      </c>
      <c r="N29" s="55">
        <v>7717406</v>
      </c>
      <c r="O29" s="60">
        <f>SUM(Tabla14[[#This Row],[july]:[august]])</f>
        <v>0</v>
      </c>
      <c r="P29" s="55">
        <v>0</v>
      </c>
      <c r="Q29" s="55">
        <v>0</v>
      </c>
      <c r="R29" s="55">
        <v>0</v>
      </c>
      <c r="S29" s="60">
        <f>SUM(Tabla14[[#This Row],[october]:[december]])</f>
        <v>0</v>
      </c>
      <c r="T29" s="44">
        <f t="shared" si="0"/>
        <v>8327115</v>
      </c>
    </row>
    <row r="30" spans="2:20" x14ac:dyDescent="0.3">
      <c r="B30" s="35" t="s">
        <v>260</v>
      </c>
      <c r="C30" s="23" t="s">
        <v>301</v>
      </c>
      <c r="D30" s="55">
        <v>88965</v>
      </c>
      <c r="E30" s="55">
        <v>0</v>
      </c>
      <c r="F30" s="55">
        <v>0</v>
      </c>
      <c r="G30" s="60">
        <f>SUM(Tabla14[[#This Row],[january]:[march]])</f>
        <v>88965</v>
      </c>
      <c r="H30" s="55">
        <v>0</v>
      </c>
      <c r="I30" s="55">
        <v>112015</v>
      </c>
      <c r="J30" s="55">
        <v>114741</v>
      </c>
      <c r="K30" s="60">
        <f>SUM(Tabla14[[#This Row],[april]:[june]])</f>
        <v>226756</v>
      </c>
      <c r="L30" s="55">
        <v>116091</v>
      </c>
      <c r="M30" s="55">
        <v>116091</v>
      </c>
      <c r="N30" s="55">
        <v>421146</v>
      </c>
      <c r="O30" s="60">
        <f>SUM(Tabla14[[#This Row],[july]:[august]])</f>
        <v>232182</v>
      </c>
      <c r="P30" s="55">
        <v>306634</v>
      </c>
      <c r="Q30" s="55">
        <v>1795995</v>
      </c>
      <c r="R30" s="55">
        <v>190425</v>
      </c>
      <c r="S30" s="60">
        <f>SUM(Tabla14[[#This Row],[october]:[december]])</f>
        <v>2293054</v>
      </c>
      <c r="T30" s="44">
        <f t="shared" si="0"/>
        <v>2840957</v>
      </c>
    </row>
    <row r="31" spans="2:20" x14ac:dyDescent="0.3">
      <c r="B31" s="35" t="s">
        <v>260</v>
      </c>
      <c r="C31" s="23" t="s">
        <v>302</v>
      </c>
      <c r="D31" s="55">
        <v>0</v>
      </c>
      <c r="E31" s="55">
        <v>566372</v>
      </c>
      <c r="F31" s="55">
        <v>0</v>
      </c>
      <c r="G31" s="60">
        <f>SUM(Tabla14[[#This Row],[january]:[march]])</f>
        <v>566372</v>
      </c>
      <c r="H31" s="55">
        <v>433048</v>
      </c>
      <c r="I31" s="55">
        <v>0</v>
      </c>
      <c r="J31" s="55">
        <v>0</v>
      </c>
      <c r="K31" s="60">
        <f>SUM(Tabla14[[#This Row],[april]:[june]])</f>
        <v>433048</v>
      </c>
      <c r="L31" s="55">
        <v>2812691</v>
      </c>
      <c r="M31" s="55">
        <v>2812691</v>
      </c>
      <c r="N31" s="55">
        <v>0</v>
      </c>
      <c r="O31" s="60">
        <f>SUM(Tabla14[[#This Row],[july]:[august]])</f>
        <v>5625382</v>
      </c>
      <c r="P31" s="55">
        <v>672665</v>
      </c>
      <c r="Q31" s="55">
        <v>0</v>
      </c>
      <c r="R31" s="55">
        <v>0</v>
      </c>
      <c r="S31" s="60">
        <f>SUM(Tabla14[[#This Row],[october]:[december]])</f>
        <v>672665</v>
      </c>
      <c r="T31" s="44">
        <f t="shared" si="0"/>
        <v>7297467</v>
      </c>
    </row>
    <row r="32" spans="2:20" ht="14.5" thickBot="1" x14ac:dyDescent="0.35">
      <c r="B32" s="36" t="s">
        <v>260</v>
      </c>
      <c r="C32" s="37" t="s">
        <v>139</v>
      </c>
      <c r="D32" s="56">
        <v>1109940</v>
      </c>
      <c r="E32" s="56">
        <v>1011021</v>
      </c>
      <c r="F32" s="56">
        <v>2413799</v>
      </c>
      <c r="G32" s="61">
        <f>SUM(Tabla14[[#This Row],[january]:[march]])</f>
        <v>4534760</v>
      </c>
      <c r="H32" s="56">
        <v>3122757</v>
      </c>
      <c r="I32" s="56">
        <v>413024</v>
      </c>
      <c r="J32" s="56">
        <v>2534378</v>
      </c>
      <c r="K32" s="61">
        <f>SUM(Tabla14[[#This Row],[april]:[june]])</f>
        <v>6070159</v>
      </c>
      <c r="L32" s="56">
        <v>1863699</v>
      </c>
      <c r="M32" s="56">
        <v>1863699</v>
      </c>
      <c r="N32" s="56">
        <v>2167975</v>
      </c>
      <c r="O32" s="61">
        <f>SUM(Tabla14[[#This Row],[july]:[august]])</f>
        <v>3727398</v>
      </c>
      <c r="P32" s="56">
        <v>1167414</v>
      </c>
      <c r="Q32" s="56">
        <v>365216</v>
      </c>
      <c r="R32" s="56">
        <v>1875861</v>
      </c>
      <c r="S32" s="61">
        <f>SUM(Tabla14[[#This Row],[october]:[december]])</f>
        <v>3408491</v>
      </c>
      <c r="T32" s="44">
        <f t="shared" si="0"/>
        <v>17740808</v>
      </c>
    </row>
    <row r="33" spans="2:20" x14ac:dyDescent="0.3">
      <c r="B33" s="35" t="s">
        <v>261</v>
      </c>
      <c r="C33" s="23" t="s">
        <v>303</v>
      </c>
      <c r="D33" s="55">
        <v>158063</v>
      </c>
      <c r="E33" s="55">
        <v>157696</v>
      </c>
      <c r="F33" s="55">
        <v>158639</v>
      </c>
      <c r="G33" s="60">
        <f>SUM(Tabla14[[#This Row],[january]:[march]])</f>
        <v>474398</v>
      </c>
      <c r="H33" s="55">
        <v>160882</v>
      </c>
      <c r="I33" s="55">
        <v>163398</v>
      </c>
      <c r="J33" s="55">
        <v>3800097</v>
      </c>
      <c r="K33" s="60">
        <f>SUM(Tabla14[[#This Row],[april]:[june]])</f>
        <v>4124377</v>
      </c>
      <c r="L33" s="55">
        <v>6684486</v>
      </c>
      <c r="M33" s="55">
        <v>3485161</v>
      </c>
      <c r="N33" s="55">
        <v>3528598</v>
      </c>
      <c r="O33" s="60">
        <f>SUM(Tabla14[[#This Row],[july]:[august]])</f>
        <v>10169647</v>
      </c>
      <c r="P33" s="55">
        <v>3563836</v>
      </c>
      <c r="Q33" s="55">
        <v>3585615</v>
      </c>
      <c r="R33" s="55">
        <v>2875555</v>
      </c>
      <c r="S33" s="60">
        <f>SUM(Tabla14[[#This Row],[october]:[december]])</f>
        <v>10025006</v>
      </c>
      <c r="T33" s="44">
        <f t="shared" si="0"/>
        <v>24793428</v>
      </c>
    </row>
    <row r="34" spans="2:20" x14ac:dyDescent="0.3">
      <c r="B34" s="35" t="s">
        <v>261</v>
      </c>
      <c r="C34" s="23" t="s">
        <v>141</v>
      </c>
      <c r="D34" s="55">
        <v>368933</v>
      </c>
      <c r="E34" s="55">
        <v>256841</v>
      </c>
      <c r="F34" s="55">
        <v>289311</v>
      </c>
      <c r="G34" s="60">
        <f>SUM(Tabla14[[#This Row],[january]:[march]])</f>
        <v>915085</v>
      </c>
      <c r="H34" s="55">
        <v>315043</v>
      </c>
      <c r="I34" s="55">
        <v>302947</v>
      </c>
      <c r="J34" s="55">
        <v>232995</v>
      </c>
      <c r="K34" s="60">
        <f>SUM(Tabla14[[#This Row],[april]:[june]])</f>
        <v>850985</v>
      </c>
      <c r="L34" s="55">
        <v>301760</v>
      </c>
      <c r="M34" s="55">
        <v>350557</v>
      </c>
      <c r="N34" s="55">
        <v>226047</v>
      </c>
      <c r="O34" s="60">
        <f>SUM(Tabla14[[#This Row],[july]:[august]])</f>
        <v>652317</v>
      </c>
      <c r="P34" s="55">
        <v>219762</v>
      </c>
      <c r="Q34" s="55">
        <v>230248</v>
      </c>
      <c r="R34" s="55">
        <v>300510</v>
      </c>
      <c r="S34" s="60">
        <f>SUM(Tabla14[[#This Row],[october]:[december]])</f>
        <v>750520</v>
      </c>
      <c r="T34" s="44">
        <f t="shared" si="0"/>
        <v>3168907</v>
      </c>
    </row>
    <row r="35" spans="2:20" x14ac:dyDescent="0.3">
      <c r="B35" s="35" t="s">
        <v>261</v>
      </c>
      <c r="C35" s="23" t="s">
        <v>142</v>
      </c>
      <c r="D35" s="55">
        <v>243416</v>
      </c>
      <c r="E35" s="55">
        <v>273265</v>
      </c>
      <c r="F35" s="55">
        <v>225388</v>
      </c>
      <c r="G35" s="60">
        <f>SUM(Tabla14[[#This Row],[january]:[march]])</f>
        <v>742069</v>
      </c>
      <c r="H35" s="55">
        <v>220933</v>
      </c>
      <c r="I35" s="55">
        <v>284989</v>
      </c>
      <c r="J35" s="55">
        <v>258713</v>
      </c>
      <c r="K35" s="60">
        <f>SUM(Tabla14[[#This Row],[april]:[june]])</f>
        <v>764635</v>
      </c>
      <c r="L35" s="55">
        <v>188840</v>
      </c>
      <c r="M35" s="55">
        <v>224540</v>
      </c>
      <c r="N35" s="55">
        <v>179537</v>
      </c>
      <c r="O35" s="60">
        <f>SUM(Tabla14[[#This Row],[july]:[august]])</f>
        <v>413380</v>
      </c>
      <c r="P35" s="55">
        <v>154424</v>
      </c>
      <c r="Q35" s="55">
        <v>178099</v>
      </c>
      <c r="R35" s="55">
        <v>163150</v>
      </c>
      <c r="S35" s="60">
        <f>SUM(Tabla14[[#This Row],[october]:[december]])</f>
        <v>495673</v>
      </c>
      <c r="T35" s="44">
        <f t="shared" si="0"/>
        <v>2415757</v>
      </c>
    </row>
    <row r="36" spans="2:20" x14ac:dyDescent="0.3">
      <c r="B36" s="35" t="s">
        <v>261</v>
      </c>
      <c r="C36" s="23" t="s">
        <v>143</v>
      </c>
      <c r="D36" s="55">
        <v>220634</v>
      </c>
      <c r="E36" s="55">
        <v>220414</v>
      </c>
      <c r="F36" s="55">
        <v>186586</v>
      </c>
      <c r="G36" s="60">
        <f>SUM(Tabla14[[#This Row],[january]:[march]])</f>
        <v>627634</v>
      </c>
      <c r="H36" s="55">
        <v>207483</v>
      </c>
      <c r="I36" s="55">
        <v>205869</v>
      </c>
      <c r="J36" s="55">
        <v>284949</v>
      </c>
      <c r="K36" s="60">
        <f>SUM(Tabla14[[#This Row],[april]:[june]])</f>
        <v>698301</v>
      </c>
      <c r="L36" s="55">
        <v>258597</v>
      </c>
      <c r="M36" s="55">
        <v>205056</v>
      </c>
      <c r="N36" s="55">
        <v>255368</v>
      </c>
      <c r="O36" s="60">
        <f>SUM(Tabla14[[#This Row],[july]:[august]])</f>
        <v>463653</v>
      </c>
      <c r="P36" s="55">
        <v>204323</v>
      </c>
      <c r="Q36" s="55">
        <v>200294</v>
      </c>
      <c r="R36" s="55">
        <v>219168</v>
      </c>
      <c r="S36" s="60">
        <f>SUM(Tabla14[[#This Row],[october]:[december]])</f>
        <v>623785</v>
      </c>
      <c r="T36" s="44">
        <f t="shared" si="0"/>
        <v>2413373</v>
      </c>
    </row>
    <row r="37" spans="2:20" x14ac:dyDescent="0.3">
      <c r="B37" s="35" t="s">
        <v>261</v>
      </c>
      <c r="C37" s="23" t="s">
        <v>144</v>
      </c>
      <c r="D37" s="55">
        <v>220077</v>
      </c>
      <c r="E37" s="55">
        <v>141195</v>
      </c>
      <c r="F37" s="55">
        <v>207253</v>
      </c>
      <c r="G37" s="60">
        <f>SUM(Tabla14[[#This Row],[january]:[march]])</f>
        <v>568525</v>
      </c>
      <c r="H37" s="55">
        <v>187634</v>
      </c>
      <c r="I37" s="55">
        <v>179719</v>
      </c>
      <c r="J37" s="55">
        <v>194953</v>
      </c>
      <c r="K37" s="60">
        <f>SUM(Tabla14[[#This Row],[april]:[june]])</f>
        <v>562306</v>
      </c>
      <c r="L37" s="55">
        <v>192995</v>
      </c>
      <c r="M37" s="55">
        <v>211014</v>
      </c>
      <c r="N37" s="55">
        <v>211581</v>
      </c>
      <c r="O37" s="60">
        <f>SUM(Tabla14[[#This Row],[july]:[august]])</f>
        <v>404009</v>
      </c>
      <c r="P37" s="55">
        <v>110366</v>
      </c>
      <c r="Q37" s="55">
        <v>106928</v>
      </c>
      <c r="R37" s="55">
        <v>216313</v>
      </c>
      <c r="S37" s="60">
        <f>SUM(Tabla14[[#This Row],[october]:[december]])</f>
        <v>433607</v>
      </c>
      <c r="T37" s="44">
        <f t="shared" si="0"/>
        <v>1968447</v>
      </c>
    </row>
    <row r="38" spans="2:20" x14ac:dyDescent="0.3">
      <c r="B38" s="35" t="s">
        <v>261</v>
      </c>
      <c r="C38" s="23" t="s">
        <v>145</v>
      </c>
      <c r="D38" s="55">
        <v>27323</v>
      </c>
      <c r="E38" s="55">
        <v>11016</v>
      </c>
      <c r="F38" s="55">
        <v>22200</v>
      </c>
      <c r="G38" s="60">
        <f>SUM(Tabla14[[#This Row],[january]:[march]])</f>
        <v>60539</v>
      </c>
      <c r="H38" s="55">
        <v>47795</v>
      </c>
      <c r="I38" s="55">
        <v>30000</v>
      </c>
      <c r="J38" s="55">
        <v>27700</v>
      </c>
      <c r="K38" s="60">
        <f>SUM(Tabla14[[#This Row],[april]:[june]])</f>
        <v>105495</v>
      </c>
      <c r="L38" s="55">
        <v>13334</v>
      </c>
      <c r="M38" s="57">
        <v>35128</v>
      </c>
      <c r="N38" s="55">
        <v>14369</v>
      </c>
      <c r="O38" s="60">
        <f>SUM(Tabla14[[#This Row],[july]:[august]])</f>
        <v>48462</v>
      </c>
      <c r="P38" s="55">
        <v>24234</v>
      </c>
      <c r="Q38" s="55">
        <v>20000</v>
      </c>
      <c r="R38" s="55">
        <v>45000</v>
      </c>
      <c r="S38" s="60">
        <f>SUM(Tabla14[[#This Row],[october]:[december]])</f>
        <v>89234</v>
      </c>
      <c r="T38" s="44">
        <f t="shared" ref="T38:T69" si="1">SUM(G38,K38,O38,S38)</f>
        <v>303730</v>
      </c>
    </row>
    <row r="39" spans="2:20" x14ac:dyDescent="0.3">
      <c r="B39" s="35" t="s">
        <v>261</v>
      </c>
      <c r="C39" s="23" t="s">
        <v>146</v>
      </c>
      <c r="D39" s="55">
        <v>0</v>
      </c>
      <c r="E39" s="55">
        <v>0</v>
      </c>
      <c r="F39" s="55">
        <v>0</v>
      </c>
      <c r="G39" s="60">
        <f>SUM(Tabla14[[#This Row],[january]:[march]])</f>
        <v>0</v>
      </c>
      <c r="H39" s="55">
        <v>0</v>
      </c>
      <c r="I39" s="55">
        <v>0</v>
      </c>
      <c r="J39" s="55">
        <v>0</v>
      </c>
      <c r="K39" s="60">
        <f>SUM(Tabla14[[#This Row],[april]:[june]])</f>
        <v>0</v>
      </c>
      <c r="L39" s="55">
        <v>0</v>
      </c>
      <c r="M39" s="55">
        <v>0</v>
      </c>
      <c r="N39" s="55">
        <v>0</v>
      </c>
      <c r="O39" s="60">
        <f>SUM(Tabla14[[#This Row],[july]:[august]])</f>
        <v>0</v>
      </c>
      <c r="P39" s="55">
        <v>0</v>
      </c>
      <c r="Q39" s="55">
        <v>55300</v>
      </c>
      <c r="R39" s="55">
        <v>92521</v>
      </c>
      <c r="S39" s="60">
        <f>SUM(Tabla14[[#This Row],[october]:[december]])</f>
        <v>147821</v>
      </c>
      <c r="T39" s="44">
        <f t="shared" si="1"/>
        <v>147821</v>
      </c>
    </row>
    <row r="40" spans="2:20" x14ac:dyDescent="0.3">
      <c r="B40" s="35" t="s">
        <v>261</v>
      </c>
      <c r="C40" s="23" t="s">
        <v>147</v>
      </c>
      <c r="D40" s="55"/>
      <c r="E40" s="55"/>
      <c r="F40" s="55"/>
      <c r="G40" s="60">
        <f>SUM(Tabla14[[#This Row],[january]:[march]])</f>
        <v>0</v>
      </c>
      <c r="H40" s="55"/>
      <c r="I40" s="55"/>
      <c r="J40" s="55"/>
      <c r="K40" s="60">
        <f>SUM(Tabla14[[#This Row],[april]:[june]])</f>
        <v>0</v>
      </c>
      <c r="L40" s="55"/>
      <c r="M40" s="57">
        <v>0</v>
      </c>
      <c r="N40" s="55">
        <v>77595</v>
      </c>
      <c r="O40" s="60">
        <f>SUM(Tabla14[[#This Row],[july]:[august]])</f>
        <v>0</v>
      </c>
      <c r="P40" s="55">
        <v>27296</v>
      </c>
      <c r="Q40" s="55">
        <v>35774</v>
      </c>
      <c r="R40" s="55">
        <v>37086</v>
      </c>
      <c r="S40" s="60">
        <f>SUM(Tabla14[[#This Row],[october]:[december]])</f>
        <v>100156</v>
      </c>
      <c r="T40" s="44">
        <f t="shared" si="1"/>
        <v>100156</v>
      </c>
    </row>
    <row r="41" spans="2:20" x14ac:dyDescent="0.3">
      <c r="B41" s="35" t="s">
        <v>261</v>
      </c>
      <c r="C41" s="23" t="s">
        <v>148</v>
      </c>
      <c r="D41" s="55">
        <v>169174</v>
      </c>
      <c r="E41" s="55">
        <v>33679</v>
      </c>
      <c r="F41" s="55">
        <v>57775</v>
      </c>
      <c r="G41" s="60">
        <f>SUM(Tabla14[[#This Row],[january]:[march]])</f>
        <v>260628</v>
      </c>
      <c r="H41" s="55">
        <v>69184</v>
      </c>
      <c r="I41" s="55">
        <v>66288</v>
      </c>
      <c r="J41" s="55">
        <v>50289</v>
      </c>
      <c r="K41" s="60">
        <f>SUM(Tabla14[[#This Row],[april]:[june]])</f>
        <v>185761</v>
      </c>
      <c r="L41" s="55">
        <v>42255</v>
      </c>
      <c r="M41" s="55">
        <v>43572</v>
      </c>
      <c r="N41" s="55">
        <v>73154</v>
      </c>
      <c r="O41" s="60">
        <f>SUM(Tabla14[[#This Row],[july]:[august]])</f>
        <v>85827</v>
      </c>
      <c r="P41" s="55">
        <v>83016</v>
      </c>
      <c r="Q41" s="55">
        <v>70776</v>
      </c>
      <c r="R41" s="55">
        <v>66346</v>
      </c>
      <c r="S41" s="60">
        <f>SUM(Tabla14[[#This Row],[october]:[december]])</f>
        <v>220138</v>
      </c>
      <c r="T41" s="44">
        <f t="shared" si="1"/>
        <v>752354</v>
      </c>
    </row>
    <row r="42" spans="2:20" x14ac:dyDescent="0.3">
      <c r="B42" s="35" t="s">
        <v>261</v>
      </c>
      <c r="C42" s="23" t="s">
        <v>150</v>
      </c>
      <c r="D42" s="55">
        <v>1007340</v>
      </c>
      <c r="E42" s="55">
        <v>1240705</v>
      </c>
      <c r="F42" s="55">
        <v>936130</v>
      </c>
      <c r="G42" s="60">
        <f>SUM(Tabla14[[#This Row],[january]:[march]])</f>
        <v>3184175</v>
      </c>
      <c r="H42" s="55">
        <v>2010262</v>
      </c>
      <c r="I42" s="55">
        <v>1768555</v>
      </c>
      <c r="J42" s="55">
        <v>1481393</v>
      </c>
      <c r="K42" s="60">
        <f>SUM(Tabla14[[#This Row],[april]:[june]])</f>
        <v>5260210</v>
      </c>
      <c r="L42" s="55">
        <v>2426211</v>
      </c>
      <c r="M42" s="55">
        <v>1454153</v>
      </c>
      <c r="N42" s="55">
        <v>1869396</v>
      </c>
      <c r="O42" s="60">
        <f>SUM(Tabla14[[#This Row],[july]:[august]])</f>
        <v>3880364</v>
      </c>
      <c r="P42" s="55">
        <v>1500065</v>
      </c>
      <c r="Q42" s="55">
        <v>1303744</v>
      </c>
      <c r="R42" s="55">
        <v>1525703</v>
      </c>
      <c r="S42" s="60">
        <f>SUM(Tabla14[[#This Row],[october]:[december]])</f>
        <v>4329512</v>
      </c>
      <c r="T42" s="44">
        <f t="shared" si="1"/>
        <v>16654261</v>
      </c>
    </row>
    <row r="43" spans="2:20" x14ac:dyDescent="0.3">
      <c r="B43" s="35" t="s">
        <v>261</v>
      </c>
      <c r="C43" s="23" t="s">
        <v>304</v>
      </c>
      <c r="D43" s="55">
        <v>0</v>
      </c>
      <c r="E43" s="55">
        <v>0</v>
      </c>
      <c r="F43" s="55">
        <v>0</v>
      </c>
      <c r="G43" s="60">
        <f>SUM(Tabla14[[#This Row],[january]:[march]])</f>
        <v>0</v>
      </c>
      <c r="H43" s="55">
        <v>0</v>
      </c>
      <c r="I43" s="55">
        <v>0</v>
      </c>
      <c r="J43" s="55">
        <v>0</v>
      </c>
      <c r="K43" s="60">
        <f>SUM(Tabla14[[#This Row],[april]:[june]])</f>
        <v>0</v>
      </c>
      <c r="L43" s="55">
        <v>1862337</v>
      </c>
      <c r="M43" s="55">
        <v>946573</v>
      </c>
      <c r="N43" s="55">
        <v>0</v>
      </c>
      <c r="O43" s="60">
        <f>SUM(Tabla14[[#This Row],[july]:[august]])</f>
        <v>2808910</v>
      </c>
      <c r="P43" s="55">
        <v>0</v>
      </c>
      <c r="Q43" s="55">
        <v>0</v>
      </c>
      <c r="R43" s="55">
        <v>0</v>
      </c>
      <c r="S43" s="60">
        <f>SUM(Tabla14[[#This Row],[october]:[december]])</f>
        <v>0</v>
      </c>
      <c r="T43" s="44">
        <f t="shared" si="1"/>
        <v>2808910</v>
      </c>
    </row>
    <row r="44" spans="2:20" x14ac:dyDescent="0.3">
      <c r="B44" s="35" t="s">
        <v>261</v>
      </c>
      <c r="C44" s="23" t="s">
        <v>151</v>
      </c>
      <c r="D44" s="55">
        <v>1510000</v>
      </c>
      <c r="E44" s="55">
        <v>0</v>
      </c>
      <c r="F44" s="55">
        <v>435000</v>
      </c>
      <c r="G44" s="60">
        <f>SUM(Tabla14[[#This Row],[january]:[march]])</f>
        <v>1945000</v>
      </c>
      <c r="H44" s="55">
        <v>1410000</v>
      </c>
      <c r="I44" s="55">
        <v>431000</v>
      </c>
      <c r="J44" s="55">
        <v>1860000</v>
      </c>
      <c r="K44" s="60">
        <f>SUM(Tabla14[[#This Row],[april]:[june]])</f>
        <v>3701000</v>
      </c>
      <c r="L44" s="55">
        <v>648000</v>
      </c>
      <c r="M44" s="55">
        <v>897000</v>
      </c>
      <c r="N44" s="55">
        <v>72000</v>
      </c>
      <c r="O44" s="60">
        <f>SUM(Tabla14[[#This Row],[july]:[august]])</f>
        <v>1545000</v>
      </c>
      <c r="P44" s="55">
        <v>392000</v>
      </c>
      <c r="Q44" s="55">
        <v>196000</v>
      </c>
      <c r="R44" s="55">
        <v>332000</v>
      </c>
      <c r="S44" s="60">
        <f>SUM(Tabla14[[#This Row],[october]:[december]])</f>
        <v>920000</v>
      </c>
      <c r="T44" s="44">
        <f t="shared" si="1"/>
        <v>8111000</v>
      </c>
    </row>
    <row r="45" spans="2:20" x14ac:dyDescent="0.3">
      <c r="B45" s="35" t="s">
        <v>261</v>
      </c>
      <c r="C45" s="23" t="s">
        <v>305</v>
      </c>
      <c r="D45" s="55">
        <v>0</v>
      </c>
      <c r="E45" s="55">
        <v>0</v>
      </c>
      <c r="F45" s="55">
        <v>0</v>
      </c>
      <c r="G45" s="60">
        <f>SUM(Tabla14[[#This Row],[january]:[march]])</f>
        <v>0</v>
      </c>
      <c r="H45" s="55">
        <v>0</v>
      </c>
      <c r="I45" s="55">
        <v>0</v>
      </c>
      <c r="J45" s="55">
        <v>0</v>
      </c>
      <c r="K45" s="60">
        <f>SUM(Tabla14[[#This Row],[april]:[june]])</f>
        <v>0</v>
      </c>
      <c r="L45" s="55">
        <v>5596</v>
      </c>
      <c r="M45" s="55">
        <v>3279</v>
      </c>
      <c r="N45" s="55">
        <v>0</v>
      </c>
      <c r="O45" s="60">
        <f>SUM(Tabla14[[#This Row],[july]:[august]])</f>
        <v>8875</v>
      </c>
      <c r="P45" s="55">
        <v>523852</v>
      </c>
      <c r="Q45" s="55">
        <v>798800</v>
      </c>
      <c r="R45" s="55">
        <v>0</v>
      </c>
      <c r="S45" s="60">
        <f>SUM(Tabla14[[#This Row],[october]:[december]])</f>
        <v>1322652</v>
      </c>
      <c r="T45" s="44">
        <f t="shared" si="1"/>
        <v>1331527</v>
      </c>
    </row>
    <row r="46" spans="2:20" x14ac:dyDescent="0.3">
      <c r="B46" s="35" t="s">
        <v>261</v>
      </c>
      <c r="C46" s="23" t="s">
        <v>153</v>
      </c>
      <c r="D46" s="55">
        <v>0</v>
      </c>
      <c r="E46" s="55">
        <v>468190</v>
      </c>
      <c r="F46" s="55">
        <v>0</v>
      </c>
      <c r="G46" s="60">
        <f>SUM(Tabla14[[#This Row],[january]:[march]])</f>
        <v>468190</v>
      </c>
      <c r="H46" s="55">
        <v>0</v>
      </c>
      <c r="I46" s="55">
        <v>0</v>
      </c>
      <c r="J46" s="55">
        <v>0</v>
      </c>
      <c r="K46" s="60">
        <f>SUM(Tabla14[[#This Row],[april]:[june]])</f>
        <v>0</v>
      </c>
      <c r="L46" s="55">
        <v>0</v>
      </c>
      <c r="M46" s="55">
        <v>0</v>
      </c>
      <c r="N46" s="55">
        <v>2823376</v>
      </c>
      <c r="O46" s="60">
        <f>SUM(Tabla14[[#This Row],[july]:[august]])</f>
        <v>0</v>
      </c>
      <c r="P46" s="55">
        <v>0</v>
      </c>
      <c r="Q46" s="55">
        <v>0</v>
      </c>
      <c r="R46" s="55">
        <v>767992</v>
      </c>
      <c r="S46" s="60">
        <f>SUM(Tabla14[[#This Row],[october]:[december]])</f>
        <v>767992</v>
      </c>
      <c r="T46" s="44">
        <f t="shared" si="1"/>
        <v>1236182</v>
      </c>
    </row>
    <row r="47" spans="2:20" x14ac:dyDescent="0.3">
      <c r="B47" s="35" t="s">
        <v>261</v>
      </c>
      <c r="C47" s="23" t="s">
        <v>306</v>
      </c>
      <c r="D47" s="55">
        <v>0</v>
      </c>
      <c r="E47" s="55">
        <v>0</v>
      </c>
      <c r="F47" s="55">
        <v>0</v>
      </c>
      <c r="G47" s="60">
        <f>SUM(Tabla14[[#This Row],[january]:[march]])</f>
        <v>0</v>
      </c>
      <c r="H47" s="55">
        <v>0</v>
      </c>
      <c r="I47" s="55">
        <v>0</v>
      </c>
      <c r="J47" s="55">
        <v>720000</v>
      </c>
      <c r="K47" s="60">
        <f>SUM(Tabla14[[#This Row],[april]:[june]])</f>
        <v>720000</v>
      </c>
      <c r="L47" s="55">
        <v>0</v>
      </c>
      <c r="M47" s="55">
        <v>387973</v>
      </c>
      <c r="N47" s="55">
        <v>0</v>
      </c>
      <c r="O47" s="60">
        <f>SUM(Tabla14[[#This Row],[july]:[august]])</f>
        <v>387973</v>
      </c>
      <c r="P47" s="55">
        <v>0</v>
      </c>
      <c r="Q47" s="55">
        <v>0</v>
      </c>
      <c r="R47" s="55">
        <v>0</v>
      </c>
      <c r="S47" s="60">
        <f>SUM(Tabla14[[#This Row],[october]:[december]])</f>
        <v>0</v>
      </c>
      <c r="T47" s="44">
        <f t="shared" si="1"/>
        <v>1107973</v>
      </c>
    </row>
    <row r="48" spans="2:20" x14ac:dyDescent="0.3">
      <c r="B48" s="35" t="s">
        <v>261</v>
      </c>
      <c r="C48" s="23" t="s">
        <v>307</v>
      </c>
      <c r="D48" s="55">
        <v>270000</v>
      </c>
      <c r="E48" s="55">
        <v>0</v>
      </c>
      <c r="F48" s="55">
        <v>0</v>
      </c>
      <c r="G48" s="60">
        <f>SUM(Tabla14[[#This Row],[january]:[march]])</f>
        <v>270000</v>
      </c>
      <c r="H48" s="55">
        <v>0</v>
      </c>
      <c r="I48" s="55">
        <v>0</v>
      </c>
      <c r="J48" s="55">
        <v>0</v>
      </c>
      <c r="K48" s="60">
        <f>SUM(Tabla14[[#This Row],[april]:[june]])</f>
        <v>0</v>
      </c>
      <c r="L48" s="55">
        <v>235500</v>
      </c>
      <c r="M48" s="55">
        <v>0</v>
      </c>
      <c r="N48" s="55">
        <v>0</v>
      </c>
      <c r="O48" s="60">
        <f>SUM(Tabla14[[#This Row],[july]:[august]])</f>
        <v>235500</v>
      </c>
      <c r="P48" s="55">
        <v>320000</v>
      </c>
      <c r="Q48" s="55">
        <v>63000</v>
      </c>
      <c r="R48" s="55">
        <v>2745709</v>
      </c>
      <c r="S48" s="60">
        <f>SUM(Tabla14[[#This Row],[october]:[december]])</f>
        <v>3128709</v>
      </c>
      <c r="T48" s="44">
        <f t="shared" si="1"/>
        <v>3634209</v>
      </c>
    </row>
    <row r="49" spans="2:20" x14ac:dyDescent="0.3">
      <c r="B49" s="35" t="s">
        <v>261</v>
      </c>
      <c r="C49" s="23" t="s">
        <v>308</v>
      </c>
      <c r="D49" s="55">
        <v>0</v>
      </c>
      <c r="E49" s="55">
        <v>0</v>
      </c>
      <c r="F49" s="55">
        <v>4229855</v>
      </c>
      <c r="G49" s="60">
        <f>SUM(Tabla14[[#This Row],[january]:[march]])</f>
        <v>4229855</v>
      </c>
      <c r="H49" s="55">
        <v>3238418</v>
      </c>
      <c r="I49" s="55">
        <v>3604750</v>
      </c>
      <c r="J49" s="55">
        <v>4287600</v>
      </c>
      <c r="K49" s="60">
        <f>SUM(Tabla14[[#This Row],[april]:[june]])</f>
        <v>11130768</v>
      </c>
      <c r="L49" s="55">
        <v>4058840</v>
      </c>
      <c r="M49" s="55">
        <v>3813975</v>
      </c>
      <c r="N49" s="55">
        <v>8182501</v>
      </c>
      <c r="O49" s="60">
        <f>SUM(Tabla14[[#This Row],[july]:[august]])</f>
        <v>7872815</v>
      </c>
      <c r="P49" s="55">
        <v>4147244</v>
      </c>
      <c r="Q49" s="55">
        <v>4177416</v>
      </c>
      <c r="R49" s="55">
        <v>4210614</v>
      </c>
      <c r="S49" s="60">
        <f>SUM(Tabla14[[#This Row],[october]:[december]])</f>
        <v>12535274</v>
      </c>
      <c r="T49" s="44">
        <f t="shared" si="1"/>
        <v>35768712</v>
      </c>
    </row>
    <row r="50" spans="2:20" x14ac:dyDescent="0.3">
      <c r="B50" s="35" t="s">
        <v>261</v>
      </c>
      <c r="C50" s="23" t="s">
        <v>309</v>
      </c>
      <c r="D50" s="55">
        <v>0</v>
      </c>
      <c r="E50" s="55">
        <v>0</v>
      </c>
      <c r="F50" s="55">
        <v>220550</v>
      </c>
      <c r="G50" s="60">
        <f>SUM(Tabla14[[#This Row],[january]:[march]])</f>
        <v>220550</v>
      </c>
      <c r="H50" s="55">
        <v>516841</v>
      </c>
      <c r="I50" s="55">
        <v>0</v>
      </c>
      <c r="J50" s="55">
        <v>0</v>
      </c>
      <c r="K50" s="60">
        <f>SUM(Tabla14[[#This Row],[april]:[june]])</f>
        <v>516841</v>
      </c>
      <c r="L50" s="55">
        <v>0</v>
      </c>
      <c r="M50" s="55">
        <v>0</v>
      </c>
      <c r="N50" s="55">
        <v>0</v>
      </c>
      <c r="O50" s="60">
        <f>SUM(Tabla14[[#This Row],[july]:[august]])</f>
        <v>0</v>
      </c>
      <c r="P50" s="55">
        <v>0</v>
      </c>
      <c r="Q50" s="55">
        <v>0</v>
      </c>
      <c r="R50" s="55">
        <v>0</v>
      </c>
      <c r="S50" s="60">
        <f>SUM(Tabla14[[#This Row],[october]:[december]])</f>
        <v>0</v>
      </c>
      <c r="T50" s="44">
        <f t="shared" si="1"/>
        <v>737391</v>
      </c>
    </row>
    <row r="51" spans="2:20" x14ac:dyDescent="0.3">
      <c r="B51" s="35" t="s">
        <v>261</v>
      </c>
      <c r="C51" s="23" t="s">
        <v>310</v>
      </c>
      <c r="D51" s="55">
        <v>0</v>
      </c>
      <c r="E51" s="55">
        <v>0</v>
      </c>
      <c r="F51" s="55">
        <v>0</v>
      </c>
      <c r="G51" s="60">
        <f>SUM(Tabla14[[#This Row],[january]:[march]])</f>
        <v>0</v>
      </c>
      <c r="H51" s="55">
        <v>0</v>
      </c>
      <c r="I51" s="55">
        <v>0</v>
      </c>
      <c r="J51" s="55">
        <v>0</v>
      </c>
      <c r="K51" s="60">
        <f>SUM(Tabla14[[#This Row],[april]:[june]])</f>
        <v>0</v>
      </c>
      <c r="L51" s="55">
        <v>0</v>
      </c>
      <c r="M51" s="57">
        <v>0</v>
      </c>
      <c r="N51" s="55">
        <v>0</v>
      </c>
      <c r="O51" s="60">
        <f>SUM(Tabla14[[#This Row],[july]:[august]])</f>
        <v>0</v>
      </c>
      <c r="P51" s="55">
        <v>0</v>
      </c>
      <c r="Q51" s="55">
        <v>0</v>
      </c>
      <c r="R51" s="55">
        <v>720000</v>
      </c>
      <c r="S51" s="60">
        <f>SUM(Tabla14[[#This Row],[october]:[december]])</f>
        <v>720000</v>
      </c>
      <c r="T51" s="44">
        <f t="shared" si="1"/>
        <v>720000</v>
      </c>
    </row>
    <row r="52" spans="2:20" x14ac:dyDescent="0.3">
      <c r="B52" s="35" t="s">
        <v>261</v>
      </c>
      <c r="C52" s="23" t="s">
        <v>159</v>
      </c>
      <c r="D52" s="55">
        <v>0</v>
      </c>
      <c r="E52" s="55">
        <v>0</v>
      </c>
      <c r="F52" s="55">
        <v>0</v>
      </c>
      <c r="G52" s="60">
        <f>SUM(Tabla14[[#This Row],[january]:[march]])</f>
        <v>0</v>
      </c>
      <c r="H52" s="55">
        <v>0</v>
      </c>
      <c r="I52" s="55">
        <v>0</v>
      </c>
      <c r="J52" s="55">
        <v>0</v>
      </c>
      <c r="K52" s="60">
        <f>SUM(Tabla14[[#This Row],[april]:[june]])</f>
        <v>0</v>
      </c>
      <c r="L52" s="55">
        <v>0</v>
      </c>
      <c r="M52" s="55">
        <v>0</v>
      </c>
      <c r="N52" s="55">
        <v>298902</v>
      </c>
      <c r="O52" s="60">
        <f>SUM(Tabla14[[#This Row],[july]:[august]])</f>
        <v>0</v>
      </c>
      <c r="P52" s="55">
        <v>276306</v>
      </c>
      <c r="Q52" s="55">
        <v>143263</v>
      </c>
      <c r="R52" s="55">
        <v>283400</v>
      </c>
      <c r="S52" s="60">
        <f>SUM(Tabla14[[#This Row],[october]:[december]])</f>
        <v>702969</v>
      </c>
      <c r="T52" s="44">
        <f t="shared" si="1"/>
        <v>702969</v>
      </c>
    </row>
    <row r="53" spans="2:20" ht="14.5" thickBot="1" x14ac:dyDescent="0.35">
      <c r="B53" s="36" t="s">
        <v>261</v>
      </c>
      <c r="C53" s="37" t="s">
        <v>161</v>
      </c>
      <c r="D53" s="56">
        <v>920897</v>
      </c>
      <c r="E53" s="56">
        <v>1646602</v>
      </c>
      <c r="F53" s="56">
        <v>1963975</v>
      </c>
      <c r="G53" s="61">
        <f>SUM(Tabla14[[#This Row],[january]:[march]])</f>
        <v>4531474</v>
      </c>
      <c r="H53" s="56">
        <v>1526732</v>
      </c>
      <c r="I53" s="56">
        <v>1397759</v>
      </c>
      <c r="J53" s="56">
        <v>1069671</v>
      </c>
      <c r="K53" s="61">
        <f>SUM(Tabla14[[#This Row],[april]:[june]])</f>
        <v>3994162</v>
      </c>
      <c r="L53" s="56">
        <v>984506</v>
      </c>
      <c r="M53" s="56">
        <v>1446400</v>
      </c>
      <c r="N53" s="56">
        <v>1246871</v>
      </c>
      <c r="O53" s="61">
        <f>SUM(Tabla14[[#This Row],[july]:[august]])</f>
        <v>2430906</v>
      </c>
      <c r="P53" s="56">
        <v>990185</v>
      </c>
      <c r="Q53" s="56">
        <v>1358832</v>
      </c>
      <c r="R53" s="56">
        <v>1795648</v>
      </c>
      <c r="S53" s="61">
        <f>SUM(Tabla14[[#This Row],[october]:[december]])</f>
        <v>4144665</v>
      </c>
      <c r="T53" s="44">
        <f t="shared" si="1"/>
        <v>15101207</v>
      </c>
    </row>
    <row r="54" spans="2:20" x14ac:dyDescent="0.3">
      <c r="B54" s="32" t="s">
        <v>7</v>
      </c>
      <c r="C54" s="33" t="s">
        <v>311</v>
      </c>
      <c r="D54" s="54">
        <v>40000</v>
      </c>
      <c r="E54" s="54">
        <v>40000</v>
      </c>
      <c r="F54" s="54">
        <v>40000</v>
      </c>
      <c r="G54" s="59">
        <f>SUM(Tabla14[[#This Row],[january]:[march]])</f>
        <v>120000</v>
      </c>
      <c r="H54" s="54">
        <v>40000</v>
      </c>
      <c r="I54" s="54">
        <v>40000</v>
      </c>
      <c r="J54" s="54">
        <v>0</v>
      </c>
      <c r="K54" s="59">
        <f>SUM(Tabla14[[#This Row],[april]:[june]])</f>
        <v>80000</v>
      </c>
      <c r="L54" s="54">
        <v>0</v>
      </c>
      <c r="M54" s="54">
        <v>0</v>
      </c>
      <c r="N54" s="54">
        <v>0</v>
      </c>
      <c r="O54" s="59">
        <f>SUM(Tabla14[[#This Row],[july]:[august]])</f>
        <v>0</v>
      </c>
      <c r="P54" s="54">
        <v>0</v>
      </c>
      <c r="Q54" s="54">
        <v>0</v>
      </c>
      <c r="R54" s="54">
        <v>0</v>
      </c>
      <c r="S54" s="59">
        <f>SUM(Tabla14[[#This Row],[october]:[december]])</f>
        <v>0</v>
      </c>
      <c r="T54" s="44">
        <f t="shared" si="1"/>
        <v>200000</v>
      </c>
    </row>
    <row r="55" spans="2:20" x14ac:dyDescent="0.3">
      <c r="B55" s="35" t="s">
        <v>7</v>
      </c>
      <c r="C55" s="23" t="s">
        <v>312</v>
      </c>
      <c r="D55" s="55">
        <v>3782302</v>
      </c>
      <c r="E55" s="55">
        <v>0</v>
      </c>
      <c r="F55" s="55">
        <v>3202173</v>
      </c>
      <c r="G55" s="60">
        <f>SUM(Tabla14[[#This Row],[january]:[march]])</f>
        <v>6984475</v>
      </c>
      <c r="H55" s="55">
        <v>3259220</v>
      </c>
      <c r="I55" s="55">
        <v>3205949</v>
      </c>
      <c r="J55" s="55">
        <v>3301829</v>
      </c>
      <c r="K55" s="60">
        <f>SUM(Tabla14[[#This Row],[april]:[june]])</f>
        <v>9766998</v>
      </c>
      <c r="L55" s="55">
        <v>3531263</v>
      </c>
      <c r="M55" s="55">
        <v>2566547</v>
      </c>
      <c r="N55" s="55">
        <v>1790335</v>
      </c>
      <c r="O55" s="60">
        <f>SUM(Tabla14[[#This Row],[july]:[august]])</f>
        <v>6097810</v>
      </c>
      <c r="P55" s="55">
        <v>7616775</v>
      </c>
      <c r="Q55" s="55">
        <v>57305</v>
      </c>
      <c r="R55" s="55">
        <v>0</v>
      </c>
      <c r="S55" s="60">
        <f>SUM(Tabla14[[#This Row],[october]:[december]])</f>
        <v>7674080</v>
      </c>
      <c r="T55" s="44">
        <f t="shared" si="1"/>
        <v>30523363</v>
      </c>
    </row>
    <row r="56" spans="2:20" x14ac:dyDescent="0.3">
      <c r="B56" s="35" t="s">
        <v>7</v>
      </c>
      <c r="C56" s="23" t="s">
        <v>313</v>
      </c>
      <c r="D56" s="55">
        <v>0</v>
      </c>
      <c r="E56" s="55">
        <v>0</v>
      </c>
      <c r="F56" s="55">
        <v>27316</v>
      </c>
      <c r="G56" s="60">
        <f>SUM(Tabla14[[#This Row],[january]:[march]])</f>
        <v>27316</v>
      </c>
      <c r="H56" s="55">
        <v>45687</v>
      </c>
      <c r="I56" s="55">
        <v>0</v>
      </c>
      <c r="J56" s="55">
        <v>0</v>
      </c>
      <c r="K56" s="60">
        <f>SUM(Tabla14[[#This Row],[april]:[june]])</f>
        <v>45687</v>
      </c>
      <c r="L56" s="55">
        <v>109121</v>
      </c>
      <c r="M56" s="55">
        <v>0</v>
      </c>
      <c r="N56" s="55">
        <v>0</v>
      </c>
      <c r="O56" s="60">
        <f>SUM(Tabla14[[#This Row],[july]:[august]])</f>
        <v>109121</v>
      </c>
      <c r="P56" s="55">
        <v>0</v>
      </c>
      <c r="Q56" s="55">
        <v>0</v>
      </c>
      <c r="R56" s="55">
        <v>0</v>
      </c>
      <c r="S56" s="60">
        <f>SUM(Tabla14[[#This Row],[october]:[december]])</f>
        <v>0</v>
      </c>
      <c r="T56" s="44">
        <f t="shared" si="1"/>
        <v>182124</v>
      </c>
    </row>
    <row r="57" spans="2:20" x14ac:dyDescent="0.3">
      <c r="B57" s="35" t="s">
        <v>7</v>
      </c>
      <c r="C57" s="23" t="s">
        <v>314</v>
      </c>
      <c r="D57" s="55">
        <v>0</v>
      </c>
      <c r="E57" s="55">
        <v>93415</v>
      </c>
      <c r="F57" s="55">
        <v>0</v>
      </c>
      <c r="G57" s="60">
        <f>SUM(Tabla14[[#This Row],[january]:[march]])</f>
        <v>93415</v>
      </c>
      <c r="H57" s="55">
        <v>0</v>
      </c>
      <c r="I57" s="55">
        <v>0</v>
      </c>
      <c r="J57" s="55">
        <v>0</v>
      </c>
      <c r="K57" s="60">
        <f>SUM(Tabla14[[#This Row],[april]:[june]])</f>
        <v>0</v>
      </c>
      <c r="L57" s="55">
        <v>0</v>
      </c>
      <c r="M57" s="55">
        <v>0</v>
      </c>
      <c r="N57" s="55">
        <v>0</v>
      </c>
      <c r="O57" s="60">
        <f>SUM(Tabla14[[#This Row],[july]:[august]])</f>
        <v>0</v>
      </c>
      <c r="P57" s="55">
        <v>0</v>
      </c>
      <c r="Q57" s="55">
        <v>0</v>
      </c>
      <c r="R57" s="55">
        <v>0</v>
      </c>
      <c r="S57" s="60">
        <f>SUM(Tabla14[[#This Row],[october]:[december]])</f>
        <v>0</v>
      </c>
      <c r="T57" s="44">
        <f t="shared" si="1"/>
        <v>93415</v>
      </c>
    </row>
    <row r="58" spans="2:20" x14ac:dyDescent="0.3">
      <c r="B58" s="35" t="s">
        <v>7</v>
      </c>
      <c r="C58" s="23" t="s">
        <v>315</v>
      </c>
      <c r="D58" s="55">
        <v>0</v>
      </c>
      <c r="E58" s="55">
        <v>0</v>
      </c>
      <c r="F58" s="55">
        <v>0</v>
      </c>
      <c r="G58" s="60">
        <f>SUM(Tabla14[[#This Row],[january]:[march]])</f>
        <v>0</v>
      </c>
      <c r="H58" s="55">
        <v>231157.5</v>
      </c>
      <c r="I58" s="55">
        <v>919932</v>
      </c>
      <c r="J58" s="55">
        <v>0</v>
      </c>
      <c r="K58" s="60">
        <f>SUM(Tabla14[[#This Row],[april]:[june]])</f>
        <v>1151089.5</v>
      </c>
      <c r="L58" s="55">
        <v>0</v>
      </c>
      <c r="M58" s="55">
        <v>0</v>
      </c>
      <c r="N58" s="55">
        <v>0</v>
      </c>
      <c r="O58" s="60">
        <f>SUM(Tabla14[[#This Row],[july]:[august]])</f>
        <v>0</v>
      </c>
      <c r="P58" s="55">
        <v>0</v>
      </c>
      <c r="Q58" s="55">
        <v>0</v>
      </c>
      <c r="R58" s="55">
        <v>0</v>
      </c>
      <c r="S58" s="60">
        <f>SUM(Tabla14[[#This Row],[october]:[december]])</f>
        <v>0</v>
      </c>
      <c r="T58" s="44">
        <f t="shared" si="1"/>
        <v>1151089.5</v>
      </c>
    </row>
    <row r="59" spans="2:20" x14ac:dyDescent="0.3">
      <c r="B59" s="35" t="s">
        <v>7</v>
      </c>
      <c r="C59" s="23" t="s">
        <v>316</v>
      </c>
      <c r="D59" s="55">
        <v>709240</v>
      </c>
      <c r="E59" s="55">
        <v>673540</v>
      </c>
      <c r="F59" s="55">
        <v>661640</v>
      </c>
      <c r="G59" s="60">
        <f>SUM(Tabla14[[#This Row],[january]:[march]])</f>
        <v>2044420</v>
      </c>
      <c r="H59" s="55">
        <v>1708840</v>
      </c>
      <c r="I59" s="55">
        <v>1708840</v>
      </c>
      <c r="J59" s="55">
        <v>1708840</v>
      </c>
      <c r="K59" s="60">
        <f>SUM(Tabla14[[#This Row],[april]:[june]])</f>
        <v>5126520</v>
      </c>
      <c r="L59" s="55">
        <v>1708840</v>
      </c>
      <c r="M59" s="55">
        <v>427210</v>
      </c>
      <c r="N59" s="55">
        <v>0</v>
      </c>
      <c r="O59" s="60">
        <f>SUM(Tabla14[[#This Row],[july]:[august]])</f>
        <v>2136050</v>
      </c>
      <c r="P59" s="55">
        <v>0</v>
      </c>
      <c r="Q59" s="55">
        <v>0</v>
      </c>
      <c r="R59" s="55">
        <v>0</v>
      </c>
      <c r="S59" s="60">
        <f>SUM(Tabla14[[#This Row],[october]:[december]])</f>
        <v>0</v>
      </c>
      <c r="T59" s="44">
        <f t="shared" si="1"/>
        <v>9306990</v>
      </c>
    </row>
    <row r="60" spans="2:20" x14ac:dyDescent="0.3">
      <c r="B60" s="35" t="s">
        <v>7</v>
      </c>
      <c r="C60" s="23" t="s">
        <v>317</v>
      </c>
      <c r="D60" s="55">
        <v>0</v>
      </c>
      <c r="E60" s="55">
        <v>0</v>
      </c>
      <c r="F60" s="55">
        <v>0</v>
      </c>
      <c r="G60" s="60">
        <f>SUM(Tabla14[[#This Row],[january]:[march]])</f>
        <v>0</v>
      </c>
      <c r="H60" s="55">
        <v>0</v>
      </c>
      <c r="I60" s="55">
        <v>0</v>
      </c>
      <c r="J60" s="55">
        <v>497236</v>
      </c>
      <c r="K60" s="60">
        <f>SUM(Tabla14[[#This Row],[april]:[june]])</f>
        <v>497236</v>
      </c>
      <c r="L60" s="55">
        <v>10000</v>
      </c>
      <c r="M60" s="55">
        <v>0</v>
      </c>
      <c r="N60" s="55">
        <v>10000</v>
      </c>
      <c r="O60" s="60">
        <f>SUM(Tabla14[[#This Row],[july]:[august]])</f>
        <v>10000</v>
      </c>
      <c r="P60" s="55">
        <v>0</v>
      </c>
      <c r="Q60" s="55">
        <v>30000</v>
      </c>
      <c r="R60" s="55">
        <v>0</v>
      </c>
      <c r="S60" s="60">
        <f>SUM(Tabla14[[#This Row],[october]:[december]])</f>
        <v>30000</v>
      </c>
      <c r="T60" s="44">
        <f t="shared" si="1"/>
        <v>537236</v>
      </c>
    </row>
    <row r="61" spans="2:20" x14ac:dyDescent="0.3">
      <c r="B61" s="35" t="s">
        <v>7</v>
      </c>
      <c r="C61" s="23" t="s">
        <v>318</v>
      </c>
      <c r="D61" s="55">
        <v>56287</v>
      </c>
      <c r="E61" s="55">
        <v>0</v>
      </c>
      <c r="F61" s="55">
        <v>0</v>
      </c>
      <c r="G61" s="60">
        <f>SUM(Tabla14[[#This Row],[january]:[march]])</f>
        <v>56287</v>
      </c>
      <c r="H61" s="55">
        <v>0</v>
      </c>
      <c r="I61" s="55">
        <v>0</v>
      </c>
      <c r="J61" s="55">
        <v>0</v>
      </c>
      <c r="K61" s="60">
        <f>SUM(Tabla14[[#This Row],[april]:[june]])</f>
        <v>0</v>
      </c>
      <c r="L61" s="55">
        <v>0</v>
      </c>
      <c r="M61" s="55">
        <v>98175</v>
      </c>
      <c r="N61" s="55">
        <v>0</v>
      </c>
      <c r="O61" s="60">
        <f>SUM(Tabla14[[#This Row],[july]:[august]])</f>
        <v>98175</v>
      </c>
      <c r="P61" s="55">
        <v>0</v>
      </c>
      <c r="Q61" s="55">
        <v>0</v>
      </c>
      <c r="R61" s="55">
        <v>0</v>
      </c>
      <c r="S61" s="60">
        <f>SUM(Tabla14[[#This Row],[october]:[december]])</f>
        <v>0</v>
      </c>
      <c r="T61" s="44">
        <f t="shared" si="1"/>
        <v>154462</v>
      </c>
    </row>
    <row r="62" spans="2:20" x14ac:dyDescent="0.3">
      <c r="B62" s="35" t="s">
        <v>7</v>
      </c>
      <c r="C62" s="23" t="s">
        <v>319</v>
      </c>
      <c r="D62" s="55">
        <v>0</v>
      </c>
      <c r="E62" s="55">
        <v>100000</v>
      </c>
      <c r="F62" s="55">
        <v>5950</v>
      </c>
      <c r="G62" s="60">
        <f>SUM(Tabla14[[#This Row],[january]:[march]])</f>
        <v>105950</v>
      </c>
      <c r="H62" s="55">
        <v>119000</v>
      </c>
      <c r="I62" s="55">
        <v>0</v>
      </c>
      <c r="J62" s="55">
        <v>0</v>
      </c>
      <c r="K62" s="60">
        <f>SUM(Tabla14[[#This Row],[april]:[june]])</f>
        <v>119000</v>
      </c>
      <c r="L62" s="55">
        <v>0</v>
      </c>
      <c r="M62" s="55">
        <v>0</v>
      </c>
      <c r="N62" s="55">
        <v>0</v>
      </c>
      <c r="O62" s="60">
        <f>SUM(Tabla14[[#This Row],[july]:[august]])</f>
        <v>0</v>
      </c>
      <c r="P62" s="55">
        <v>0</v>
      </c>
      <c r="Q62" s="55">
        <v>0</v>
      </c>
      <c r="R62" s="55">
        <v>0</v>
      </c>
      <c r="S62" s="60">
        <f>SUM(Tabla14[[#This Row],[october]:[december]])</f>
        <v>0</v>
      </c>
      <c r="T62" s="44">
        <f t="shared" si="1"/>
        <v>224950</v>
      </c>
    </row>
    <row r="63" spans="2:20" x14ac:dyDescent="0.3">
      <c r="B63" s="35" t="s">
        <v>7</v>
      </c>
      <c r="C63" s="23" t="s">
        <v>320</v>
      </c>
      <c r="D63" s="55">
        <v>227920</v>
      </c>
      <c r="E63" s="55">
        <v>0</v>
      </c>
      <c r="F63" s="55">
        <v>170940</v>
      </c>
      <c r="G63" s="60">
        <f>SUM(Tabla14[[#This Row],[january]:[march]])</f>
        <v>398860</v>
      </c>
      <c r="H63" s="55">
        <v>0</v>
      </c>
      <c r="I63" s="55">
        <v>0</v>
      </c>
      <c r="J63" s="55">
        <v>0</v>
      </c>
      <c r="K63" s="60">
        <f>SUM(Tabla14[[#This Row],[april]:[june]])</f>
        <v>0</v>
      </c>
      <c r="L63" s="55">
        <v>0</v>
      </c>
      <c r="M63" s="55">
        <v>0</v>
      </c>
      <c r="N63" s="55">
        <v>0</v>
      </c>
      <c r="O63" s="60">
        <f>SUM(Tabla14[[#This Row],[july]:[august]])</f>
        <v>0</v>
      </c>
      <c r="P63" s="55">
        <v>0</v>
      </c>
      <c r="Q63" s="55">
        <v>0</v>
      </c>
      <c r="R63" s="55">
        <v>0</v>
      </c>
      <c r="S63" s="60">
        <f>SUM(Tabla14[[#This Row],[october]:[december]])</f>
        <v>0</v>
      </c>
      <c r="T63" s="44">
        <f t="shared" si="1"/>
        <v>398860</v>
      </c>
    </row>
    <row r="64" spans="2:20" x14ac:dyDescent="0.3">
      <c r="B64" s="35" t="s">
        <v>7</v>
      </c>
      <c r="C64" s="23" t="s">
        <v>321</v>
      </c>
      <c r="D64" s="55">
        <v>456622.88</v>
      </c>
      <c r="E64" s="55">
        <v>183301.80000000002</v>
      </c>
      <c r="F64" s="55">
        <v>172088</v>
      </c>
      <c r="G64" s="60">
        <f>SUM(Tabla14[[#This Row],[january]:[march]])</f>
        <v>812012.68</v>
      </c>
      <c r="H64" s="55">
        <v>255119.58000000002</v>
      </c>
      <c r="I64" s="55">
        <v>796835</v>
      </c>
      <c r="J64" s="55">
        <v>171412</v>
      </c>
      <c r="K64" s="60">
        <f>SUM(Tabla14[[#This Row],[april]:[june]])</f>
        <v>1223366.58</v>
      </c>
      <c r="L64" s="55">
        <v>196022</v>
      </c>
      <c r="M64" s="55">
        <v>295765</v>
      </c>
      <c r="N64" s="55">
        <v>173275</v>
      </c>
      <c r="O64" s="60">
        <f>SUM(Tabla14[[#This Row],[july]:[august]])</f>
        <v>491787</v>
      </c>
      <c r="P64" s="55">
        <v>136735</v>
      </c>
      <c r="Q64" s="55">
        <v>56907</v>
      </c>
      <c r="R64" s="55">
        <v>7000</v>
      </c>
      <c r="S64" s="60">
        <f>SUM(Tabla14[[#This Row],[october]:[december]])</f>
        <v>200642</v>
      </c>
      <c r="T64" s="44">
        <f t="shared" si="1"/>
        <v>2727808.2600000002</v>
      </c>
    </row>
    <row r="65" spans="2:20" x14ac:dyDescent="0.3">
      <c r="B65" s="35" t="s">
        <v>7</v>
      </c>
      <c r="C65" s="23" t="s">
        <v>322</v>
      </c>
      <c r="D65" s="55">
        <v>2380418</v>
      </c>
      <c r="E65" s="55">
        <v>2218308</v>
      </c>
      <c r="F65" s="55">
        <v>2222985</v>
      </c>
      <c r="G65" s="60">
        <f>SUM(Tabla14[[#This Row],[january]:[march]])</f>
        <v>6821711</v>
      </c>
      <c r="H65" s="55">
        <v>2180332</v>
      </c>
      <c r="I65" s="55">
        <v>2271037</v>
      </c>
      <c r="J65" s="55">
        <v>2286784</v>
      </c>
      <c r="K65" s="60">
        <f>SUM(Tabla14[[#This Row],[april]:[june]])</f>
        <v>6738153</v>
      </c>
      <c r="L65" s="55">
        <v>2398426</v>
      </c>
      <c r="M65" s="55">
        <v>2407447</v>
      </c>
      <c r="N65" s="55">
        <v>2482829</v>
      </c>
      <c r="O65" s="60">
        <f>SUM(Tabla14[[#This Row],[july]:[august]])</f>
        <v>4805873</v>
      </c>
      <c r="P65" s="55">
        <v>2306563</v>
      </c>
      <c r="Q65" s="55">
        <v>2328995</v>
      </c>
      <c r="R65" s="55">
        <v>2392008</v>
      </c>
      <c r="S65" s="60">
        <f>SUM(Tabla14[[#This Row],[october]:[december]])</f>
        <v>7027566</v>
      </c>
      <c r="T65" s="44">
        <f t="shared" si="1"/>
        <v>25393303</v>
      </c>
    </row>
    <row r="66" spans="2:20" x14ac:dyDescent="0.3">
      <c r="B66" s="35" t="s">
        <v>7</v>
      </c>
      <c r="C66" s="23" t="s">
        <v>323</v>
      </c>
      <c r="D66" s="55">
        <v>42572</v>
      </c>
      <c r="E66" s="55">
        <v>32601</v>
      </c>
      <c r="F66" s="55">
        <v>32595</v>
      </c>
      <c r="G66" s="60">
        <f>SUM(Tabla14[[#This Row],[january]:[march]])</f>
        <v>107768</v>
      </c>
      <c r="H66" s="55">
        <v>32729</v>
      </c>
      <c r="I66" s="55">
        <v>33189</v>
      </c>
      <c r="J66" s="55">
        <v>37240</v>
      </c>
      <c r="K66" s="60">
        <f>SUM(Tabla14[[#This Row],[april]:[june]])</f>
        <v>103158</v>
      </c>
      <c r="L66" s="55">
        <v>42474</v>
      </c>
      <c r="M66" s="55">
        <v>40797</v>
      </c>
      <c r="N66" s="55">
        <v>42666</v>
      </c>
      <c r="O66" s="60">
        <f>SUM(Tabla14[[#This Row],[july]:[august]])</f>
        <v>83271</v>
      </c>
      <c r="P66" s="55">
        <v>41997</v>
      </c>
      <c r="Q66" s="55">
        <v>43443</v>
      </c>
      <c r="R66" s="55">
        <v>42538</v>
      </c>
      <c r="S66" s="60">
        <f>SUM(Tabla14[[#This Row],[october]:[december]])</f>
        <v>127978</v>
      </c>
      <c r="T66" s="44">
        <f t="shared" si="1"/>
        <v>422175</v>
      </c>
    </row>
    <row r="67" spans="2:20" x14ac:dyDescent="0.3">
      <c r="B67" s="35" t="s">
        <v>7</v>
      </c>
      <c r="C67" s="23" t="s">
        <v>165</v>
      </c>
      <c r="D67" s="55">
        <v>22740</v>
      </c>
      <c r="E67" s="55">
        <v>22740</v>
      </c>
      <c r="F67" s="55">
        <v>22740</v>
      </c>
      <c r="G67" s="60">
        <f>SUM(Tabla14[[#This Row],[january]:[march]])</f>
        <v>68220</v>
      </c>
      <c r="H67" s="55">
        <v>22740</v>
      </c>
      <c r="I67" s="55">
        <v>25715</v>
      </c>
      <c r="J67" s="55">
        <v>16790</v>
      </c>
      <c r="K67" s="60">
        <f>SUM(Tabla14[[#This Row],[april]:[june]])</f>
        <v>65245</v>
      </c>
      <c r="L67" s="55">
        <v>16790</v>
      </c>
      <c r="M67" s="55">
        <v>25715</v>
      </c>
      <c r="N67" s="55">
        <v>25790</v>
      </c>
      <c r="O67" s="60">
        <f>SUM(Tabla14[[#This Row],[july]:[august]])</f>
        <v>42505</v>
      </c>
      <c r="P67" s="55">
        <v>19790</v>
      </c>
      <c r="Q67" s="55">
        <v>19790</v>
      </c>
      <c r="R67" s="55">
        <v>16790</v>
      </c>
      <c r="S67" s="60">
        <f>SUM(Tabla14[[#This Row],[october]:[december]])</f>
        <v>56370</v>
      </c>
      <c r="T67" s="44">
        <f t="shared" si="1"/>
        <v>232340</v>
      </c>
    </row>
    <row r="68" spans="2:20" x14ac:dyDescent="0.3">
      <c r="B68" s="35" t="s">
        <v>7</v>
      </c>
      <c r="C68" s="23" t="s">
        <v>324</v>
      </c>
      <c r="D68" s="55">
        <v>480783.55555555562</v>
      </c>
      <c r="E68" s="55">
        <v>386064.4444444445</v>
      </c>
      <c r="F68" s="55">
        <v>341136</v>
      </c>
      <c r="G68" s="60">
        <f>SUM(Tabla14[[#This Row],[january]:[march]])</f>
        <v>1207984</v>
      </c>
      <c r="H68" s="55">
        <v>341961.66666666669</v>
      </c>
      <c r="I68" s="55">
        <v>371670.33333333331</v>
      </c>
      <c r="J68" s="55">
        <v>0</v>
      </c>
      <c r="K68" s="60">
        <f>SUM(Tabla14[[#This Row],[april]:[june]])</f>
        <v>713632</v>
      </c>
      <c r="L68" s="55">
        <v>0</v>
      </c>
      <c r="M68" s="55">
        <v>0</v>
      </c>
      <c r="N68" s="55">
        <v>0</v>
      </c>
      <c r="O68" s="60">
        <f>SUM(Tabla14[[#This Row],[july]:[august]])</f>
        <v>0</v>
      </c>
      <c r="P68" s="55">
        <v>0</v>
      </c>
      <c r="Q68" s="55">
        <v>0</v>
      </c>
      <c r="R68" s="55">
        <v>0</v>
      </c>
      <c r="S68" s="60">
        <f>SUM(Tabla14[[#This Row],[october]:[december]])</f>
        <v>0</v>
      </c>
      <c r="T68" s="44">
        <f t="shared" si="1"/>
        <v>1921616</v>
      </c>
    </row>
    <row r="69" spans="2:20" x14ac:dyDescent="0.3">
      <c r="B69" s="35" t="s">
        <v>7</v>
      </c>
      <c r="C69" s="23" t="s">
        <v>325</v>
      </c>
      <c r="D69" s="55"/>
      <c r="E69" s="55"/>
      <c r="F69" s="55"/>
      <c r="G69" s="60">
        <f>SUM(Tabla14[[#This Row],[january]:[march]])</f>
        <v>0</v>
      </c>
      <c r="H69" s="55"/>
      <c r="I69" s="55">
        <v>0</v>
      </c>
      <c r="J69" s="55">
        <v>760808</v>
      </c>
      <c r="K69" s="60">
        <f>SUM(Tabla14[[#This Row],[april]:[june]])</f>
        <v>760808</v>
      </c>
      <c r="L69" s="55">
        <v>860785</v>
      </c>
      <c r="M69" s="55">
        <v>794686</v>
      </c>
      <c r="N69" s="55">
        <v>810958</v>
      </c>
      <c r="O69" s="60">
        <f>SUM(Tabla14[[#This Row],[july]:[august]])</f>
        <v>1655471</v>
      </c>
      <c r="P69" s="55">
        <v>814197</v>
      </c>
      <c r="Q69" s="55">
        <v>825224</v>
      </c>
      <c r="R69" s="55">
        <v>829346</v>
      </c>
      <c r="S69" s="60">
        <f>SUM(Tabla14[[#This Row],[october]:[december]])</f>
        <v>2468767</v>
      </c>
      <c r="T69" s="44">
        <f t="shared" si="1"/>
        <v>4885046</v>
      </c>
    </row>
    <row r="70" spans="2:20" x14ac:dyDescent="0.3">
      <c r="B70" s="35" t="s">
        <v>7</v>
      </c>
      <c r="C70" s="23" t="s">
        <v>297</v>
      </c>
      <c r="D70" s="55"/>
      <c r="E70" s="55"/>
      <c r="F70" s="55"/>
      <c r="G70" s="60">
        <f>SUM(Tabla14[[#This Row],[january]:[march]])</f>
        <v>0</v>
      </c>
      <c r="H70" s="55"/>
      <c r="I70" s="55">
        <v>0</v>
      </c>
      <c r="J70" s="55">
        <v>1511</v>
      </c>
      <c r="K70" s="60">
        <f>SUM(Tabla14[[#This Row],[april]:[june]])</f>
        <v>1511</v>
      </c>
      <c r="L70" s="55">
        <v>19314</v>
      </c>
      <c r="M70" s="55">
        <v>40158</v>
      </c>
      <c r="N70" s="55">
        <v>20903</v>
      </c>
      <c r="O70" s="60">
        <f>SUM(Tabla14[[#This Row],[july]:[august]])</f>
        <v>59472</v>
      </c>
      <c r="P70" s="55">
        <v>16212</v>
      </c>
      <c r="Q70" s="55">
        <v>10209</v>
      </c>
      <c r="R70" s="55">
        <v>2817</v>
      </c>
      <c r="S70" s="60">
        <f>SUM(Tabla14[[#This Row],[october]:[december]])</f>
        <v>29238</v>
      </c>
      <c r="T70" s="44">
        <f t="shared" ref="T70:T101" si="2">SUM(G70,K70,O70,S70)</f>
        <v>90221</v>
      </c>
    </row>
    <row r="71" spans="2:20" x14ac:dyDescent="0.3">
      <c r="B71" s="35" t="s">
        <v>7</v>
      </c>
      <c r="C71" s="23" t="s">
        <v>169</v>
      </c>
      <c r="D71" s="55"/>
      <c r="E71" s="55"/>
      <c r="F71" s="55"/>
      <c r="G71" s="60">
        <f>SUM(Tabla14[[#This Row],[january]:[march]])</f>
        <v>0</v>
      </c>
      <c r="H71" s="55"/>
      <c r="I71" s="55">
        <v>0</v>
      </c>
      <c r="J71" s="55">
        <v>0</v>
      </c>
      <c r="K71" s="60">
        <f>SUM(Tabla14[[#This Row],[april]:[june]])</f>
        <v>0</v>
      </c>
      <c r="L71" s="55">
        <v>0</v>
      </c>
      <c r="M71" s="55">
        <v>200922</v>
      </c>
      <c r="N71" s="55">
        <v>203749</v>
      </c>
      <c r="O71" s="60">
        <f>SUM(Tabla14[[#This Row],[july]:[august]])</f>
        <v>200922</v>
      </c>
      <c r="P71" s="55">
        <v>190742</v>
      </c>
      <c r="Q71" s="55">
        <v>302843</v>
      </c>
      <c r="R71" s="55">
        <v>10602</v>
      </c>
      <c r="S71" s="60">
        <f>SUM(Tabla14[[#This Row],[october]:[december]])</f>
        <v>504187</v>
      </c>
      <c r="T71" s="44">
        <f t="shared" si="2"/>
        <v>705109</v>
      </c>
    </row>
    <row r="72" spans="2:20" x14ac:dyDescent="0.3">
      <c r="B72" s="35" t="s">
        <v>7</v>
      </c>
      <c r="C72" s="23" t="s">
        <v>326</v>
      </c>
      <c r="D72" s="55">
        <v>344621</v>
      </c>
      <c r="E72" s="55">
        <v>351454</v>
      </c>
      <c r="F72" s="55">
        <v>348072</v>
      </c>
      <c r="G72" s="60">
        <f>SUM(Tabla14[[#This Row],[january]:[march]])</f>
        <v>1044147</v>
      </c>
      <c r="H72" s="55">
        <v>343368</v>
      </c>
      <c r="I72" s="55">
        <v>343899</v>
      </c>
      <c r="J72" s="55">
        <v>301644</v>
      </c>
      <c r="K72" s="60">
        <f>SUM(Tabla14[[#This Row],[april]:[june]])</f>
        <v>988911</v>
      </c>
      <c r="L72" s="55">
        <v>304856</v>
      </c>
      <c r="M72" s="55">
        <v>303654</v>
      </c>
      <c r="N72" s="55">
        <v>305947</v>
      </c>
      <c r="O72" s="60">
        <f>SUM(Tabla14[[#This Row],[july]:[august]])</f>
        <v>608510</v>
      </c>
      <c r="P72" s="55">
        <v>302440</v>
      </c>
      <c r="Q72" s="55">
        <v>303556</v>
      </c>
      <c r="R72" s="55">
        <v>339899</v>
      </c>
      <c r="S72" s="60">
        <f>SUM(Tabla14[[#This Row],[october]:[december]])</f>
        <v>945895</v>
      </c>
      <c r="T72" s="44">
        <f t="shared" si="2"/>
        <v>3587463</v>
      </c>
    </row>
    <row r="73" spans="2:20" x14ac:dyDescent="0.3">
      <c r="B73" s="35" t="s">
        <v>7</v>
      </c>
      <c r="C73" s="23" t="s">
        <v>327</v>
      </c>
      <c r="D73" s="55">
        <v>1491465</v>
      </c>
      <c r="E73" s="55">
        <v>511895</v>
      </c>
      <c r="F73" s="55">
        <v>2192321</v>
      </c>
      <c r="G73" s="60">
        <f>SUM(Tabla14[[#This Row],[january]:[march]])</f>
        <v>4195681</v>
      </c>
      <c r="H73" s="55">
        <v>2188702</v>
      </c>
      <c r="I73" s="55">
        <v>2263939</v>
      </c>
      <c r="J73" s="55">
        <v>2261056</v>
      </c>
      <c r="K73" s="60">
        <f>SUM(Tabla14[[#This Row],[april]:[june]])</f>
        <v>6713697</v>
      </c>
      <c r="L73" s="55">
        <v>2259083</v>
      </c>
      <c r="M73" s="55">
        <v>1810834</v>
      </c>
      <c r="N73" s="55">
        <v>537830</v>
      </c>
      <c r="O73" s="60">
        <f>SUM(Tabla14[[#This Row],[july]:[august]])</f>
        <v>4069917</v>
      </c>
      <c r="P73" s="55">
        <v>0</v>
      </c>
      <c r="Q73" s="55">
        <v>0</v>
      </c>
      <c r="R73" s="55">
        <v>0</v>
      </c>
      <c r="S73" s="60">
        <f>SUM(Tabla14[[#This Row],[october]:[december]])</f>
        <v>0</v>
      </c>
      <c r="T73" s="44">
        <f t="shared" si="2"/>
        <v>14979295</v>
      </c>
    </row>
    <row r="74" spans="2:20" x14ac:dyDescent="0.3">
      <c r="B74" s="35" t="s">
        <v>7</v>
      </c>
      <c r="C74" s="23" t="s">
        <v>328</v>
      </c>
      <c r="D74" s="55">
        <v>1309000</v>
      </c>
      <c r="E74" s="55">
        <v>770000</v>
      </c>
      <c r="F74" s="55">
        <v>770000</v>
      </c>
      <c r="G74" s="60">
        <f>SUM(Tabla14[[#This Row],[january]:[march]])</f>
        <v>2849000</v>
      </c>
      <c r="H74" s="55">
        <v>770000</v>
      </c>
      <c r="I74" s="55">
        <v>1309000</v>
      </c>
      <c r="J74" s="55">
        <v>1000000</v>
      </c>
      <c r="K74" s="60">
        <f>SUM(Tabla14[[#This Row],[april]:[june]])</f>
        <v>3079000</v>
      </c>
      <c r="L74" s="55">
        <v>1000000</v>
      </c>
      <c r="M74" s="55">
        <v>1000000</v>
      </c>
      <c r="N74" s="55">
        <v>1000000</v>
      </c>
      <c r="O74" s="60">
        <f>SUM(Tabla14[[#This Row],[july]:[august]])</f>
        <v>2000000</v>
      </c>
      <c r="P74" s="55">
        <v>4543555</v>
      </c>
      <c r="Q74" s="55">
        <v>0</v>
      </c>
      <c r="R74" s="55">
        <v>0</v>
      </c>
      <c r="S74" s="60">
        <f>SUM(Tabla14[[#This Row],[october]:[december]])</f>
        <v>4543555</v>
      </c>
      <c r="T74" s="44">
        <f t="shared" si="2"/>
        <v>12471555</v>
      </c>
    </row>
    <row r="75" spans="2:20" x14ac:dyDescent="0.3">
      <c r="B75" s="35" t="s">
        <v>7</v>
      </c>
      <c r="C75" s="23" t="s">
        <v>329</v>
      </c>
      <c r="D75" s="55">
        <v>2154191</v>
      </c>
      <c r="E75" s="55">
        <v>1248536</v>
      </c>
      <c r="F75" s="55">
        <v>1247817</v>
      </c>
      <c r="G75" s="60">
        <f>SUM(Tabla14[[#This Row],[january]:[march]])</f>
        <v>4650544</v>
      </c>
      <c r="H75" s="55">
        <v>1246107</v>
      </c>
      <c r="I75" s="55">
        <v>881025</v>
      </c>
      <c r="J75" s="55">
        <v>916729</v>
      </c>
      <c r="K75" s="60">
        <f>SUM(Tabla14[[#This Row],[april]:[june]])</f>
        <v>3043861</v>
      </c>
      <c r="L75" s="55">
        <v>0</v>
      </c>
      <c r="M75" s="55">
        <v>0</v>
      </c>
      <c r="N75" s="55">
        <v>0</v>
      </c>
      <c r="O75" s="60">
        <f>SUM(Tabla14[[#This Row],[july]:[august]])</f>
        <v>0</v>
      </c>
      <c r="P75" s="55">
        <v>0</v>
      </c>
      <c r="Q75" s="55">
        <v>0</v>
      </c>
      <c r="R75" s="55">
        <v>0</v>
      </c>
      <c r="S75" s="60">
        <f>SUM(Tabla14[[#This Row],[october]:[december]])</f>
        <v>0</v>
      </c>
      <c r="T75" s="44">
        <f t="shared" si="2"/>
        <v>7694405</v>
      </c>
    </row>
    <row r="76" spans="2:20" x14ac:dyDescent="0.3">
      <c r="B76" s="35" t="s">
        <v>7</v>
      </c>
      <c r="C76" s="23" t="s">
        <v>330</v>
      </c>
      <c r="D76" s="55">
        <v>570000</v>
      </c>
      <c r="E76" s="55">
        <v>450000</v>
      </c>
      <c r="F76" s="55">
        <v>450000</v>
      </c>
      <c r="G76" s="60">
        <f>SUM(Tabla14[[#This Row],[january]:[march]])</f>
        <v>1470000</v>
      </c>
      <c r="H76" s="55">
        <v>450000</v>
      </c>
      <c r="I76" s="55">
        <v>706179</v>
      </c>
      <c r="J76" s="55">
        <v>613478</v>
      </c>
      <c r="K76" s="60">
        <f>SUM(Tabla14[[#This Row],[april]:[june]])</f>
        <v>1769657</v>
      </c>
      <c r="L76" s="55">
        <v>576439</v>
      </c>
      <c r="M76" s="55">
        <v>651028</v>
      </c>
      <c r="N76" s="55">
        <v>615791</v>
      </c>
      <c r="O76" s="60">
        <f>SUM(Tabla14[[#This Row],[july]:[august]])</f>
        <v>1227467</v>
      </c>
      <c r="P76" s="55">
        <v>569325</v>
      </c>
      <c r="Q76" s="55">
        <v>458405</v>
      </c>
      <c r="R76" s="55">
        <v>0</v>
      </c>
      <c r="S76" s="60">
        <f>SUM(Tabla14[[#This Row],[october]:[december]])</f>
        <v>1027730</v>
      </c>
      <c r="T76" s="44">
        <f t="shared" si="2"/>
        <v>5494854</v>
      </c>
    </row>
    <row r="77" spans="2:20" x14ac:dyDescent="0.3">
      <c r="B77" s="35" t="s">
        <v>7</v>
      </c>
      <c r="C77" s="23" t="s">
        <v>331</v>
      </c>
      <c r="D77" s="55"/>
      <c r="E77" s="55"/>
      <c r="F77" s="55"/>
      <c r="G77" s="60">
        <f>SUM(Tabla14[[#This Row],[january]:[march]])</f>
        <v>0</v>
      </c>
      <c r="H77" s="55"/>
      <c r="I77" s="55"/>
      <c r="J77" s="55">
        <v>1104684</v>
      </c>
      <c r="K77" s="60">
        <f>SUM(Tabla14[[#This Row],[april]:[june]])</f>
        <v>1104684</v>
      </c>
      <c r="L77" s="55">
        <v>1104652</v>
      </c>
      <c r="M77" s="55">
        <v>1105876</v>
      </c>
      <c r="N77" s="55">
        <v>1108909</v>
      </c>
      <c r="O77" s="60">
        <f>SUM(Tabla14[[#This Row],[july]:[august]])</f>
        <v>2210528</v>
      </c>
      <c r="P77" s="55">
        <v>1086797</v>
      </c>
      <c r="Q77" s="55">
        <v>2566470</v>
      </c>
      <c r="R77" s="55">
        <v>0</v>
      </c>
      <c r="S77" s="60">
        <f>SUM(Tabla14[[#This Row],[october]:[december]])</f>
        <v>3653267</v>
      </c>
      <c r="T77" s="44">
        <f t="shared" si="2"/>
        <v>6968479</v>
      </c>
    </row>
    <row r="78" spans="2:20" x14ac:dyDescent="0.3">
      <c r="B78" s="35" t="s">
        <v>7</v>
      </c>
      <c r="C78" s="23" t="s">
        <v>332</v>
      </c>
      <c r="D78" s="55">
        <v>1014815</v>
      </c>
      <c r="E78" s="55">
        <v>689459</v>
      </c>
      <c r="F78" s="55">
        <v>564103</v>
      </c>
      <c r="G78" s="60">
        <f>SUM(Tabla14[[#This Row],[january]:[march]])</f>
        <v>2268377</v>
      </c>
      <c r="H78" s="55">
        <v>1002849</v>
      </c>
      <c r="I78" s="55">
        <v>2141493</v>
      </c>
      <c r="J78" s="55">
        <v>940815</v>
      </c>
      <c r="K78" s="60">
        <f>SUM(Tabla14[[#This Row],[april]:[june]])</f>
        <v>4085157</v>
      </c>
      <c r="L78" s="55">
        <v>1170518</v>
      </c>
      <c r="M78" s="55">
        <v>1269550</v>
      </c>
      <c r="N78" s="55">
        <v>1249095</v>
      </c>
      <c r="O78" s="60">
        <f>SUM(Tabla14[[#This Row],[july]:[august]])</f>
        <v>2440068</v>
      </c>
      <c r="P78" s="55">
        <v>1106525</v>
      </c>
      <c r="Q78" s="55">
        <v>2114949</v>
      </c>
      <c r="R78" s="55">
        <v>0</v>
      </c>
      <c r="S78" s="60">
        <f>SUM(Tabla14[[#This Row],[october]:[december]])</f>
        <v>3221474</v>
      </c>
      <c r="T78" s="44">
        <f t="shared" si="2"/>
        <v>12015076</v>
      </c>
    </row>
    <row r="79" spans="2:20" x14ac:dyDescent="0.3">
      <c r="B79" s="35" t="s">
        <v>7</v>
      </c>
      <c r="C79" s="23" t="s">
        <v>170</v>
      </c>
      <c r="D79" s="55">
        <v>1200000</v>
      </c>
      <c r="E79" s="55">
        <v>1100000</v>
      </c>
      <c r="F79" s="55">
        <v>1500000</v>
      </c>
      <c r="G79" s="60">
        <f>SUM(Tabla14[[#This Row],[january]:[march]])</f>
        <v>3800000</v>
      </c>
      <c r="H79" s="55">
        <v>1000000</v>
      </c>
      <c r="I79" s="55">
        <v>1400000</v>
      </c>
      <c r="J79" s="55">
        <v>1100000</v>
      </c>
      <c r="K79" s="60">
        <f>SUM(Tabla14[[#This Row],[april]:[june]])</f>
        <v>3500000</v>
      </c>
      <c r="L79" s="55">
        <v>1000000</v>
      </c>
      <c r="M79" s="55">
        <v>1200000</v>
      </c>
      <c r="N79" s="55">
        <v>1300000</v>
      </c>
      <c r="O79" s="60">
        <f>SUM(Tabla14[[#This Row],[july]:[august]])</f>
        <v>2200000</v>
      </c>
      <c r="P79" s="55">
        <v>1017000</v>
      </c>
      <c r="Q79" s="55">
        <v>1228500</v>
      </c>
      <c r="R79" s="55">
        <v>1200000</v>
      </c>
      <c r="S79" s="60">
        <f>SUM(Tabla14[[#This Row],[october]:[december]])</f>
        <v>3445500</v>
      </c>
      <c r="T79" s="44">
        <f t="shared" si="2"/>
        <v>12945500</v>
      </c>
    </row>
    <row r="80" spans="2:20" x14ac:dyDescent="0.3">
      <c r="B80" s="35" t="s">
        <v>7</v>
      </c>
      <c r="C80" s="23" t="s">
        <v>171</v>
      </c>
      <c r="D80" s="55">
        <v>1395527</v>
      </c>
      <c r="E80" s="55">
        <v>1002849</v>
      </c>
      <c r="F80" s="55">
        <v>1128205</v>
      </c>
      <c r="G80" s="60">
        <f>SUM(Tabla14[[#This Row],[january]:[march]])</f>
        <v>3526581</v>
      </c>
      <c r="H80" s="55">
        <v>940171</v>
      </c>
      <c r="I80" s="55">
        <v>1815171</v>
      </c>
      <c r="J80" s="55">
        <v>1615897</v>
      </c>
      <c r="K80" s="60">
        <f>SUM(Tabla14[[#This Row],[april]:[june]])</f>
        <v>4371239</v>
      </c>
      <c r="L80" s="55">
        <v>1268975</v>
      </c>
      <c r="M80" s="55">
        <v>1660897</v>
      </c>
      <c r="N80" s="55">
        <v>1391581</v>
      </c>
      <c r="O80" s="60">
        <f>SUM(Tabla14[[#This Row],[july]:[august]])</f>
        <v>2929872</v>
      </c>
      <c r="P80" s="55">
        <v>1435353</v>
      </c>
      <c r="Q80" s="55">
        <v>1435897</v>
      </c>
      <c r="R80" s="55">
        <v>1276353</v>
      </c>
      <c r="S80" s="60">
        <f>SUM(Tabla14[[#This Row],[october]:[december]])</f>
        <v>4147603</v>
      </c>
      <c r="T80" s="44">
        <f t="shared" si="2"/>
        <v>14975295</v>
      </c>
    </row>
    <row r="81" spans="2:20" x14ac:dyDescent="0.3">
      <c r="B81" s="35" t="s">
        <v>7</v>
      </c>
      <c r="C81" s="23" t="s">
        <v>172</v>
      </c>
      <c r="D81" s="55">
        <v>0</v>
      </c>
      <c r="E81" s="55">
        <v>17568</v>
      </c>
      <c r="F81" s="55">
        <v>17568</v>
      </c>
      <c r="G81" s="60">
        <f>SUM(Tabla14[[#This Row],[january]:[march]])</f>
        <v>35136</v>
      </c>
      <c r="H81" s="55">
        <v>53763</v>
      </c>
      <c r="I81" s="55">
        <v>91580</v>
      </c>
      <c r="J81" s="55">
        <v>92862</v>
      </c>
      <c r="K81" s="60">
        <f>SUM(Tabla14[[#This Row],[april]:[june]])</f>
        <v>238205</v>
      </c>
      <c r="L81" s="55">
        <v>30921</v>
      </c>
      <c r="M81" s="55">
        <v>56892</v>
      </c>
      <c r="N81" s="55">
        <v>56892</v>
      </c>
      <c r="O81" s="60">
        <f>SUM(Tabla14[[#This Row],[july]:[august]])</f>
        <v>87813</v>
      </c>
      <c r="P81" s="55">
        <v>97305</v>
      </c>
      <c r="Q81" s="55">
        <v>78544</v>
      </c>
      <c r="R81" s="55">
        <v>0</v>
      </c>
      <c r="S81" s="60">
        <f>SUM(Tabla14[[#This Row],[october]:[december]])</f>
        <v>175849</v>
      </c>
      <c r="T81" s="44">
        <f t="shared" si="2"/>
        <v>537003</v>
      </c>
    </row>
    <row r="82" spans="2:20" ht="14.5" thickBot="1" x14ac:dyDescent="0.35">
      <c r="B82" s="36" t="s">
        <v>7</v>
      </c>
      <c r="C82" s="37" t="s">
        <v>173</v>
      </c>
      <c r="D82" s="56">
        <v>951589.76466096076</v>
      </c>
      <c r="E82" s="56">
        <v>951589.76466096076</v>
      </c>
      <c r="F82" s="56">
        <v>1482342</v>
      </c>
      <c r="G82" s="61">
        <f>SUM(Tabla14[[#This Row],[january]:[march]])</f>
        <v>3385521.5293219215</v>
      </c>
      <c r="H82" s="56">
        <v>1489709</v>
      </c>
      <c r="I82" s="56">
        <v>1396789</v>
      </c>
      <c r="J82" s="56">
        <v>1386884.1214000001</v>
      </c>
      <c r="K82" s="61">
        <f>SUM(Tabla14[[#This Row],[april]:[june]])</f>
        <v>4273382.1214000005</v>
      </c>
      <c r="L82" s="56">
        <v>1662665</v>
      </c>
      <c r="M82" s="56">
        <v>1596736</v>
      </c>
      <c r="N82" s="56">
        <v>1056824</v>
      </c>
      <c r="O82" s="61">
        <f>SUM(Tabla14[[#This Row],[july]:[august]])</f>
        <v>3259401</v>
      </c>
      <c r="P82" s="56">
        <v>785464</v>
      </c>
      <c r="Q82" s="56">
        <v>284289</v>
      </c>
      <c r="R82" s="56">
        <v>0</v>
      </c>
      <c r="S82" s="61">
        <f>SUM(Tabla14[[#This Row],[october]:[december]])</f>
        <v>1069753</v>
      </c>
      <c r="T82" s="44">
        <f t="shared" si="2"/>
        <v>11988057.650721923</v>
      </c>
    </row>
    <row r="83" spans="2:20" x14ac:dyDescent="0.3">
      <c r="B83" s="32" t="s">
        <v>262</v>
      </c>
      <c r="C83" s="33" t="s">
        <v>174</v>
      </c>
      <c r="D83" s="54"/>
      <c r="E83" s="54"/>
      <c r="F83" s="54"/>
      <c r="G83" s="59">
        <f>SUM(Tabla14[[#This Row],[january]:[march]])</f>
        <v>0</v>
      </c>
      <c r="H83" s="54"/>
      <c r="I83" s="54"/>
      <c r="J83" s="54"/>
      <c r="K83" s="59">
        <f>SUM(Tabla14[[#This Row],[april]:[june]])</f>
        <v>0</v>
      </c>
      <c r="L83" s="54"/>
      <c r="M83" s="54"/>
      <c r="N83" s="54"/>
      <c r="O83" s="59">
        <f>SUM(Tabla14[[#This Row],[july]:[august]])</f>
        <v>0</v>
      </c>
      <c r="P83" s="54"/>
      <c r="Q83" s="54"/>
      <c r="R83" s="54"/>
      <c r="S83" s="59">
        <f>SUM(Tabla14[[#This Row],[october]:[december]])</f>
        <v>0</v>
      </c>
      <c r="T83" s="44">
        <f t="shared" si="2"/>
        <v>0</v>
      </c>
    </row>
    <row r="84" spans="2:20" x14ac:dyDescent="0.3">
      <c r="B84" s="35" t="s">
        <v>262</v>
      </c>
      <c r="C84" s="23" t="s">
        <v>175</v>
      </c>
      <c r="D84" s="55"/>
      <c r="E84" s="55"/>
      <c r="F84" s="55"/>
      <c r="G84" s="60">
        <f>SUM(Tabla14[[#This Row],[january]:[march]])</f>
        <v>0</v>
      </c>
      <c r="H84" s="55"/>
      <c r="I84" s="55"/>
      <c r="J84" s="55"/>
      <c r="K84" s="60">
        <f>SUM(Tabla14[[#This Row],[april]:[june]])</f>
        <v>0</v>
      </c>
      <c r="L84" s="55"/>
      <c r="M84" s="55"/>
      <c r="N84" s="55"/>
      <c r="O84" s="60">
        <f>SUM(Tabla14[[#This Row],[july]:[august]])</f>
        <v>0</v>
      </c>
      <c r="P84" s="55"/>
      <c r="Q84" s="55"/>
      <c r="R84" s="55"/>
      <c r="S84" s="60">
        <f>SUM(Tabla14[[#This Row],[october]:[december]])</f>
        <v>0</v>
      </c>
      <c r="T84" s="44">
        <f t="shared" si="2"/>
        <v>0</v>
      </c>
    </row>
    <row r="85" spans="2:20" ht="14.5" thickBot="1" x14ac:dyDescent="0.35">
      <c r="B85" s="36" t="s">
        <v>262</v>
      </c>
      <c r="C85" s="37" t="s">
        <v>176</v>
      </c>
      <c r="D85" s="56"/>
      <c r="E85" s="56"/>
      <c r="F85" s="56">
        <v>589436</v>
      </c>
      <c r="G85" s="61">
        <f>SUM(Tabla14[[#This Row],[january]:[march]])</f>
        <v>589436</v>
      </c>
      <c r="H85" s="56">
        <v>416988</v>
      </c>
      <c r="I85" s="56"/>
      <c r="J85" s="56">
        <v>494179</v>
      </c>
      <c r="K85" s="61">
        <f>SUM(Tabla14[[#This Row],[april]:[june]])</f>
        <v>911167</v>
      </c>
      <c r="L85" s="56">
        <v>499967</v>
      </c>
      <c r="M85" s="56">
        <v>168860</v>
      </c>
      <c r="N85" s="56">
        <v>778618</v>
      </c>
      <c r="O85" s="61">
        <f>SUM(Tabla14[[#This Row],[july]:[august]])</f>
        <v>668827</v>
      </c>
      <c r="P85" s="56">
        <v>35000</v>
      </c>
      <c r="Q85" s="56">
        <v>0</v>
      </c>
      <c r="R85" s="56">
        <v>212775</v>
      </c>
      <c r="S85" s="61">
        <f>SUM(Tabla14[[#This Row],[october]:[december]])</f>
        <v>247775</v>
      </c>
      <c r="T85" s="44">
        <f t="shared" si="2"/>
        <v>2417205</v>
      </c>
    </row>
    <row r="86" spans="2:20" x14ac:dyDescent="0.3">
      <c r="B86" s="32" t="s">
        <v>263</v>
      </c>
      <c r="C86" s="33" t="s">
        <v>267</v>
      </c>
      <c r="D86" s="54">
        <v>0</v>
      </c>
      <c r="E86" s="54">
        <v>0</v>
      </c>
      <c r="F86" s="54">
        <v>0</v>
      </c>
      <c r="G86" s="59">
        <f>SUM(Tabla14[[#This Row],[january]:[march]])</f>
        <v>0</v>
      </c>
      <c r="H86" s="54">
        <v>0</v>
      </c>
      <c r="I86" s="54">
        <v>0</v>
      </c>
      <c r="J86" s="54">
        <v>0</v>
      </c>
      <c r="K86" s="59">
        <f>SUM(Tabla14[[#This Row],[april]:[june]])</f>
        <v>0</v>
      </c>
      <c r="L86" s="54">
        <v>0</v>
      </c>
      <c r="M86" s="54">
        <v>0</v>
      </c>
      <c r="N86" s="54">
        <v>0</v>
      </c>
      <c r="O86" s="59">
        <f>SUM(Tabla14[[#This Row],[july]:[august]])</f>
        <v>0</v>
      </c>
      <c r="P86" s="54">
        <v>0</v>
      </c>
      <c r="Q86" s="54">
        <v>0</v>
      </c>
      <c r="R86" s="54">
        <v>0</v>
      </c>
      <c r="S86" s="59">
        <f>SUM(Tabla14[[#This Row],[october]:[december]])</f>
        <v>0</v>
      </c>
      <c r="T86" s="44">
        <f t="shared" si="2"/>
        <v>0</v>
      </c>
    </row>
    <row r="87" spans="2:20" x14ac:dyDescent="0.3">
      <c r="B87" s="35" t="s">
        <v>263</v>
      </c>
      <c r="C87" s="23" t="s">
        <v>268</v>
      </c>
      <c r="D87" s="55">
        <v>672350</v>
      </c>
      <c r="E87" s="55">
        <v>113050</v>
      </c>
      <c r="F87" s="55">
        <v>243950</v>
      </c>
      <c r="G87" s="60">
        <f>SUM(Tabla14[[#This Row],[january]:[march]])</f>
        <v>1029350</v>
      </c>
      <c r="H87" s="55">
        <v>249900</v>
      </c>
      <c r="I87" s="55">
        <v>220150</v>
      </c>
      <c r="J87" s="55">
        <v>809200</v>
      </c>
      <c r="K87" s="60">
        <f>SUM(Tabla14[[#This Row],[april]:[june]])</f>
        <v>1279250</v>
      </c>
      <c r="L87" s="55">
        <v>309400</v>
      </c>
      <c r="M87" s="55">
        <v>0</v>
      </c>
      <c r="N87" s="55">
        <v>452200</v>
      </c>
      <c r="O87" s="60">
        <f>SUM(Tabla14[[#This Row],[july]:[august]])</f>
        <v>309400</v>
      </c>
      <c r="P87" s="55">
        <v>172550</v>
      </c>
      <c r="Q87" s="55">
        <v>160650</v>
      </c>
      <c r="R87" s="55">
        <v>309400</v>
      </c>
      <c r="S87" s="60">
        <f>SUM(Tabla14[[#This Row],[october]:[december]])</f>
        <v>642600</v>
      </c>
      <c r="T87" s="44">
        <f t="shared" si="2"/>
        <v>3260600</v>
      </c>
    </row>
    <row r="88" spans="2:20" x14ac:dyDescent="0.3">
      <c r="B88" s="35" t="s">
        <v>263</v>
      </c>
      <c r="C88" s="23" t="s">
        <v>269</v>
      </c>
      <c r="D88" s="55">
        <v>1065784</v>
      </c>
      <c r="E88" s="55">
        <v>898778</v>
      </c>
      <c r="F88" s="55">
        <v>1277650</v>
      </c>
      <c r="G88" s="60">
        <f>SUM(Tabla14[[#This Row],[january]:[march]])</f>
        <v>3242212</v>
      </c>
      <c r="H88" s="55">
        <v>1028464</v>
      </c>
      <c r="I88" s="55">
        <v>871968</v>
      </c>
      <c r="J88" s="55">
        <v>1276417</v>
      </c>
      <c r="K88" s="60">
        <f>SUM(Tabla14[[#This Row],[april]:[june]])</f>
        <v>3176849</v>
      </c>
      <c r="L88" s="55">
        <v>1165488</v>
      </c>
      <c r="M88" s="55">
        <v>1142073</v>
      </c>
      <c r="N88" s="55">
        <v>987021</v>
      </c>
      <c r="O88" s="60">
        <f>SUM(Tabla14[[#This Row],[july]:[august]])</f>
        <v>2307561</v>
      </c>
      <c r="P88" s="55">
        <v>922218</v>
      </c>
      <c r="Q88" s="55">
        <v>1057818</v>
      </c>
      <c r="R88" s="55">
        <v>1450320</v>
      </c>
      <c r="S88" s="60">
        <f>SUM(Tabla14[[#This Row],[october]:[december]])</f>
        <v>3430356</v>
      </c>
      <c r="T88" s="44">
        <f t="shared" si="2"/>
        <v>12156978</v>
      </c>
    </row>
    <row r="89" spans="2:20" x14ac:dyDescent="0.3">
      <c r="B89" s="35" t="s">
        <v>263</v>
      </c>
      <c r="C89" s="23" t="s">
        <v>270</v>
      </c>
      <c r="D89" s="55">
        <v>112239</v>
      </c>
      <c r="E89" s="55">
        <v>973372</v>
      </c>
      <c r="F89" s="55">
        <v>72532</v>
      </c>
      <c r="G89" s="60">
        <f>SUM(Tabla14[[#This Row],[january]:[march]])</f>
        <v>1158143</v>
      </c>
      <c r="H89" s="55">
        <v>50371</v>
      </c>
      <c r="I89" s="55">
        <v>190149</v>
      </c>
      <c r="J89" s="55">
        <v>56316</v>
      </c>
      <c r="K89" s="60">
        <f>SUM(Tabla14[[#This Row],[april]:[june]])</f>
        <v>296836</v>
      </c>
      <c r="L89" s="55">
        <v>55496</v>
      </c>
      <c r="M89" s="55">
        <v>51759</v>
      </c>
      <c r="N89" s="55">
        <v>48750</v>
      </c>
      <c r="O89" s="60">
        <f>SUM(Tabla14[[#This Row],[july]:[august]])</f>
        <v>107255</v>
      </c>
      <c r="P89" s="55">
        <v>29881</v>
      </c>
      <c r="Q89" s="55">
        <v>44429</v>
      </c>
      <c r="R89" s="55">
        <v>2255172</v>
      </c>
      <c r="S89" s="60">
        <f>SUM(Tabla14[[#This Row],[october]:[december]])</f>
        <v>2329482</v>
      </c>
      <c r="T89" s="44">
        <f t="shared" si="2"/>
        <v>3891716</v>
      </c>
    </row>
    <row r="90" spans="2:20" x14ac:dyDescent="0.3">
      <c r="B90" s="35" t="s">
        <v>263</v>
      </c>
      <c r="C90" s="23" t="s">
        <v>271</v>
      </c>
      <c r="D90" s="55">
        <v>391761</v>
      </c>
      <c r="E90" s="55">
        <v>559956</v>
      </c>
      <c r="F90" s="55">
        <v>466630</v>
      </c>
      <c r="G90" s="60">
        <f>SUM(Tabla14[[#This Row],[january]:[march]])</f>
        <v>1418347</v>
      </c>
      <c r="H90" s="55">
        <v>373304</v>
      </c>
      <c r="I90" s="55">
        <v>466630</v>
      </c>
      <c r="J90" s="55">
        <v>419967</v>
      </c>
      <c r="K90" s="60">
        <f>SUM(Tabla14[[#This Row],[april]:[june]])</f>
        <v>1259901</v>
      </c>
      <c r="L90" s="55">
        <v>419967</v>
      </c>
      <c r="M90" s="55">
        <v>373304</v>
      </c>
      <c r="N90" s="55">
        <v>373304</v>
      </c>
      <c r="O90" s="60">
        <f>SUM(Tabla14[[#This Row],[july]:[august]])</f>
        <v>793271</v>
      </c>
      <c r="P90" s="55">
        <v>279978</v>
      </c>
      <c r="Q90" s="55">
        <v>279978</v>
      </c>
      <c r="R90" s="55">
        <v>559956</v>
      </c>
      <c r="S90" s="60">
        <f>SUM(Tabla14[[#This Row],[october]:[december]])</f>
        <v>1119912</v>
      </c>
      <c r="T90" s="44">
        <f t="shared" si="2"/>
        <v>4591431</v>
      </c>
    </row>
    <row r="91" spans="2:20" ht="14.5" thickBot="1" x14ac:dyDescent="0.35">
      <c r="B91" s="36" t="s">
        <v>263</v>
      </c>
      <c r="C91" s="37" t="s">
        <v>272</v>
      </c>
      <c r="D91" s="56">
        <v>911464</v>
      </c>
      <c r="E91" s="56">
        <v>683598</v>
      </c>
      <c r="F91" s="56">
        <v>1139330</v>
      </c>
      <c r="G91" s="61">
        <f>SUM(Tabla14[[#This Row],[january]:[march]])</f>
        <v>2734392</v>
      </c>
      <c r="H91" s="56">
        <v>683598</v>
      </c>
      <c r="I91" s="56">
        <v>1025397</v>
      </c>
      <c r="J91" s="56">
        <v>1113764</v>
      </c>
      <c r="K91" s="61">
        <f>SUM(Tabla14[[#This Row],[april]:[june]])</f>
        <v>2822759</v>
      </c>
      <c r="L91" s="56">
        <v>911464</v>
      </c>
      <c r="M91" s="56">
        <v>911464</v>
      </c>
      <c r="N91" s="56">
        <v>797531</v>
      </c>
      <c r="O91" s="61">
        <f>SUM(Tabla14[[#This Row],[july]:[august]])</f>
        <v>1822928</v>
      </c>
      <c r="P91" s="56">
        <v>683598</v>
      </c>
      <c r="Q91" s="56">
        <v>658032</v>
      </c>
      <c r="R91" s="56">
        <v>1923586</v>
      </c>
      <c r="S91" s="61">
        <f>SUM(Tabla14[[#This Row],[october]:[december]])</f>
        <v>3265216</v>
      </c>
      <c r="T91" s="44">
        <f t="shared" si="2"/>
        <v>10645295</v>
      </c>
    </row>
    <row r="92" spans="2:20" x14ac:dyDescent="0.3">
      <c r="B92" s="32" t="s">
        <v>264</v>
      </c>
      <c r="C92" s="33" t="s">
        <v>273</v>
      </c>
      <c r="D92" s="54">
        <v>341799</v>
      </c>
      <c r="E92" s="54">
        <v>0</v>
      </c>
      <c r="F92" s="54">
        <v>113933</v>
      </c>
      <c r="G92" s="59">
        <f>SUM(Tabla14[[#This Row],[january]:[march]])</f>
        <v>455732</v>
      </c>
      <c r="H92" s="54">
        <v>227866</v>
      </c>
      <c r="I92" s="54">
        <v>227866</v>
      </c>
      <c r="J92" s="54">
        <v>316233</v>
      </c>
      <c r="K92" s="59">
        <f>SUM(Tabla14[[#This Row],[april]:[june]])</f>
        <v>771965</v>
      </c>
      <c r="L92" s="54">
        <v>948699</v>
      </c>
      <c r="M92" s="54">
        <v>404600</v>
      </c>
      <c r="N92" s="54">
        <v>703866</v>
      </c>
      <c r="O92" s="59">
        <f>SUM(Tabla14[[#This Row],[july]:[august]])</f>
        <v>1353299</v>
      </c>
      <c r="P92" s="54">
        <v>316233</v>
      </c>
      <c r="Q92" s="54">
        <v>341799</v>
      </c>
      <c r="R92" s="54">
        <v>202300</v>
      </c>
      <c r="S92" s="59">
        <f>SUM(Tabla14[[#This Row],[october]:[december]])</f>
        <v>860332</v>
      </c>
      <c r="T92" s="44">
        <f t="shared" si="2"/>
        <v>3441328</v>
      </c>
    </row>
    <row r="93" spans="2:20" x14ac:dyDescent="0.3">
      <c r="B93" s="35" t="s">
        <v>264</v>
      </c>
      <c r="C93" s="23" t="s">
        <v>274</v>
      </c>
      <c r="D93" s="55">
        <v>368293</v>
      </c>
      <c r="E93" s="55">
        <v>0</v>
      </c>
      <c r="F93" s="55">
        <v>0</v>
      </c>
      <c r="G93" s="60">
        <f>SUM(Tabla14[[#This Row],[january]:[march]])</f>
        <v>368293</v>
      </c>
      <c r="H93" s="55">
        <v>208250</v>
      </c>
      <c r="I93" s="55">
        <v>214200</v>
      </c>
      <c r="J93" s="55">
        <v>214200</v>
      </c>
      <c r="K93" s="60">
        <f>SUM(Tabla14[[#This Row],[april]:[june]])</f>
        <v>636650</v>
      </c>
      <c r="L93" s="55">
        <v>1014387</v>
      </c>
      <c r="M93" s="55">
        <v>0</v>
      </c>
      <c r="N93" s="55">
        <v>172550</v>
      </c>
      <c r="O93" s="60">
        <f>SUM(Tabla14[[#This Row],[july]:[august]])</f>
        <v>1014387</v>
      </c>
      <c r="P93" s="55">
        <v>214200</v>
      </c>
      <c r="Q93" s="55">
        <v>428400</v>
      </c>
      <c r="R93" s="55">
        <v>238000</v>
      </c>
      <c r="S93" s="60">
        <f>SUM(Tabla14[[#This Row],[october]:[december]])</f>
        <v>880600</v>
      </c>
      <c r="T93" s="44">
        <f t="shared" si="2"/>
        <v>2899930</v>
      </c>
    </row>
    <row r="94" spans="2:20" x14ac:dyDescent="0.3">
      <c r="B94" s="35" t="s">
        <v>264</v>
      </c>
      <c r="C94" s="23" t="s">
        <v>275</v>
      </c>
      <c r="D94" s="55">
        <v>793563</v>
      </c>
      <c r="E94" s="55">
        <v>127765</v>
      </c>
      <c r="F94" s="55">
        <v>127765</v>
      </c>
      <c r="G94" s="60">
        <f>SUM(Tabla14[[#This Row],[january]:[march]])</f>
        <v>1049093</v>
      </c>
      <c r="H94" s="55">
        <v>703703</v>
      </c>
      <c r="I94" s="55">
        <v>379623</v>
      </c>
      <c r="J94" s="55">
        <v>630616</v>
      </c>
      <c r="K94" s="60">
        <f>SUM(Tabla14[[#This Row],[april]:[june]])</f>
        <v>1713942</v>
      </c>
      <c r="L94" s="55">
        <v>759139</v>
      </c>
      <c r="M94" s="55">
        <v>0</v>
      </c>
      <c r="N94" s="55">
        <v>455521</v>
      </c>
      <c r="O94" s="60">
        <f>SUM(Tabla14[[#This Row],[july]:[august]])</f>
        <v>759139</v>
      </c>
      <c r="P94" s="55">
        <v>797551</v>
      </c>
      <c r="Q94" s="55">
        <v>1263266</v>
      </c>
      <c r="R94" s="55">
        <v>382905</v>
      </c>
      <c r="S94" s="60">
        <f>SUM(Tabla14[[#This Row],[october]:[december]])</f>
        <v>2443722</v>
      </c>
      <c r="T94" s="44">
        <f t="shared" si="2"/>
        <v>5965896</v>
      </c>
    </row>
    <row r="95" spans="2:20" x14ac:dyDescent="0.3">
      <c r="B95" s="35" t="s">
        <v>264</v>
      </c>
      <c r="C95" s="23" t="s">
        <v>276</v>
      </c>
      <c r="D95" s="55">
        <v>578990</v>
      </c>
      <c r="E95" s="55">
        <v>0</v>
      </c>
      <c r="F95" s="55">
        <v>0</v>
      </c>
      <c r="G95" s="60">
        <f>SUM(Tabla14[[#This Row],[january]:[march]])</f>
        <v>578990</v>
      </c>
      <c r="H95" s="55">
        <v>146747</v>
      </c>
      <c r="I95" s="55">
        <v>472038</v>
      </c>
      <c r="J95" s="55">
        <v>367145</v>
      </c>
      <c r="K95" s="60">
        <f>SUM(Tabla14[[#This Row],[april]:[june]])</f>
        <v>985930</v>
      </c>
      <c r="L95" s="55">
        <v>774000</v>
      </c>
      <c r="M95" s="55">
        <v>286689</v>
      </c>
      <c r="N95" s="55">
        <v>943807</v>
      </c>
      <c r="O95" s="60">
        <f>SUM(Tabla14[[#This Row],[july]:[august]])</f>
        <v>1060689</v>
      </c>
      <c r="P95" s="55">
        <v>95449</v>
      </c>
      <c r="Q95" s="55">
        <v>465797</v>
      </c>
      <c r="R95" s="55">
        <v>344566</v>
      </c>
      <c r="S95" s="60">
        <f>SUM(Tabla14[[#This Row],[october]:[december]])</f>
        <v>905812</v>
      </c>
      <c r="T95" s="44">
        <f t="shared" si="2"/>
        <v>3531421</v>
      </c>
    </row>
    <row r="96" spans="2:20" x14ac:dyDescent="0.3">
      <c r="B96" s="35" t="s">
        <v>264</v>
      </c>
      <c r="C96" s="23" t="s">
        <v>277</v>
      </c>
      <c r="D96" s="55">
        <v>4694985</v>
      </c>
      <c r="E96" s="55">
        <v>0</v>
      </c>
      <c r="F96" s="55">
        <v>153933</v>
      </c>
      <c r="G96" s="60">
        <f>SUM(Tabla14[[#This Row],[january]:[march]])</f>
        <v>4848918</v>
      </c>
      <c r="H96" s="55">
        <v>1455850</v>
      </c>
      <c r="I96" s="55">
        <v>2516990</v>
      </c>
      <c r="J96" s="55">
        <v>1866878</v>
      </c>
      <c r="K96" s="60">
        <f>SUM(Tabla14[[#This Row],[april]:[june]])</f>
        <v>5839718</v>
      </c>
      <c r="L96" s="55">
        <v>1456498</v>
      </c>
      <c r="M96" s="55">
        <v>183886</v>
      </c>
      <c r="N96" s="55">
        <v>1889501</v>
      </c>
      <c r="O96" s="60">
        <f>SUM(Tabla14[[#This Row],[july]:[august]])</f>
        <v>1640384</v>
      </c>
      <c r="P96" s="55">
        <v>1326694</v>
      </c>
      <c r="Q96" s="55">
        <v>1727170</v>
      </c>
      <c r="R96" s="55">
        <v>2492710</v>
      </c>
      <c r="S96" s="60">
        <f>SUM(Tabla14[[#This Row],[october]:[december]])</f>
        <v>5546574</v>
      </c>
      <c r="T96" s="44">
        <f t="shared" si="2"/>
        <v>17875594</v>
      </c>
    </row>
    <row r="97" spans="2:20" ht="14.5" thickBot="1" x14ac:dyDescent="0.35">
      <c r="B97" s="36" t="s">
        <v>264</v>
      </c>
      <c r="C97" s="37" t="s">
        <v>278</v>
      </c>
      <c r="D97" s="56">
        <v>174116</v>
      </c>
      <c r="E97" s="56">
        <v>0</v>
      </c>
      <c r="F97" s="56">
        <v>46663</v>
      </c>
      <c r="G97" s="61">
        <f>SUM(Tabla14[[#This Row],[january]:[march]])</f>
        <v>220779</v>
      </c>
      <c r="H97" s="56">
        <v>93326</v>
      </c>
      <c r="I97" s="56">
        <v>139989</v>
      </c>
      <c r="J97" s="56">
        <v>93326</v>
      </c>
      <c r="K97" s="61">
        <f>SUM(Tabla14[[#This Row],[april]:[june]])</f>
        <v>326641</v>
      </c>
      <c r="L97" s="56">
        <v>279978</v>
      </c>
      <c r="M97" s="56">
        <v>93326</v>
      </c>
      <c r="N97" s="56">
        <v>186652</v>
      </c>
      <c r="O97" s="61">
        <f>SUM(Tabla14[[#This Row],[july]:[august]])</f>
        <v>373304</v>
      </c>
      <c r="P97" s="56">
        <v>93326</v>
      </c>
      <c r="Q97" s="56">
        <v>139989</v>
      </c>
      <c r="R97" s="56">
        <v>46663</v>
      </c>
      <c r="S97" s="61">
        <f>SUM(Tabla14[[#This Row],[october]:[december]])</f>
        <v>279978</v>
      </c>
      <c r="T97" s="44">
        <f t="shared" si="2"/>
        <v>1200702</v>
      </c>
    </row>
    <row r="98" spans="2:20" x14ac:dyDescent="0.3">
      <c r="B98" s="32" t="s">
        <v>265</v>
      </c>
      <c r="C98" s="33" t="s">
        <v>177</v>
      </c>
      <c r="D98" s="54">
        <v>1812195</v>
      </c>
      <c r="E98" s="54">
        <v>1594441</v>
      </c>
      <c r="F98" s="54">
        <v>1596923</v>
      </c>
      <c r="G98" s="59">
        <f>SUM(Tabla14[[#This Row],[january]:[march]])</f>
        <v>5003559</v>
      </c>
      <c r="H98" s="54">
        <v>1366480</v>
      </c>
      <c r="I98" s="54">
        <v>805633</v>
      </c>
      <c r="J98" s="54">
        <v>1269995</v>
      </c>
      <c r="K98" s="59">
        <f>SUM(Tabla14[[#This Row],[april]:[june]])</f>
        <v>3442108</v>
      </c>
      <c r="L98" s="54">
        <v>863933</v>
      </c>
      <c r="M98" s="54">
        <v>660143</v>
      </c>
      <c r="N98" s="54">
        <v>1227030</v>
      </c>
      <c r="O98" s="59">
        <f>SUM(Tabla14[[#This Row],[july]:[august]])</f>
        <v>1524076</v>
      </c>
      <c r="P98" s="54">
        <v>0</v>
      </c>
      <c r="Q98" s="54">
        <v>2534238</v>
      </c>
      <c r="R98" s="54">
        <v>1160505</v>
      </c>
      <c r="S98" s="59">
        <f>SUM(Tabla14[[#This Row],[october]:[december]])</f>
        <v>3694743</v>
      </c>
      <c r="T98" s="44">
        <f t="shared" si="2"/>
        <v>13664486</v>
      </c>
    </row>
    <row r="99" spans="2:20" x14ac:dyDescent="0.3">
      <c r="B99" s="35" t="s">
        <v>265</v>
      </c>
      <c r="C99" s="23" t="s">
        <v>178</v>
      </c>
      <c r="D99" s="55">
        <v>0</v>
      </c>
      <c r="E99" s="55">
        <v>496272</v>
      </c>
      <c r="F99" s="55">
        <v>130900</v>
      </c>
      <c r="G99" s="60">
        <f>SUM(Tabla14[[#This Row],[january]:[march]])</f>
        <v>627172</v>
      </c>
      <c r="H99" s="55">
        <v>920015</v>
      </c>
      <c r="I99" s="55">
        <v>0</v>
      </c>
      <c r="J99" s="55">
        <v>0</v>
      </c>
      <c r="K99" s="60">
        <f>SUM(Tabla14[[#This Row],[april]:[june]])</f>
        <v>920015</v>
      </c>
      <c r="L99" s="55">
        <v>0</v>
      </c>
      <c r="M99" s="55">
        <v>0</v>
      </c>
      <c r="N99" s="55">
        <v>87006</v>
      </c>
      <c r="O99" s="60">
        <f>SUM(Tabla14[[#This Row],[july]:[august]])</f>
        <v>0</v>
      </c>
      <c r="P99" s="55">
        <v>0</v>
      </c>
      <c r="Q99" s="55">
        <v>1525543</v>
      </c>
      <c r="R99" s="55">
        <v>0</v>
      </c>
      <c r="S99" s="60">
        <f>SUM(Tabla14[[#This Row],[october]:[december]])</f>
        <v>1525543</v>
      </c>
      <c r="T99" s="44">
        <f t="shared" si="2"/>
        <v>3072730</v>
      </c>
    </row>
    <row r="100" spans="2:20" x14ac:dyDescent="0.3">
      <c r="B100" s="35" t="s">
        <v>265</v>
      </c>
      <c r="C100" s="23" t="s">
        <v>179</v>
      </c>
      <c r="D100" s="55">
        <v>0</v>
      </c>
      <c r="E100" s="55">
        <v>152608</v>
      </c>
      <c r="F100" s="55">
        <v>0</v>
      </c>
      <c r="G100" s="60">
        <f>SUM(Tabla14[[#This Row],[january]:[march]])</f>
        <v>152608</v>
      </c>
      <c r="H100" s="55">
        <v>153917</v>
      </c>
      <c r="I100" s="55">
        <v>0</v>
      </c>
      <c r="J100" s="55">
        <v>0</v>
      </c>
      <c r="K100" s="60">
        <f>SUM(Tabla14[[#This Row],[april]:[june]])</f>
        <v>153917</v>
      </c>
      <c r="L100" s="55">
        <v>0</v>
      </c>
      <c r="M100" s="55">
        <v>0</v>
      </c>
      <c r="N100" s="55">
        <v>202300</v>
      </c>
      <c r="O100" s="60">
        <f>SUM(Tabla14[[#This Row],[july]:[august]])</f>
        <v>0</v>
      </c>
      <c r="P100" s="55">
        <v>0</v>
      </c>
      <c r="Q100" s="55">
        <v>0</v>
      </c>
      <c r="R100" s="55">
        <v>0</v>
      </c>
      <c r="S100" s="60">
        <f>SUM(Tabla14[[#This Row],[october]:[december]])</f>
        <v>0</v>
      </c>
      <c r="T100" s="44">
        <f t="shared" si="2"/>
        <v>306525</v>
      </c>
    </row>
    <row r="101" spans="2:20" x14ac:dyDescent="0.3">
      <c r="B101" s="35" t="s">
        <v>265</v>
      </c>
      <c r="C101" s="23" t="s">
        <v>180</v>
      </c>
      <c r="D101" s="55">
        <v>0</v>
      </c>
      <c r="E101" s="55">
        <v>3784668</v>
      </c>
      <c r="F101" s="55">
        <v>0</v>
      </c>
      <c r="G101" s="60">
        <f>SUM(Tabla14[[#This Row],[january]:[march]])</f>
        <v>3784668</v>
      </c>
      <c r="H101" s="55">
        <v>964987</v>
      </c>
      <c r="I101" s="55">
        <v>0</v>
      </c>
      <c r="J101" s="55">
        <v>0</v>
      </c>
      <c r="K101" s="60">
        <f>SUM(Tabla14[[#This Row],[april]:[june]])</f>
        <v>964987</v>
      </c>
      <c r="L101" s="55">
        <v>0</v>
      </c>
      <c r="M101" s="55">
        <v>0</v>
      </c>
      <c r="N101" s="55">
        <v>148477</v>
      </c>
      <c r="O101" s="60">
        <f>SUM(Tabla14[[#This Row],[july]:[august]])</f>
        <v>0</v>
      </c>
      <c r="P101" s="55">
        <v>0</v>
      </c>
      <c r="Q101" s="55">
        <v>0</v>
      </c>
      <c r="R101" s="55">
        <v>0</v>
      </c>
      <c r="S101" s="60">
        <f>SUM(Tabla14[[#This Row],[october]:[december]])</f>
        <v>0</v>
      </c>
      <c r="T101" s="44">
        <f t="shared" si="2"/>
        <v>4749655</v>
      </c>
    </row>
    <row r="102" spans="2:20" x14ac:dyDescent="0.3">
      <c r="B102" s="35" t="s">
        <v>265</v>
      </c>
      <c r="C102" s="23" t="s">
        <v>333</v>
      </c>
      <c r="D102" s="55">
        <v>1942662.841675651</v>
      </c>
      <c r="E102" s="55">
        <v>1942662.841675651</v>
      </c>
      <c r="F102" s="55">
        <v>2025756</v>
      </c>
      <c r="G102" s="60">
        <f>SUM(Tabla14[[#This Row],[january]:[march]])</f>
        <v>5911081.6833513025</v>
      </c>
      <c r="H102" s="55">
        <v>2038880</v>
      </c>
      <c r="I102" s="55">
        <v>2054358.5675750002</v>
      </c>
      <c r="J102" s="55">
        <v>2215285</v>
      </c>
      <c r="K102" s="60">
        <f>SUM(Tabla14[[#This Row],[april]:[june]])</f>
        <v>6308523.5675750002</v>
      </c>
      <c r="L102" s="55">
        <v>2241532</v>
      </c>
      <c r="M102" s="55">
        <v>2256929</v>
      </c>
      <c r="N102" s="55">
        <v>2254521</v>
      </c>
      <c r="O102" s="60">
        <f>SUM(Tabla14[[#This Row],[july]:[august]])</f>
        <v>4498461</v>
      </c>
      <c r="P102" s="55">
        <v>2453548</v>
      </c>
      <c r="Q102" s="55">
        <v>2336362</v>
      </c>
      <c r="R102" s="55">
        <v>2341495</v>
      </c>
      <c r="S102" s="60">
        <f>SUM(Tabla14[[#This Row],[october]:[december]])</f>
        <v>7131405</v>
      </c>
      <c r="T102" s="44">
        <f t="shared" ref="T102:T133" si="3">SUM(G102,K102,O102,S102)</f>
        <v>23849471.250926301</v>
      </c>
    </row>
    <row r="103" spans="2:20" x14ac:dyDescent="0.3">
      <c r="B103" s="35" t="s">
        <v>265</v>
      </c>
      <c r="C103" s="23" t="s">
        <v>182</v>
      </c>
      <c r="D103" s="55">
        <v>45650517</v>
      </c>
      <c r="E103" s="55">
        <v>9462662</v>
      </c>
      <c r="F103" s="55">
        <v>24051476</v>
      </c>
      <c r="G103" s="60">
        <f>SUM(Tabla14[[#This Row],[january]:[march]])</f>
        <v>79164655</v>
      </c>
      <c r="H103" s="55">
        <v>18711566</v>
      </c>
      <c r="I103" s="55">
        <v>31984947</v>
      </c>
      <c r="J103" s="55">
        <v>15005370</v>
      </c>
      <c r="K103" s="60">
        <f>SUM(Tabla14[[#This Row],[april]:[june]])</f>
        <v>65701883</v>
      </c>
      <c r="L103" s="55">
        <v>19918785</v>
      </c>
      <c r="M103" s="55">
        <v>22923721</v>
      </c>
      <c r="N103" s="55">
        <v>23283003</v>
      </c>
      <c r="O103" s="60">
        <f>SUM(Tabla14[[#This Row],[july]:[august]])</f>
        <v>42842506</v>
      </c>
      <c r="P103" s="55">
        <v>47097153</v>
      </c>
      <c r="Q103" s="55">
        <v>23663316</v>
      </c>
      <c r="R103" s="55">
        <v>37667600</v>
      </c>
      <c r="S103" s="60">
        <f>SUM(Tabla14[[#This Row],[october]:[december]])</f>
        <v>108428069</v>
      </c>
      <c r="T103" s="44">
        <f t="shared" si="3"/>
        <v>296137113</v>
      </c>
    </row>
    <row r="104" spans="2:20" x14ac:dyDescent="0.3">
      <c r="B104" s="35" t="s">
        <v>265</v>
      </c>
      <c r="C104" s="23" t="s">
        <v>334</v>
      </c>
      <c r="D104" s="55">
        <v>18470</v>
      </c>
      <c r="E104" s="55">
        <v>21378</v>
      </c>
      <c r="F104" s="55">
        <v>19147</v>
      </c>
      <c r="G104" s="60">
        <f>SUM(Tabla14[[#This Row],[january]:[march]])</f>
        <v>58995</v>
      </c>
      <c r="H104" s="55">
        <v>18470</v>
      </c>
      <c r="I104" s="55">
        <v>18802</v>
      </c>
      <c r="J104" s="55">
        <v>18017</v>
      </c>
      <c r="K104" s="60">
        <f>SUM(Tabla14[[#This Row],[april]:[june]])</f>
        <v>55289</v>
      </c>
      <c r="L104" s="55">
        <v>18093</v>
      </c>
      <c r="M104" s="55">
        <v>23006</v>
      </c>
      <c r="N104" s="55">
        <v>13938</v>
      </c>
      <c r="O104" s="60">
        <f>SUM(Tabla14[[#This Row],[july]:[august]])</f>
        <v>41099</v>
      </c>
      <c r="P104" s="55">
        <v>20966</v>
      </c>
      <c r="Q104" s="55">
        <v>19599</v>
      </c>
      <c r="R104" s="55">
        <v>20558</v>
      </c>
      <c r="S104" s="60">
        <f>SUM(Tabla14[[#This Row],[october]:[december]])</f>
        <v>61123</v>
      </c>
      <c r="T104" s="44">
        <f t="shared" si="3"/>
        <v>216506</v>
      </c>
    </row>
    <row r="105" spans="2:20" x14ac:dyDescent="0.3">
      <c r="B105" s="35" t="s">
        <v>265</v>
      </c>
      <c r="C105" s="23" t="s">
        <v>184</v>
      </c>
      <c r="D105" s="55">
        <v>41681</v>
      </c>
      <c r="E105" s="55">
        <v>41982</v>
      </c>
      <c r="F105" s="55">
        <v>42429</v>
      </c>
      <c r="G105" s="60">
        <f>SUM(Tabla14[[#This Row],[january]:[march]])</f>
        <v>126092</v>
      </c>
      <c r="H105" s="55">
        <v>42668</v>
      </c>
      <c r="I105" s="55">
        <v>43295</v>
      </c>
      <c r="J105" s="55">
        <v>43964</v>
      </c>
      <c r="K105" s="60">
        <f>SUM(Tabla14[[#This Row],[april]:[june]])</f>
        <v>129927</v>
      </c>
      <c r="L105" s="55">
        <v>44510</v>
      </c>
      <c r="M105" s="55">
        <v>44949</v>
      </c>
      <c r="N105" s="55">
        <v>45520</v>
      </c>
      <c r="O105" s="60">
        <f>SUM(Tabla14[[#This Row],[july]:[august]])</f>
        <v>89459</v>
      </c>
      <c r="P105" s="55">
        <v>46085</v>
      </c>
      <c r="Q105" s="55">
        <v>46541</v>
      </c>
      <c r="R105" s="55">
        <v>46819</v>
      </c>
      <c r="S105" s="60">
        <f>SUM(Tabla14[[#This Row],[october]:[december]])</f>
        <v>139445</v>
      </c>
      <c r="T105" s="44">
        <f t="shared" si="3"/>
        <v>484923</v>
      </c>
    </row>
    <row r="106" spans="2:20" x14ac:dyDescent="0.3">
      <c r="B106" s="35" t="s">
        <v>265</v>
      </c>
      <c r="C106" s="23" t="s">
        <v>335</v>
      </c>
      <c r="D106" s="55">
        <v>78233</v>
      </c>
      <c r="E106" s="55">
        <v>0</v>
      </c>
      <c r="F106" s="55">
        <v>39581</v>
      </c>
      <c r="G106" s="60">
        <f>SUM(Tabla14[[#This Row],[january]:[march]])</f>
        <v>117814</v>
      </c>
      <c r="H106" s="55">
        <v>67116</v>
      </c>
      <c r="I106" s="55">
        <v>2184</v>
      </c>
      <c r="J106" s="55">
        <v>45197</v>
      </c>
      <c r="K106" s="60">
        <f>SUM(Tabla14[[#This Row],[april]:[june]])</f>
        <v>114497</v>
      </c>
      <c r="L106" s="55">
        <v>36887</v>
      </c>
      <c r="M106" s="55">
        <v>24773</v>
      </c>
      <c r="N106" s="55">
        <v>21232</v>
      </c>
      <c r="O106" s="60">
        <f>SUM(Tabla14[[#This Row],[july]:[august]])</f>
        <v>61660</v>
      </c>
      <c r="P106" s="55">
        <v>67028</v>
      </c>
      <c r="Q106" s="55">
        <v>43850</v>
      </c>
      <c r="R106" s="55">
        <v>118422</v>
      </c>
      <c r="S106" s="60">
        <f>SUM(Tabla14[[#This Row],[october]:[december]])</f>
        <v>229300</v>
      </c>
      <c r="T106" s="44">
        <f t="shared" si="3"/>
        <v>523271</v>
      </c>
    </row>
    <row r="107" spans="2:20" x14ac:dyDescent="0.3">
      <c r="B107" s="35" t="s">
        <v>265</v>
      </c>
      <c r="C107" s="23" t="s">
        <v>336</v>
      </c>
      <c r="D107" s="55">
        <v>569801</v>
      </c>
      <c r="E107" s="55">
        <v>569801</v>
      </c>
      <c r="F107" s="55">
        <v>569801</v>
      </c>
      <c r="G107" s="60">
        <f>SUM(Tabla14[[#This Row],[january]:[march]])</f>
        <v>1709403</v>
      </c>
      <c r="H107" s="55">
        <v>569801</v>
      </c>
      <c r="I107" s="55">
        <v>0</v>
      </c>
      <c r="J107" s="55">
        <v>0</v>
      </c>
      <c r="K107" s="60">
        <f>SUM(Tabla14[[#This Row],[april]:[june]])</f>
        <v>569801</v>
      </c>
      <c r="L107" s="55">
        <v>99260</v>
      </c>
      <c r="M107" s="55">
        <v>315280</v>
      </c>
      <c r="N107" s="55">
        <v>642359</v>
      </c>
      <c r="O107" s="60">
        <f>SUM(Tabla14[[#This Row],[july]:[august]])</f>
        <v>414540</v>
      </c>
      <c r="P107" s="55">
        <v>0</v>
      </c>
      <c r="Q107" s="55">
        <v>0</v>
      </c>
      <c r="R107" s="55">
        <v>0</v>
      </c>
      <c r="S107" s="60">
        <f>SUM(Tabla14[[#This Row],[october]:[december]])</f>
        <v>0</v>
      </c>
      <c r="T107" s="44">
        <f t="shared" si="3"/>
        <v>2693744</v>
      </c>
    </row>
    <row r="108" spans="2:20" x14ac:dyDescent="0.3">
      <c r="B108" s="35" t="s">
        <v>265</v>
      </c>
      <c r="C108" s="23" t="s">
        <v>187</v>
      </c>
      <c r="D108" s="55">
        <v>715410</v>
      </c>
      <c r="E108" s="55">
        <v>1709402</v>
      </c>
      <c r="F108" s="55">
        <v>0</v>
      </c>
      <c r="G108" s="60">
        <f>SUM(Tabla14[[#This Row],[january]:[march]])</f>
        <v>2424812</v>
      </c>
      <c r="H108" s="55">
        <v>0</v>
      </c>
      <c r="I108" s="55">
        <v>0</v>
      </c>
      <c r="J108" s="55">
        <v>0</v>
      </c>
      <c r="K108" s="60">
        <f>SUM(Tabla14[[#This Row],[april]:[june]])</f>
        <v>0</v>
      </c>
      <c r="L108" s="55">
        <v>0</v>
      </c>
      <c r="M108" s="55">
        <v>0</v>
      </c>
      <c r="N108" s="55">
        <v>0</v>
      </c>
      <c r="O108" s="60">
        <f>SUM(Tabla14[[#This Row],[july]:[august]])</f>
        <v>0</v>
      </c>
      <c r="P108" s="55">
        <v>0</v>
      </c>
      <c r="Q108" s="55">
        <v>0</v>
      </c>
      <c r="R108" s="55">
        <v>0</v>
      </c>
      <c r="S108" s="60">
        <f>SUM(Tabla14[[#This Row],[october]:[december]])</f>
        <v>0</v>
      </c>
      <c r="T108" s="44">
        <f t="shared" si="3"/>
        <v>2424812</v>
      </c>
    </row>
    <row r="109" spans="2:20" x14ac:dyDescent="0.3">
      <c r="B109" s="35" t="s">
        <v>265</v>
      </c>
      <c r="C109" s="23" t="s">
        <v>188</v>
      </c>
      <c r="D109" s="55">
        <v>392211</v>
      </c>
      <c r="E109" s="55">
        <v>0</v>
      </c>
      <c r="F109" s="55">
        <v>2957198</v>
      </c>
      <c r="G109" s="60">
        <f>SUM(Tabla14[[#This Row],[january]:[march]])</f>
        <v>3349409</v>
      </c>
      <c r="H109" s="55">
        <v>815653</v>
      </c>
      <c r="I109" s="55">
        <v>3951104</v>
      </c>
      <c r="J109" s="55">
        <v>120590</v>
      </c>
      <c r="K109" s="60">
        <f>SUM(Tabla14[[#This Row],[april]:[june]])</f>
        <v>4887347</v>
      </c>
      <c r="L109" s="55">
        <v>2250547</v>
      </c>
      <c r="M109" s="55">
        <v>45000</v>
      </c>
      <c r="N109" s="55">
        <v>311973</v>
      </c>
      <c r="O109" s="60">
        <f>SUM(Tabla14[[#This Row],[july]:[august]])</f>
        <v>2295547</v>
      </c>
      <c r="P109" s="55">
        <v>2799275.8</v>
      </c>
      <c r="Q109" s="55">
        <v>2549614</v>
      </c>
      <c r="R109" s="55">
        <v>380550</v>
      </c>
      <c r="S109" s="60">
        <f>SUM(Tabla14[[#This Row],[october]:[december]])</f>
        <v>5729439.7999999998</v>
      </c>
      <c r="T109" s="44">
        <f t="shared" si="3"/>
        <v>16261742.800000001</v>
      </c>
    </row>
    <row r="110" spans="2:20" x14ac:dyDescent="0.3">
      <c r="B110" s="35" t="s">
        <v>265</v>
      </c>
      <c r="C110" s="23" t="s">
        <v>189</v>
      </c>
      <c r="D110" s="55">
        <v>24323</v>
      </c>
      <c r="E110" s="55">
        <v>24353</v>
      </c>
      <c r="F110" s="55">
        <v>24353</v>
      </c>
      <c r="G110" s="60">
        <f>SUM(Tabla14[[#This Row],[january]:[march]])</f>
        <v>73029</v>
      </c>
      <c r="H110" s="55">
        <v>24353</v>
      </c>
      <c r="I110" s="55">
        <v>24353</v>
      </c>
      <c r="J110" s="55">
        <v>24353</v>
      </c>
      <c r="K110" s="60">
        <f>SUM(Tabla14[[#This Row],[april]:[june]])</f>
        <v>73059</v>
      </c>
      <c r="L110" s="55">
        <v>24353</v>
      </c>
      <c r="M110" s="55">
        <v>24353</v>
      </c>
      <c r="N110" s="55">
        <v>24353</v>
      </c>
      <c r="O110" s="60">
        <f>SUM(Tabla14[[#This Row],[july]:[august]])</f>
        <v>48706</v>
      </c>
      <c r="P110" s="55">
        <v>24789</v>
      </c>
      <c r="Q110" s="55">
        <v>24353</v>
      </c>
      <c r="R110" s="55">
        <v>24353</v>
      </c>
      <c r="S110" s="60">
        <f>SUM(Tabla14[[#This Row],[october]:[december]])</f>
        <v>73495</v>
      </c>
      <c r="T110" s="44">
        <f t="shared" si="3"/>
        <v>268289</v>
      </c>
    </row>
    <row r="111" spans="2:20" x14ac:dyDescent="0.3">
      <c r="B111" s="35" t="s">
        <v>265</v>
      </c>
      <c r="C111" s="23" t="s">
        <v>190</v>
      </c>
      <c r="D111" s="55">
        <v>4100000</v>
      </c>
      <c r="E111" s="55">
        <v>3800000</v>
      </c>
      <c r="F111" s="55">
        <v>3800000</v>
      </c>
      <c r="G111" s="60">
        <f>SUM(Tabla14[[#This Row],[january]:[march]])</f>
        <v>11700000</v>
      </c>
      <c r="H111" s="55">
        <v>4200000</v>
      </c>
      <c r="I111" s="55">
        <v>4200000</v>
      </c>
      <c r="J111" s="55">
        <v>3889500</v>
      </c>
      <c r="K111" s="60">
        <f>SUM(Tabla14[[#This Row],[april]:[june]])</f>
        <v>12289500</v>
      </c>
      <c r="L111" s="55">
        <v>4200000</v>
      </c>
      <c r="M111" s="55">
        <v>4200000</v>
      </c>
      <c r="N111" s="55">
        <v>4200000</v>
      </c>
      <c r="O111" s="60">
        <f>SUM(Tabla14[[#This Row],[july]:[august]])</f>
        <v>8400000</v>
      </c>
      <c r="P111" s="55">
        <v>0</v>
      </c>
      <c r="Q111" s="55">
        <v>0</v>
      </c>
      <c r="R111" s="55">
        <v>0</v>
      </c>
      <c r="S111" s="60">
        <f>SUM(Tabla14[[#This Row],[october]:[december]])</f>
        <v>0</v>
      </c>
      <c r="T111" s="44">
        <f t="shared" si="3"/>
        <v>32389500</v>
      </c>
    </row>
    <row r="112" spans="2:20" x14ac:dyDescent="0.3">
      <c r="B112" s="35" t="s">
        <v>265</v>
      </c>
      <c r="C112" s="23" t="s">
        <v>191</v>
      </c>
      <c r="D112" s="55">
        <v>0</v>
      </c>
      <c r="E112" s="55">
        <v>0</v>
      </c>
      <c r="F112" s="55">
        <v>0</v>
      </c>
      <c r="G112" s="60">
        <f>SUM(Tabla14[[#This Row],[january]:[march]])</f>
        <v>0</v>
      </c>
      <c r="H112" s="55">
        <v>0</v>
      </c>
      <c r="I112" s="55">
        <v>0</v>
      </c>
      <c r="J112" s="55">
        <v>10806196</v>
      </c>
      <c r="K112" s="60">
        <f>SUM(Tabla14[[#This Row],[april]:[june]])</f>
        <v>10806196</v>
      </c>
      <c r="L112" s="55">
        <v>6283187</v>
      </c>
      <c r="M112" s="55">
        <v>0</v>
      </c>
      <c r="N112" s="55">
        <v>0</v>
      </c>
      <c r="O112" s="60">
        <f>SUM(Tabla14[[#This Row],[july]:[august]])</f>
        <v>6283187</v>
      </c>
      <c r="P112" s="55">
        <v>9076892</v>
      </c>
      <c r="Q112" s="55">
        <v>8985393</v>
      </c>
      <c r="R112" s="55">
        <v>12265841</v>
      </c>
      <c r="S112" s="60">
        <f>SUM(Tabla14[[#This Row],[october]:[december]])</f>
        <v>30328126</v>
      </c>
      <c r="T112" s="44">
        <f t="shared" si="3"/>
        <v>47417509</v>
      </c>
    </row>
    <row r="113" spans="2:20" x14ac:dyDescent="0.3">
      <c r="B113" s="35" t="s">
        <v>265</v>
      </c>
      <c r="C113" s="23" t="s">
        <v>196</v>
      </c>
      <c r="D113" s="55">
        <v>510000.00000000006</v>
      </c>
      <c r="E113" s="55">
        <v>509694.00000000006</v>
      </c>
      <c r="F113" s="55">
        <v>247578.88</v>
      </c>
      <c r="G113" s="60">
        <f>SUM(Tabla14[[#This Row],[january]:[march]])</f>
        <v>1267272.8800000001</v>
      </c>
      <c r="H113" s="55">
        <v>515164.60000000003</v>
      </c>
      <c r="I113" s="55">
        <v>541071.122768</v>
      </c>
      <c r="J113" s="55">
        <v>541071.24</v>
      </c>
      <c r="K113" s="60">
        <f>SUM(Tabla14[[#This Row],[april]:[june]])</f>
        <v>1597306.9627680001</v>
      </c>
      <c r="L113" s="55">
        <v>599635.13778800005</v>
      </c>
      <c r="M113" s="55">
        <v>586433.33966800012</v>
      </c>
      <c r="N113" s="55">
        <v>548366.59198400006</v>
      </c>
      <c r="O113" s="60">
        <f>SUM(Tabla14[[#This Row],[july]:[august]])</f>
        <v>1186068.4774560002</v>
      </c>
      <c r="P113" s="55">
        <v>684246.23198400007</v>
      </c>
      <c r="Q113" s="55">
        <v>548366.59198400006</v>
      </c>
      <c r="R113" s="55">
        <v>847219.88330800005</v>
      </c>
      <c r="S113" s="60">
        <f>SUM(Tabla14[[#This Row],[october]:[december]])</f>
        <v>2079832.7072760002</v>
      </c>
      <c r="T113" s="44">
        <f t="shared" si="3"/>
        <v>6130481.0275000008</v>
      </c>
    </row>
    <row r="114" spans="2:20" x14ac:dyDescent="0.3">
      <c r="B114" s="35" t="s">
        <v>265</v>
      </c>
      <c r="C114" s="23" t="s">
        <v>193</v>
      </c>
      <c r="D114" s="55">
        <v>1624793</v>
      </c>
      <c r="E114" s="55">
        <v>1509874</v>
      </c>
      <c r="F114" s="55">
        <v>1625474</v>
      </c>
      <c r="G114" s="60">
        <f>SUM(Tabla14[[#This Row],[january]:[march]])</f>
        <v>4760141</v>
      </c>
      <c r="H114" s="55">
        <v>1678280.44</v>
      </c>
      <c r="I114" s="55">
        <v>1813849.69</v>
      </c>
      <c r="J114" s="55">
        <v>1761044</v>
      </c>
      <c r="K114" s="60">
        <f>SUM(Tabla14[[#This Row],[april]:[june]])</f>
        <v>5253174.13</v>
      </c>
      <c r="L114" s="55">
        <v>1657462.69</v>
      </c>
      <c r="M114" s="55">
        <v>1765443.6483999998</v>
      </c>
      <c r="N114" s="55">
        <v>1663893.6483999998</v>
      </c>
      <c r="O114" s="60">
        <f>SUM(Tabla14[[#This Row],[july]:[august]])</f>
        <v>3422906.3383999998</v>
      </c>
      <c r="P114" s="55">
        <v>1982760.6483999998</v>
      </c>
      <c r="Q114" s="55">
        <v>1551707.6483999998</v>
      </c>
      <c r="R114" s="55">
        <v>2017089.8344000001</v>
      </c>
      <c r="S114" s="60">
        <f>SUM(Tabla14[[#This Row],[october]:[december]])</f>
        <v>5551558.1311999997</v>
      </c>
      <c r="T114" s="44">
        <f t="shared" si="3"/>
        <v>18987779.599599998</v>
      </c>
    </row>
    <row r="115" spans="2:20" x14ac:dyDescent="0.3">
      <c r="B115" s="35" t="s">
        <v>265</v>
      </c>
      <c r="C115" s="23" t="s">
        <v>195</v>
      </c>
      <c r="D115" s="55">
        <v>603000</v>
      </c>
      <c r="E115" s="55">
        <v>736876.72000000009</v>
      </c>
      <c r="F115" s="55">
        <v>734681.13</v>
      </c>
      <c r="G115" s="60">
        <f>SUM(Tabla14[[#This Row],[january]:[march]])</f>
        <v>2074557.85</v>
      </c>
      <c r="H115" s="55">
        <v>734742.10000000009</v>
      </c>
      <c r="I115" s="55">
        <v>672576.57388220006</v>
      </c>
      <c r="J115" s="55">
        <v>775602.72000000009</v>
      </c>
      <c r="K115" s="60">
        <f>SUM(Tabla14[[#This Row],[april]:[june]])</f>
        <v>2182921.3938822001</v>
      </c>
      <c r="L115" s="55">
        <v>775257.13989600004</v>
      </c>
      <c r="M115" s="55">
        <v>779212.73360000015</v>
      </c>
      <c r="N115" s="55">
        <v>762352.86941200006</v>
      </c>
      <c r="O115" s="60">
        <f>SUM(Tabla14[[#This Row],[july]:[august]])</f>
        <v>1554469.8734960002</v>
      </c>
      <c r="P115" s="55">
        <v>509448.62359999999</v>
      </c>
      <c r="Q115" s="55">
        <v>760405.16360000009</v>
      </c>
      <c r="R115" s="55">
        <v>1062071.3236</v>
      </c>
      <c r="S115" s="60">
        <f>SUM(Tabla14[[#This Row],[october]:[december]])</f>
        <v>2331925.1107999999</v>
      </c>
      <c r="T115" s="44">
        <f t="shared" si="3"/>
        <v>8143874.2281781994</v>
      </c>
    </row>
    <row r="116" spans="2:20" x14ac:dyDescent="0.3">
      <c r="B116" s="35" t="s">
        <v>265</v>
      </c>
      <c r="C116" s="23" t="s">
        <v>197</v>
      </c>
      <c r="D116" s="55">
        <v>800000</v>
      </c>
      <c r="E116" s="55">
        <v>799195</v>
      </c>
      <c r="F116" s="55">
        <v>799195</v>
      </c>
      <c r="G116" s="60">
        <f>SUM(Tabla14[[#This Row],[january]:[march]])</f>
        <v>2398390</v>
      </c>
      <c r="H116" s="55">
        <v>799194.83400000003</v>
      </c>
      <c r="I116" s="55">
        <v>857586.08400000003</v>
      </c>
      <c r="J116" s="55">
        <v>857586</v>
      </c>
      <c r="K116" s="60">
        <f>SUM(Tabla14[[#This Row],[april]:[june]])</f>
        <v>2514366.9180000001</v>
      </c>
      <c r="L116" s="55">
        <v>857586.08400000003</v>
      </c>
      <c r="M116" s="55">
        <v>878376.21239999996</v>
      </c>
      <c r="N116" s="55">
        <v>868803.70319999999</v>
      </c>
      <c r="O116" s="60">
        <f>SUM(Tabla14[[#This Row],[july]:[august]])</f>
        <v>1735962.2963999999</v>
      </c>
      <c r="P116" s="55">
        <v>1061800.0423999999</v>
      </c>
      <c r="Q116" s="55">
        <v>864017.04239999992</v>
      </c>
      <c r="R116" s="55">
        <v>1270217.0423999999</v>
      </c>
      <c r="S116" s="60">
        <f>SUM(Tabla14[[#This Row],[october]:[december]])</f>
        <v>3196034.1272</v>
      </c>
      <c r="T116" s="44">
        <f t="shared" si="3"/>
        <v>9844753.341599999</v>
      </c>
    </row>
    <row r="117" spans="2:20" x14ac:dyDescent="0.3">
      <c r="B117" s="35" t="s">
        <v>265</v>
      </c>
      <c r="C117" s="23" t="s">
        <v>194</v>
      </c>
      <c r="D117" s="55">
        <v>60000</v>
      </c>
      <c r="E117" s="55">
        <v>54000</v>
      </c>
      <c r="F117" s="55">
        <v>72185.2</v>
      </c>
      <c r="G117" s="60">
        <f>SUM(Tabla14[[#This Row],[january]:[march]])</f>
        <v>186185.2</v>
      </c>
      <c r="H117" s="55">
        <v>38000.1</v>
      </c>
      <c r="I117" s="55">
        <v>65113.747450000003</v>
      </c>
      <c r="J117" s="55">
        <v>86853.1</v>
      </c>
      <c r="K117" s="60">
        <f>SUM(Tabla14[[#This Row],[april]:[june]])</f>
        <v>189966.94745000001</v>
      </c>
      <c r="L117" s="55">
        <v>67685.636419999995</v>
      </c>
      <c r="M117" s="55">
        <v>67257.06326000001</v>
      </c>
      <c r="N117" s="55">
        <v>65113.788359999999</v>
      </c>
      <c r="O117" s="60">
        <f>SUM(Tabla14[[#This Row],[july]:[august]])</f>
        <v>134942.69968000002</v>
      </c>
      <c r="P117" s="55">
        <v>66139.254920000007</v>
      </c>
      <c r="Q117" s="55">
        <v>67165.085120000003</v>
      </c>
      <c r="R117" s="55">
        <v>115167.91713999999</v>
      </c>
      <c r="S117" s="60">
        <f>SUM(Tabla14[[#This Row],[october]:[december]])</f>
        <v>248472.25718000002</v>
      </c>
      <c r="T117" s="44">
        <f t="shared" si="3"/>
        <v>759567.10431000008</v>
      </c>
    </row>
    <row r="118" spans="2:20" x14ac:dyDescent="0.3">
      <c r="B118" s="35" t="s">
        <v>265</v>
      </c>
      <c r="C118" s="23" t="s">
        <v>337</v>
      </c>
      <c r="D118" s="55">
        <v>1332160</v>
      </c>
      <c r="E118" s="55">
        <v>1296000</v>
      </c>
      <c r="F118" s="55">
        <v>0</v>
      </c>
      <c r="G118" s="60">
        <f>SUM(Tabla14[[#This Row],[january]:[march]])</f>
        <v>2628160</v>
      </c>
      <c r="H118" s="55">
        <v>0</v>
      </c>
      <c r="I118" s="55">
        <v>0</v>
      </c>
      <c r="J118" s="55">
        <v>1401810</v>
      </c>
      <c r="K118" s="60">
        <f>SUM(Tabla14[[#This Row],[april]:[june]])</f>
        <v>1401810</v>
      </c>
      <c r="L118" s="55">
        <v>1082546</v>
      </c>
      <c r="M118" s="55">
        <v>1158170</v>
      </c>
      <c r="N118" s="55">
        <v>1632408</v>
      </c>
      <c r="O118" s="60">
        <f>SUM(Tabla14[[#This Row],[july]:[august]])</f>
        <v>2240716</v>
      </c>
      <c r="P118" s="55">
        <v>1259153</v>
      </c>
      <c r="Q118" s="55">
        <v>1350140</v>
      </c>
      <c r="R118" s="55">
        <v>0</v>
      </c>
      <c r="S118" s="60">
        <f>SUM(Tabla14[[#This Row],[october]:[december]])</f>
        <v>2609293</v>
      </c>
      <c r="T118" s="44">
        <f t="shared" si="3"/>
        <v>8879979</v>
      </c>
    </row>
    <row r="119" spans="2:20" x14ac:dyDescent="0.3">
      <c r="B119" s="35" t="s">
        <v>265</v>
      </c>
      <c r="C119" s="23" t="s">
        <v>198</v>
      </c>
      <c r="D119" s="55">
        <v>3886057</v>
      </c>
      <c r="E119" s="55">
        <v>3882482.6</v>
      </c>
      <c r="F119" s="55">
        <v>3879144.3000000003</v>
      </c>
      <c r="G119" s="60">
        <f>SUM(Tabla14[[#This Row],[january]:[march]])</f>
        <v>11647683.9</v>
      </c>
      <c r="H119" s="55">
        <v>3872614.5</v>
      </c>
      <c r="I119" s="55">
        <v>4149479.0015428797</v>
      </c>
      <c r="J119" s="55">
        <v>4142712.1</v>
      </c>
      <c r="K119" s="60">
        <f>SUM(Tabla14[[#This Row],[april]:[june]])</f>
        <v>12164805.601542879</v>
      </c>
      <c r="L119" s="55">
        <v>2643271.2817600002</v>
      </c>
      <c r="M119" s="55">
        <v>3687933.54623</v>
      </c>
      <c r="N119" s="55">
        <v>4131896.5204400001</v>
      </c>
      <c r="O119" s="60">
        <f>SUM(Tabla14[[#This Row],[july]:[august]])</f>
        <v>6331204.8279900001</v>
      </c>
      <c r="P119" s="55">
        <v>3508578.87433</v>
      </c>
      <c r="Q119" s="55">
        <v>4104371.3657099996</v>
      </c>
      <c r="R119" s="55">
        <v>4522628.3695200002</v>
      </c>
      <c r="S119" s="60">
        <f>SUM(Tabla14[[#This Row],[october]:[december]])</f>
        <v>12135578.60956</v>
      </c>
      <c r="T119" s="44">
        <f t="shared" si="3"/>
        <v>42279272.939092882</v>
      </c>
    </row>
    <row r="120" spans="2:20" x14ac:dyDescent="0.3">
      <c r="B120" s="35" t="s">
        <v>265</v>
      </c>
      <c r="C120" s="23" t="s">
        <v>338</v>
      </c>
      <c r="D120" s="55">
        <v>0</v>
      </c>
      <c r="E120" s="55">
        <v>1498207</v>
      </c>
      <c r="F120" s="55">
        <v>1519844</v>
      </c>
      <c r="G120" s="60">
        <f>SUM(Tabla14[[#This Row],[january]:[march]])</f>
        <v>3018051</v>
      </c>
      <c r="H120" s="55">
        <v>1523078</v>
      </c>
      <c r="I120" s="55">
        <v>482042</v>
      </c>
      <c r="J120" s="55">
        <v>611573</v>
      </c>
      <c r="K120" s="60">
        <f>SUM(Tabla14[[#This Row],[april]:[june]])</f>
        <v>2616693</v>
      </c>
      <c r="L120" s="55">
        <v>997680</v>
      </c>
      <c r="M120" s="55">
        <v>507093</v>
      </c>
      <c r="N120" s="55">
        <v>511834</v>
      </c>
      <c r="O120" s="60">
        <f>SUM(Tabla14[[#This Row],[july]:[august]])</f>
        <v>1504773</v>
      </c>
      <c r="P120" s="55">
        <v>0</v>
      </c>
      <c r="Q120" s="55">
        <v>519756</v>
      </c>
      <c r="R120" s="55">
        <v>1048687</v>
      </c>
      <c r="S120" s="60">
        <f>SUM(Tabla14[[#This Row],[october]:[december]])</f>
        <v>1568443</v>
      </c>
      <c r="T120" s="44">
        <f t="shared" si="3"/>
        <v>8707960</v>
      </c>
    </row>
    <row r="121" spans="2:20" x14ac:dyDescent="0.3">
      <c r="B121" s="35" t="s">
        <v>265</v>
      </c>
      <c r="C121" s="23" t="s">
        <v>202</v>
      </c>
      <c r="D121" s="55">
        <v>0</v>
      </c>
      <c r="E121" s="55">
        <v>0</v>
      </c>
      <c r="F121" s="55">
        <v>68824</v>
      </c>
      <c r="G121" s="60">
        <f>SUM(Tabla14[[#This Row],[january]:[march]])</f>
        <v>68824</v>
      </c>
      <c r="H121" s="55">
        <v>340545</v>
      </c>
      <c r="I121" s="55">
        <v>0</v>
      </c>
      <c r="J121" s="55">
        <v>500508</v>
      </c>
      <c r="K121" s="60">
        <f>SUM(Tabla14[[#This Row],[april]:[june]])</f>
        <v>841053</v>
      </c>
      <c r="L121" s="55">
        <v>2362372</v>
      </c>
      <c r="M121" s="55">
        <v>1114829.25</v>
      </c>
      <c r="N121" s="55">
        <v>1963742</v>
      </c>
      <c r="O121" s="60">
        <f>SUM(Tabla14[[#This Row],[july]:[august]])</f>
        <v>3477201.25</v>
      </c>
      <c r="P121" s="55">
        <v>2119354</v>
      </c>
      <c r="Q121" s="55">
        <v>744031</v>
      </c>
      <c r="R121" s="55">
        <v>3670868</v>
      </c>
      <c r="S121" s="60">
        <f>SUM(Tabla14[[#This Row],[october]:[december]])</f>
        <v>6534253</v>
      </c>
      <c r="T121" s="44">
        <f t="shared" si="3"/>
        <v>10921331.25</v>
      </c>
    </row>
    <row r="122" spans="2:20" x14ac:dyDescent="0.3">
      <c r="B122" s="35" t="s">
        <v>265</v>
      </c>
      <c r="C122" s="23" t="s">
        <v>203</v>
      </c>
      <c r="D122" s="55">
        <v>0</v>
      </c>
      <c r="E122" s="55">
        <v>0</v>
      </c>
      <c r="F122" s="55">
        <v>0</v>
      </c>
      <c r="G122" s="60">
        <f>SUM(Tabla14[[#This Row],[january]:[march]])</f>
        <v>0</v>
      </c>
      <c r="H122" s="55">
        <v>1416178</v>
      </c>
      <c r="I122" s="55">
        <v>234201</v>
      </c>
      <c r="J122" s="55">
        <v>0</v>
      </c>
      <c r="K122" s="60">
        <f>SUM(Tabla14[[#This Row],[april]:[june]])</f>
        <v>1650379</v>
      </c>
      <c r="L122" s="55">
        <v>0</v>
      </c>
      <c r="M122" s="55">
        <v>0</v>
      </c>
      <c r="N122" s="55">
        <v>938140</v>
      </c>
      <c r="O122" s="60">
        <f>SUM(Tabla14[[#This Row],[july]:[august]])</f>
        <v>0</v>
      </c>
      <c r="P122" s="55">
        <v>842210</v>
      </c>
      <c r="Q122" s="55">
        <v>129855</v>
      </c>
      <c r="R122" s="55">
        <v>1915059</v>
      </c>
      <c r="S122" s="60">
        <f>SUM(Tabla14[[#This Row],[october]:[december]])</f>
        <v>2887124</v>
      </c>
      <c r="T122" s="44">
        <f t="shared" si="3"/>
        <v>4537503</v>
      </c>
    </row>
    <row r="123" spans="2:20" x14ac:dyDescent="0.3">
      <c r="B123" s="35" t="s">
        <v>265</v>
      </c>
      <c r="C123" s="23" t="s">
        <v>204</v>
      </c>
      <c r="D123" s="55">
        <v>78524</v>
      </c>
      <c r="E123" s="55">
        <v>0</v>
      </c>
      <c r="F123" s="55">
        <v>2313022</v>
      </c>
      <c r="G123" s="60">
        <f>SUM(Tabla14[[#This Row],[january]:[march]])</f>
        <v>2391546</v>
      </c>
      <c r="H123" s="55">
        <v>352870</v>
      </c>
      <c r="I123" s="55">
        <v>5237128</v>
      </c>
      <c r="J123" s="55">
        <v>0</v>
      </c>
      <c r="K123" s="60">
        <f>SUM(Tabla14[[#This Row],[april]:[june]])</f>
        <v>5589998</v>
      </c>
      <c r="L123" s="55">
        <v>163599</v>
      </c>
      <c r="M123" s="55">
        <v>4559772</v>
      </c>
      <c r="N123" s="55">
        <v>2252653</v>
      </c>
      <c r="O123" s="60">
        <f>SUM(Tabla14[[#This Row],[july]:[august]])</f>
        <v>4723371</v>
      </c>
      <c r="P123" s="55">
        <v>0</v>
      </c>
      <c r="Q123" s="55">
        <v>2900235</v>
      </c>
      <c r="R123" s="55">
        <v>0</v>
      </c>
      <c r="S123" s="60">
        <f>SUM(Tabla14[[#This Row],[october]:[december]])</f>
        <v>2900235</v>
      </c>
      <c r="T123" s="44">
        <f t="shared" si="3"/>
        <v>15605150</v>
      </c>
    </row>
    <row r="124" spans="2:20" x14ac:dyDescent="0.3">
      <c r="B124" s="35" t="s">
        <v>265</v>
      </c>
      <c r="C124" s="23" t="s">
        <v>205</v>
      </c>
      <c r="D124" s="55">
        <v>0</v>
      </c>
      <c r="E124" s="55">
        <v>0</v>
      </c>
      <c r="F124" s="55">
        <v>0</v>
      </c>
      <c r="G124" s="60">
        <f>SUM(Tabla14[[#This Row],[january]:[march]])</f>
        <v>0</v>
      </c>
      <c r="H124" s="55">
        <v>0</v>
      </c>
      <c r="I124" s="55">
        <v>0</v>
      </c>
      <c r="J124" s="55">
        <v>0</v>
      </c>
      <c r="K124" s="60">
        <f>SUM(Tabla14[[#This Row],[april]:[june]])</f>
        <v>0</v>
      </c>
      <c r="L124" s="55">
        <v>0</v>
      </c>
      <c r="M124" s="55">
        <v>0</v>
      </c>
      <c r="N124" s="55">
        <v>0</v>
      </c>
      <c r="O124" s="60">
        <f>SUM(Tabla14[[#This Row],[july]:[august]])</f>
        <v>0</v>
      </c>
      <c r="P124" s="55">
        <v>0</v>
      </c>
      <c r="Q124" s="55">
        <v>0</v>
      </c>
      <c r="R124" s="55">
        <v>0</v>
      </c>
      <c r="S124" s="60">
        <f>SUM(Tabla14[[#This Row],[october]:[december]])</f>
        <v>0</v>
      </c>
      <c r="T124" s="44">
        <f t="shared" si="3"/>
        <v>0</v>
      </c>
    </row>
    <row r="125" spans="2:20" x14ac:dyDescent="0.3">
      <c r="B125" s="35" t="s">
        <v>265</v>
      </c>
      <c r="C125" s="23" t="s">
        <v>206</v>
      </c>
      <c r="D125" s="55">
        <v>89742</v>
      </c>
      <c r="E125" s="55">
        <v>0</v>
      </c>
      <c r="F125" s="55">
        <v>0</v>
      </c>
      <c r="G125" s="60">
        <f>SUM(Tabla14[[#This Row],[january]:[march]])</f>
        <v>89742</v>
      </c>
      <c r="H125" s="55">
        <v>0</v>
      </c>
      <c r="I125" s="55">
        <v>0</v>
      </c>
      <c r="J125" s="55">
        <v>0</v>
      </c>
      <c r="K125" s="60">
        <f>SUM(Tabla14[[#This Row],[april]:[june]])</f>
        <v>0</v>
      </c>
      <c r="L125" s="55">
        <v>0</v>
      </c>
      <c r="M125" s="55">
        <v>0</v>
      </c>
      <c r="N125" s="55">
        <v>0</v>
      </c>
      <c r="O125" s="60">
        <f>SUM(Tabla14[[#This Row],[july]:[august]])</f>
        <v>0</v>
      </c>
      <c r="P125" s="55">
        <v>168000</v>
      </c>
      <c r="Q125" s="55">
        <v>2200004</v>
      </c>
      <c r="R125" s="55">
        <v>0</v>
      </c>
      <c r="S125" s="60">
        <f>SUM(Tabla14[[#This Row],[october]:[december]])</f>
        <v>2368004</v>
      </c>
      <c r="T125" s="44">
        <f t="shared" si="3"/>
        <v>2457746</v>
      </c>
    </row>
    <row r="126" spans="2:20" x14ac:dyDescent="0.3">
      <c r="B126" s="35" t="s">
        <v>265</v>
      </c>
      <c r="C126" s="23" t="s">
        <v>339</v>
      </c>
      <c r="D126" s="55">
        <v>0</v>
      </c>
      <c r="E126" s="55">
        <v>774225</v>
      </c>
      <c r="F126" s="55">
        <v>0</v>
      </c>
      <c r="G126" s="60">
        <f>SUM(Tabla14[[#This Row],[january]:[march]])</f>
        <v>774225</v>
      </c>
      <c r="H126" s="55">
        <v>0</v>
      </c>
      <c r="I126" s="55">
        <v>0</v>
      </c>
      <c r="J126" s="55">
        <v>0</v>
      </c>
      <c r="K126" s="60">
        <f>SUM(Tabla14[[#This Row],[april]:[june]])</f>
        <v>0</v>
      </c>
      <c r="L126" s="55">
        <v>12094972</v>
      </c>
      <c r="M126" s="55">
        <v>3584196</v>
      </c>
      <c r="N126" s="55">
        <v>0</v>
      </c>
      <c r="O126" s="60">
        <f>SUM(Tabla14[[#This Row],[july]:[august]])</f>
        <v>15679168</v>
      </c>
      <c r="P126" s="55">
        <v>1628442</v>
      </c>
      <c r="Q126" s="55">
        <v>1829320</v>
      </c>
      <c r="R126" s="55">
        <v>5087380</v>
      </c>
      <c r="S126" s="60">
        <f>SUM(Tabla14[[#This Row],[october]:[december]])</f>
        <v>8545142</v>
      </c>
      <c r="T126" s="44">
        <f t="shared" si="3"/>
        <v>24998535</v>
      </c>
    </row>
    <row r="127" spans="2:20" x14ac:dyDescent="0.3">
      <c r="B127" s="35" t="s">
        <v>265</v>
      </c>
      <c r="C127" s="23" t="s">
        <v>208</v>
      </c>
      <c r="D127" s="55">
        <v>0</v>
      </c>
      <c r="E127" s="55">
        <v>0</v>
      </c>
      <c r="F127" s="55">
        <v>0</v>
      </c>
      <c r="G127" s="60">
        <f>SUM(Tabla14[[#This Row],[january]:[march]])</f>
        <v>0</v>
      </c>
      <c r="H127" s="55">
        <v>0</v>
      </c>
      <c r="I127" s="55">
        <v>0</v>
      </c>
      <c r="J127" s="55">
        <v>1494848</v>
      </c>
      <c r="K127" s="60">
        <f>SUM(Tabla14[[#This Row],[april]:[june]])</f>
        <v>1494848</v>
      </c>
      <c r="L127" s="55">
        <v>1285756</v>
      </c>
      <c r="M127" s="55">
        <v>1911801</v>
      </c>
      <c r="N127" s="55">
        <v>5172992</v>
      </c>
      <c r="O127" s="60">
        <f>SUM(Tabla14[[#This Row],[july]:[august]])</f>
        <v>3197557</v>
      </c>
      <c r="P127" s="55">
        <v>3453764</v>
      </c>
      <c r="Q127" s="55">
        <v>2049040</v>
      </c>
      <c r="R127" s="55">
        <v>3602895</v>
      </c>
      <c r="S127" s="60">
        <f>SUM(Tabla14[[#This Row],[october]:[december]])</f>
        <v>9105699</v>
      </c>
      <c r="T127" s="44">
        <f t="shared" si="3"/>
        <v>13798104</v>
      </c>
    </row>
    <row r="128" spans="2:20" x14ac:dyDescent="0.3">
      <c r="B128" s="35" t="s">
        <v>265</v>
      </c>
      <c r="C128" s="23" t="s">
        <v>209</v>
      </c>
      <c r="D128" s="55">
        <v>35909</v>
      </c>
      <c r="E128" s="55">
        <v>0</v>
      </c>
      <c r="F128" s="55">
        <v>132679</v>
      </c>
      <c r="G128" s="60">
        <f>SUM(Tabla14[[#This Row],[january]:[march]])</f>
        <v>168588</v>
      </c>
      <c r="H128" s="55">
        <v>0</v>
      </c>
      <c r="I128" s="55">
        <v>0</v>
      </c>
      <c r="J128" s="55">
        <v>0</v>
      </c>
      <c r="K128" s="60">
        <f>SUM(Tabla14[[#This Row],[april]:[june]])</f>
        <v>0</v>
      </c>
      <c r="L128" s="55">
        <v>0</v>
      </c>
      <c r="M128" s="55">
        <v>1332837.75</v>
      </c>
      <c r="N128" s="55">
        <v>0</v>
      </c>
      <c r="O128" s="60">
        <f>SUM(Tabla14[[#This Row],[july]:[august]])</f>
        <v>1332837.75</v>
      </c>
      <c r="P128" s="55">
        <v>2968387</v>
      </c>
      <c r="Q128" s="55">
        <v>0</v>
      </c>
      <c r="R128" s="55">
        <v>0</v>
      </c>
      <c r="S128" s="60">
        <f>SUM(Tabla14[[#This Row],[october]:[december]])</f>
        <v>2968387</v>
      </c>
      <c r="T128" s="44">
        <f t="shared" si="3"/>
        <v>4469812.75</v>
      </c>
    </row>
    <row r="129" spans="2:20" ht="14.5" thickBot="1" x14ac:dyDescent="0.35">
      <c r="B129" s="36" t="s">
        <v>265</v>
      </c>
      <c r="C129" s="37" t="s">
        <v>210</v>
      </c>
      <c r="D129" s="56">
        <v>0</v>
      </c>
      <c r="E129" s="56">
        <v>0</v>
      </c>
      <c r="F129" s="56">
        <v>0</v>
      </c>
      <c r="G129" s="61">
        <f>SUM(Tabla14[[#This Row],[january]:[march]])</f>
        <v>0</v>
      </c>
      <c r="H129" s="56">
        <v>0</v>
      </c>
      <c r="I129" s="56">
        <v>0</v>
      </c>
      <c r="J129" s="56">
        <v>0</v>
      </c>
      <c r="K129" s="61">
        <f>SUM(Tabla14[[#This Row],[april]:[june]])</f>
        <v>0</v>
      </c>
      <c r="L129" s="56">
        <v>0</v>
      </c>
      <c r="M129" s="56">
        <v>0</v>
      </c>
      <c r="N129" s="56">
        <v>0</v>
      </c>
      <c r="O129" s="61">
        <f>SUM(Tabla14[[#This Row],[july]:[august]])</f>
        <v>0</v>
      </c>
      <c r="P129" s="56">
        <v>0</v>
      </c>
      <c r="Q129" s="56">
        <v>0</v>
      </c>
      <c r="R129" s="56">
        <v>0</v>
      </c>
      <c r="S129" s="61">
        <f>SUM(Tabla14[[#This Row],[october]:[december]])</f>
        <v>0</v>
      </c>
      <c r="T129" s="48">
        <f t="shared" si="3"/>
        <v>0</v>
      </c>
    </row>
    <row r="130" spans="2:20" x14ac:dyDescent="0.3">
      <c r="B130" s="49" t="s">
        <v>266</v>
      </c>
      <c r="C130" s="33" t="s">
        <v>211</v>
      </c>
      <c r="D130" s="54">
        <v>236304</v>
      </c>
      <c r="E130" s="54">
        <v>238776</v>
      </c>
      <c r="F130" s="54">
        <v>240205</v>
      </c>
      <c r="G130" s="59">
        <f>SUM(Tabla14[[#This Row],[january]:[march]])</f>
        <v>715285</v>
      </c>
      <c r="H130" s="54">
        <v>243600</v>
      </c>
      <c r="I130" s="54">
        <v>265900</v>
      </c>
      <c r="J130" s="54">
        <v>250494</v>
      </c>
      <c r="K130" s="59">
        <f>SUM(Tabla14[[#This Row],[april]:[june]])</f>
        <v>759994</v>
      </c>
      <c r="L130" s="54">
        <v>252994</v>
      </c>
      <c r="M130" s="54">
        <v>765124</v>
      </c>
      <c r="N130" s="54">
        <v>349050</v>
      </c>
      <c r="O130" s="59">
        <f>SUM(Tabla14[[#This Row],[july]:[august]])</f>
        <v>1018118</v>
      </c>
      <c r="P130" s="54">
        <v>352535</v>
      </c>
      <c r="Q130" s="54">
        <v>376090</v>
      </c>
      <c r="R130" s="54">
        <v>357737</v>
      </c>
      <c r="S130" s="59">
        <f>SUM(Tabla14[[#This Row],[october]:[december]])</f>
        <v>1086362</v>
      </c>
      <c r="T130" s="50">
        <f t="shared" si="3"/>
        <v>3579759</v>
      </c>
    </row>
    <row r="131" spans="2:20" x14ac:dyDescent="0.3">
      <c r="B131" s="25" t="s">
        <v>266</v>
      </c>
      <c r="C131" s="23" t="s">
        <v>212</v>
      </c>
      <c r="D131" s="55">
        <v>38050</v>
      </c>
      <c r="E131" s="55">
        <v>0</v>
      </c>
      <c r="F131" s="55">
        <v>113936</v>
      </c>
      <c r="G131" s="60">
        <f>SUM(Tabla14[[#This Row],[january]:[march]])</f>
        <v>151986</v>
      </c>
      <c r="H131" s="55">
        <v>226</v>
      </c>
      <c r="I131" s="55">
        <v>128556</v>
      </c>
      <c r="J131" s="55">
        <v>39672</v>
      </c>
      <c r="K131" s="60">
        <f>SUM(Tabla14[[#This Row],[april]:[june]])</f>
        <v>168454</v>
      </c>
      <c r="L131" s="55">
        <v>40032</v>
      </c>
      <c r="M131" s="55">
        <v>40495</v>
      </c>
      <c r="N131" s="55">
        <v>41044</v>
      </c>
      <c r="O131" s="60">
        <f>SUM(Tabla14[[#This Row],[july]:[august]])</f>
        <v>80527</v>
      </c>
      <c r="P131" s="55">
        <v>41449</v>
      </c>
      <c r="Q131" s="55">
        <v>41739</v>
      </c>
      <c r="R131" s="55">
        <v>42065</v>
      </c>
      <c r="S131" s="60">
        <f>SUM(Tabla14[[#This Row],[october]:[december]])</f>
        <v>125253</v>
      </c>
      <c r="T131" s="44">
        <f t="shared" si="3"/>
        <v>526220</v>
      </c>
    </row>
    <row r="132" spans="2:20" x14ac:dyDescent="0.3">
      <c r="B132" s="25" t="s">
        <v>266</v>
      </c>
      <c r="C132" s="23" t="s">
        <v>213</v>
      </c>
      <c r="D132" s="55">
        <v>7749</v>
      </c>
      <c r="E132" s="55">
        <v>7817</v>
      </c>
      <c r="F132" s="55">
        <v>7895</v>
      </c>
      <c r="G132" s="60">
        <f>SUM(Tabla14[[#This Row],[january]:[march]])</f>
        <v>23461</v>
      </c>
      <c r="H132" s="55">
        <v>7301</v>
      </c>
      <c r="I132" s="55">
        <v>8059</v>
      </c>
      <c r="J132" s="55">
        <v>8196</v>
      </c>
      <c r="K132" s="60">
        <f>SUM(Tabla14[[#This Row],[april]:[june]])</f>
        <v>23556</v>
      </c>
      <c r="L132" s="55">
        <v>8288</v>
      </c>
      <c r="M132" s="55">
        <v>8364</v>
      </c>
      <c r="N132" s="55">
        <v>8478</v>
      </c>
      <c r="O132" s="60">
        <f>SUM(Tabla14[[#This Row],[july]:[august]])</f>
        <v>16652</v>
      </c>
      <c r="P132" s="55">
        <v>0</v>
      </c>
      <c r="Q132" s="55">
        <v>0</v>
      </c>
      <c r="R132" s="55">
        <v>8712</v>
      </c>
      <c r="S132" s="60">
        <f>SUM(Tabla14[[#This Row],[october]:[december]])</f>
        <v>8712</v>
      </c>
      <c r="T132" s="44">
        <f t="shared" si="3"/>
        <v>72381</v>
      </c>
    </row>
    <row r="133" spans="2:20" x14ac:dyDescent="0.3">
      <c r="B133" s="25" t="s">
        <v>266</v>
      </c>
      <c r="C133" s="23" t="s">
        <v>169</v>
      </c>
      <c r="D133" s="55">
        <v>10696340</v>
      </c>
      <c r="E133" s="55">
        <v>6506705</v>
      </c>
      <c r="F133" s="55">
        <v>14698014</v>
      </c>
      <c r="G133" s="60">
        <f>SUM(Tabla14[[#This Row],[january]:[march]])</f>
        <v>31901059</v>
      </c>
      <c r="H133" s="55">
        <v>11935969</v>
      </c>
      <c r="I133" s="55">
        <v>11584255</v>
      </c>
      <c r="J133" s="55">
        <v>17549488</v>
      </c>
      <c r="K133" s="60">
        <f>SUM(Tabla14[[#This Row],[april]:[june]])</f>
        <v>41069712</v>
      </c>
      <c r="L133" s="55">
        <v>18039327</v>
      </c>
      <c r="M133" s="55">
        <v>19590857</v>
      </c>
      <c r="N133" s="55">
        <v>15643387</v>
      </c>
      <c r="O133" s="60">
        <f>SUM(Tabla14[[#This Row],[july]:[august]])</f>
        <v>37630184</v>
      </c>
      <c r="P133" s="55">
        <v>17693389</v>
      </c>
      <c r="Q133" s="55">
        <v>15274717</v>
      </c>
      <c r="R133" s="55">
        <v>24092382</v>
      </c>
      <c r="S133" s="60">
        <f>SUM(Tabla14[[#This Row],[october]:[december]])</f>
        <v>57060488</v>
      </c>
      <c r="T133" s="44">
        <f t="shared" si="3"/>
        <v>167661443</v>
      </c>
    </row>
    <row r="134" spans="2:20" x14ac:dyDescent="0.3">
      <c r="B134" s="25" t="s">
        <v>266</v>
      </c>
      <c r="C134" s="23" t="s">
        <v>214</v>
      </c>
      <c r="D134" s="55">
        <v>71213</v>
      </c>
      <c r="E134" s="55">
        <v>17292</v>
      </c>
      <c r="F134" s="55">
        <v>0</v>
      </c>
      <c r="G134" s="60">
        <f>SUM(Tabla14[[#This Row],[january]:[march]])</f>
        <v>88505</v>
      </c>
      <c r="H134" s="55">
        <v>17525</v>
      </c>
      <c r="I134" s="55">
        <v>36450</v>
      </c>
      <c r="J134" s="55">
        <v>17677</v>
      </c>
      <c r="K134" s="60">
        <f>SUM(Tabla14[[#This Row],[april]:[june]])</f>
        <v>71652</v>
      </c>
      <c r="L134" s="55">
        <v>186410</v>
      </c>
      <c r="M134" s="55">
        <v>79463</v>
      </c>
      <c r="N134" s="55">
        <v>59799</v>
      </c>
      <c r="O134" s="60">
        <f>SUM(Tabla14[[#This Row],[july]:[august]])</f>
        <v>265873</v>
      </c>
      <c r="P134" s="55">
        <v>61682</v>
      </c>
      <c r="Q134" s="55">
        <v>0</v>
      </c>
      <c r="R134" s="55">
        <v>187096</v>
      </c>
      <c r="S134" s="60">
        <f>SUM(Tabla14[[#This Row],[october]:[december]])</f>
        <v>248778</v>
      </c>
      <c r="T134" s="44">
        <f t="shared" ref="T134:T165" si="4">SUM(G134,K134,O134,S134)</f>
        <v>674808</v>
      </c>
    </row>
    <row r="135" spans="2:20" x14ac:dyDescent="0.3">
      <c r="B135" s="25" t="s">
        <v>266</v>
      </c>
      <c r="C135" s="23" t="s">
        <v>215</v>
      </c>
      <c r="D135" s="55">
        <v>780763</v>
      </c>
      <c r="E135" s="55">
        <v>1089647</v>
      </c>
      <c r="F135" s="55">
        <v>1353499</v>
      </c>
      <c r="G135" s="60">
        <f>SUM(Tabla14[[#This Row],[january]:[march]])</f>
        <v>3223909</v>
      </c>
      <c r="H135" s="55">
        <v>1226470</v>
      </c>
      <c r="I135" s="55">
        <v>1153122</v>
      </c>
      <c r="J135" s="55">
        <v>1272347</v>
      </c>
      <c r="K135" s="60">
        <f>SUM(Tabla14[[#This Row],[april]:[june]])</f>
        <v>3651939</v>
      </c>
      <c r="L135" s="55">
        <v>1228848</v>
      </c>
      <c r="M135" s="55">
        <v>1407178</v>
      </c>
      <c r="N135" s="55">
        <v>836638</v>
      </c>
      <c r="O135" s="60">
        <f>SUM(Tabla14[[#This Row],[july]:[august]])</f>
        <v>2636026</v>
      </c>
      <c r="P135" s="55">
        <v>1042599</v>
      </c>
      <c r="Q135" s="55">
        <v>1533287</v>
      </c>
      <c r="R135" s="55">
        <v>691304</v>
      </c>
      <c r="S135" s="60">
        <f>SUM(Tabla14[[#This Row],[october]:[december]])</f>
        <v>3267190</v>
      </c>
      <c r="T135" s="44">
        <f t="shared" si="4"/>
        <v>12779064</v>
      </c>
    </row>
    <row r="136" spans="2:20" x14ac:dyDescent="0.3">
      <c r="B136" s="25" t="s">
        <v>266</v>
      </c>
      <c r="C136" s="23" t="s">
        <v>216</v>
      </c>
      <c r="D136" s="55">
        <v>0</v>
      </c>
      <c r="E136" s="55">
        <v>0</v>
      </c>
      <c r="F136" s="55">
        <v>0</v>
      </c>
      <c r="G136" s="60">
        <f>SUM(Tabla14[[#This Row],[january]:[march]])</f>
        <v>0</v>
      </c>
      <c r="H136" s="55">
        <v>0</v>
      </c>
      <c r="I136" s="55">
        <v>0</v>
      </c>
      <c r="J136" s="55">
        <v>1209445</v>
      </c>
      <c r="K136" s="60">
        <f>SUM(Tabla14[[#This Row],[april]:[june]])</f>
        <v>1209445</v>
      </c>
      <c r="L136" s="55">
        <v>6970</v>
      </c>
      <c r="M136" s="55">
        <v>0</v>
      </c>
      <c r="N136" s="55">
        <v>0</v>
      </c>
      <c r="O136" s="60">
        <f>SUM(Tabla14[[#This Row],[july]:[august]])</f>
        <v>6970</v>
      </c>
      <c r="P136" s="55">
        <v>1719411</v>
      </c>
      <c r="Q136" s="55">
        <v>106070</v>
      </c>
      <c r="R136" s="55">
        <v>104447</v>
      </c>
      <c r="S136" s="60">
        <f>SUM(Tabla14[[#This Row],[october]:[december]])</f>
        <v>1929928</v>
      </c>
      <c r="T136" s="44">
        <f t="shared" si="4"/>
        <v>3146343</v>
      </c>
    </row>
    <row r="137" spans="2:20" x14ac:dyDescent="0.3">
      <c r="B137" s="25" t="s">
        <v>266</v>
      </c>
      <c r="C137" s="23" t="s">
        <v>217</v>
      </c>
      <c r="D137" s="55"/>
      <c r="E137" s="55"/>
      <c r="F137" s="55"/>
      <c r="G137" s="60">
        <f>SUM(Tabla14[[#This Row],[january]:[march]])</f>
        <v>0</v>
      </c>
      <c r="H137" s="55"/>
      <c r="I137" s="55"/>
      <c r="J137" s="55"/>
      <c r="K137" s="60">
        <f>SUM(Tabla14[[#This Row],[april]:[june]])</f>
        <v>0</v>
      </c>
      <c r="L137" s="55"/>
      <c r="M137" s="55">
        <v>11585</v>
      </c>
      <c r="N137" s="55">
        <v>0</v>
      </c>
      <c r="O137" s="60">
        <f>SUM(Tabla14[[#This Row],[july]:[august]])</f>
        <v>11585</v>
      </c>
      <c r="P137" s="55">
        <v>0</v>
      </c>
      <c r="Q137" s="55">
        <v>0</v>
      </c>
      <c r="R137" s="55">
        <v>0</v>
      </c>
      <c r="S137" s="60">
        <f>SUM(Tabla14[[#This Row],[october]:[december]])</f>
        <v>0</v>
      </c>
      <c r="T137" s="44">
        <f t="shared" si="4"/>
        <v>11585</v>
      </c>
    </row>
    <row r="138" spans="2:20" x14ac:dyDescent="0.3">
      <c r="B138" s="25" t="s">
        <v>266</v>
      </c>
      <c r="C138" s="23" t="s">
        <v>218</v>
      </c>
      <c r="D138" s="55">
        <v>0</v>
      </c>
      <c r="E138" s="55">
        <v>167672</v>
      </c>
      <c r="F138" s="55">
        <v>188083</v>
      </c>
      <c r="G138" s="60">
        <f>SUM(Tabla14[[#This Row],[january]:[march]])</f>
        <v>355755</v>
      </c>
      <c r="H138" s="55">
        <v>462875</v>
      </c>
      <c r="I138" s="55">
        <v>0</v>
      </c>
      <c r="J138" s="55">
        <v>207371</v>
      </c>
      <c r="K138" s="60">
        <f>SUM(Tabla14[[#This Row],[april]:[june]])</f>
        <v>670246</v>
      </c>
      <c r="L138" s="55">
        <v>275489</v>
      </c>
      <c r="M138" s="55">
        <v>0</v>
      </c>
      <c r="N138" s="55">
        <v>170478</v>
      </c>
      <c r="O138" s="60">
        <f>SUM(Tabla14[[#This Row],[july]:[august]])</f>
        <v>275489</v>
      </c>
      <c r="P138" s="55">
        <v>463464</v>
      </c>
      <c r="Q138" s="55">
        <v>20599</v>
      </c>
      <c r="R138" s="55">
        <v>781236</v>
      </c>
      <c r="S138" s="60">
        <f>SUM(Tabla14[[#This Row],[october]:[december]])</f>
        <v>1265299</v>
      </c>
      <c r="T138" s="44">
        <f t="shared" si="4"/>
        <v>2566789</v>
      </c>
    </row>
    <row r="139" spans="2:20" x14ac:dyDescent="0.3">
      <c r="B139" s="25" t="s">
        <v>266</v>
      </c>
      <c r="C139" s="23" t="s">
        <v>219</v>
      </c>
      <c r="D139" s="55">
        <v>0</v>
      </c>
      <c r="E139" s="55">
        <v>0</v>
      </c>
      <c r="F139" s="55">
        <v>0</v>
      </c>
      <c r="G139" s="60">
        <f>SUM(Tabla14[[#This Row],[january]:[march]])</f>
        <v>0</v>
      </c>
      <c r="H139" s="55">
        <v>0</v>
      </c>
      <c r="I139" s="55">
        <v>0</v>
      </c>
      <c r="J139" s="55">
        <v>0</v>
      </c>
      <c r="K139" s="60">
        <f>SUM(Tabla14[[#This Row],[april]:[june]])</f>
        <v>0</v>
      </c>
      <c r="L139" s="55">
        <v>19610</v>
      </c>
      <c r="M139" s="55">
        <v>0</v>
      </c>
      <c r="N139" s="55">
        <v>0</v>
      </c>
      <c r="O139" s="60">
        <f>SUM(Tabla14[[#This Row],[july]:[august]])</f>
        <v>19610</v>
      </c>
      <c r="P139" s="55">
        <v>0</v>
      </c>
      <c r="Q139" s="55">
        <v>0</v>
      </c>
      <c r="R139" s="55">
        <v>0</v>
      </c>
      <c r="S139" s="60">
        <f>SUM(Tabla14[[#This Row],[october]:[december]])</f>
        <v>0</v>
      </c>
      <c r="T139" s="44">
        <f t="shared" si="4"/>
        <v>19610</v>
      </c>
    </row>
    <row r="140" spans="2:20" ht="14.5" thickBot="1" x14ac:dyDescent="0.35">
      <c r="B140" s="51" t="s">
        <v>266</v>
      </c>
      <c r="C140" s="37" t="s">
        <v>220</v>
      </c>
      <c r="D140" s="56">
        <v>1689329</v>
      </c>
      <c r="E140" s="56">
        <v>191517</v>
      </c>
      <c r="F140" s="56">
        <v>3608809</v>
      </c>
      <c r="G140" s="61">
        <f>SUM(Tabla14[[#This Row],[january]:[march]])</f>
        <v>5489655</v>
      </c>
      <c r="H140" s="56">
        <v>225075</v>
      </c>
      <c r="I140" s="56">
        <v>3429057</v>
      </c>
      <c r="J140" s="56">
        <v>1764012</v>
      </c>
      <c r="K140" s="61">
        <f>SUM(Tabla14[[#This Row],[april]:[june]])</f>
        <v>5418144</v>
      </c>
      <c r="L140" s="56">
        <v>1719051</v>
      </c>
      <c r="M140" s="56">
        <v>1824293</v>
      </c>
      <c r="N140" s="56">
        <v>1825259</v>
      </c>
      <c r="O140" s="61">
        <f>SUM(Tabla14[[#This Row],[july]:[august]])</f>
        <v>3543344</v>
      </c>
      <c r="P140" s="56">
        <v>1811056</v>
      </c>
      <c r="Q140" s="56">
        <v>151721</v>
      </c>
      <c r="R140" s="56">
        <v>3191484</v>
      </c>
      <c r="S140" s="61">
        <f>SUM(Tabla14[[#This Row],[october]:[december]])</f>
        <v>5154261</v>
      </c>
      <c r="T140" s="48">
        <f t="shared" si="4"/>
        <v>19605404</v>
      </c>
    </row>
    <row r="141" spans="2:20" x14ac:dyDescent="0.3">
      <c r="B141" s="29" t="s">
        <v>93</v>
      </c>
      <c r="C141" s="30" t="s">
        <v>221</v>
      </c>
      <c r="D141" s="58">
        <v>722521</v>
      </c>
      <c r="E141" s="58">
        <v>783507</v>
      </c>
      <c r="F141" s="58">
        <v>775935</v>
      </c>
      <c r="G141" s="62">
        <f>SUM(Tabla14[[#This Row],[january]:[march]])</f>
        <v>2281963</v>
      </c>
      <c r="H141" s="58">
        <v>771514.65960000001</v>
      </c>
      <c r="I141" s="58">
        <v>869384</v>
      </c>
      <c r="J141" s="58">
        <v>834550</v>
      </c>
      <c r="K141" s="62">
        <f>SUM(Tabla14[[#This Row],[april]:[june]])</f>
        <v>2475448.6595999999</v>
      </c>
      <c r="L141" s="58">
        <v>871233</v>
      </c>
      <c r="M141" s="58">
        <v>1078183</v>
      </c>
      <c r="N141" s="58">
        <v>781738</v>
      </c>
      <c r="O141" s="62">
        <f>SUM(Tabla14[[#This Row],[july]:[august]])</f>
        <v>1949416</v>
      </c>
      <c r="P141" s="58">
        <v>916155</v>
      </c>
      <c r="Q141" s="58">
        <v>868264</v>
      </c>
      <c r="R141" s="58">
        <v>1720476</v>
      </c>
      <c r="S141" s="62">
        <f>SUM(Tabla14[[#This Row],[october]:[december]])</f>
        <v>3504895</v>
      </c>
      <c r="T141" s="47">
        <f t="shared" si="4"/>
        <v>10211722.659600001</v>
      </c>
    </row>
    <row r="142" spans="2:20" x14ac:dyDescent="0.3">
      <c r="B142" s="25" t="s">
        <v>93</v>
      </c>
      <c r="C142" s="23" t="s">
        <v>222</v>
      </c>
      <c r="D142" s="55">
        <v>1853978</v>
      </c>
      <c r="E142" s="55">
        <v>1850681</v>
      </c>
      <c r="F142" s="55">
        <v>1849891</v>
      </c>
      <c r="G142" s="60">
        <f>SUM(Tabla14[[#This Row],[january]:[march]])</f>
        <v>5554550</v>
      </c>
      <c r="H142" s="55">
        <v>2031566.605</v>
      </c>
      <c r="I142" s="55">
        <v>2061417</v>
      </c>
      <c r="J142" s="55">
        <v>1960229</v>
      </c>
      <c r="K142" s="60">
        <f>SUM(Tabla14[[#This Row],[april]:[june]])</f>
        <v>6053212.6050000004</v>
      </c>
      <c r="L142" s="55">
        <v>1482324</v>
      </c>
      <c r="M142" s="55">
        <v>1918847</v>
      </c>
      <c r="N142" s="55">
        <v>1959809</v>
      </c>
      <c r="O142" s="60">
        <f>SUM(Tabla14[[#This Row],[july]:[august]])</f>
        <v>3401171</v>
      </c>
      <c r="P142" s="55">
        <v>1937441</v>
      </c>
      <c r="Q142" s="55">
        <v>1618661</v>
      </c>
      <c r="R142" s="55">
        <v>2259510</v>
      </c>
      <c r="S142" s="60">
        <f>SUM(Tabla14[[#This Row],[october]:[december]])</f>
        <v>5815612</v>
      </c>
      <c r="T142" s="44">
        <f t="shared" si="4"/>
        <v>20824545.605</v>
      </c>
    </row>
    <row r="143" spans="2:20" x14ac:dyDescent="0.3">
      <c r="B143" s="25" t="s">
        <v>93</v>
      </c>
      <c r="C143" s="23" t="s">
        <v>223</v>
      </c>
      <c r="D143" s="55">
        <v>703799</v>
      </c>
      <c r="E143" s="55">
        <v>719831</v>
      </c>
      <c r="F143" s="55">
        <v>767940</v>
      </c>
      <c r="G143" s="60">
        <f>SUM(Tabla14[[#This Row],[january]:[march]])</f>
        <v>2191570</v>
      </c>
      <c r="H143" s="55">
        <v>603965.42119999998</v>
      </c>
      <c r="I143" s="55">
        <v>878268</v>
      </c>
      <c r="J143" s="55">
        <v>772438</v>
      </c>
      <c r="K143" s="60">
        <f>SUM(Tabla14[[#This Row],[april]:[june]])</f>
        <v>2254671.4211999997</v>
      </c>
      <c r="L143" s="55">
        <v>702306</v>
      </c>
      <c r="M143" s="55">
        <v>833868</v>
      </c>
      <c r="N143" s="55">
        <v>815823</v>
      </c>
      <c r="O143" s="60">
        <f>SUM(Tabla14[[#This Row],[july]:[august]])</f>
        <v>1536174</v>
      </c>
      <c r="P143" s="55">
        <v>823042</v>
      </c>
      <c r="Q143" s="55">
        <v>815823</v>
      </c>
      <c r="R143" s="55">
        <v>1463767</v>
      </c>
      <c r="S143" s="60">
        <f>SUM(Tabla14[[#This Row],[october]:[december]])</f>
        <v>3102632</v>
      </c>
      <c r="T143" s="44">
        <f t="shared" si="4"/>
        <v>9085047.4211999997</v>
      </c>
    </row>
    <row r="144" spans="2:20" x14ac:dyDescent="0.3">
      <c r="B144" s="25" t="s">
        <v>93</v>
      </c>
      <c r="C144" s="23" t="s">
        <v>230</v>
      </c>
      <c r="D144" s="55">
        <v>0</v>
      </c>
      <c r="E144" s="55">
        <v>433438</v>
      </c>
      <c r="F144" s="55">
        <v>622562</v>
      </c>
      <c r="G144" s="60">
        <f>SUM(Tabla14[[#This Row],[january]:[march]])</f>
        <v>1056000</v>
      </c>
      <c r="H144" s="55">
        <v>643263.18799999997</v>
      </c>
      <c r="I144" s="55">
        <v>630385</v>
      </c>
      <c r="J144" s="55">
        <v>828771</v>
      </c>
      <c r="K144" s="60">
        <f>SUM(Tabla14[[#This Row],[april]:[june]])</f>
        <v>2102419.1880000001</v>
      </c>
      <c r="L144" s="55">
        <v>626473</v>
      </c>
      <c r="M144" s="55">
        <v>793433</v>
      </c>
      <c r="N144" s="55">
        <v>640442</v>
      </c>
      <c r="O144" s="60">
        <f>SUM(Tabla14[[#This Row],[july]:[august]])</f>
        <v>1419906</v>
      </c>
      <c r="P144" s="55">
        <v>690446</v>
      </c>
      <c r="Q144" s="55">
        <v>749936</v>
      </c>
      <c r="R144" s="55">
        <v>819423</v>
      </c>
      <c r="S144" s="60">
        <f>SUM(Tabla14[[#This Row],[october]:[december]])</f>
        <v>2259805</v>
      </c>
      <c r="T144" s="44">
        <f t="shared" si="4"/>
        <v>6838130.1880000001</v>
      </c>
    </row>
    <row r="145" spans="2:20" x14ac:dyDescent="0.3">
      <c r="B145" s="25" t="s">
        <v>93</v>
      </c>
      <c r="C145" s="23" t="s">
        <v>196</v>
      </c>
      <c r="D145" s="55">
        <v>240000</v>
      </c>
      <c r="E145" s="55">
        <v>239856</v>
      </c>
      <c r="F145" s="55">
        <v>247578.88</v>
      </c>
      <c r="G145" s="60">
        <f>SUM(Tabla14[[#This Row],[january]:[march]])</f>
        <v>727434.88</v>
      </c>
      <c r="H145" s="55">
        <v>242430.4</v>
      </c>
      <c r="I145" s="55">
        <v>254622</v>
      </c>
      <c r="J145" s="55">
        <v>254622</v>
      </c>
      <c r="K145" s="60">
        <f>SUM(Tabla14[[#This Row],[april]:[june]])</f>
        <v>751674.4</v>
      </c>
      <c r="L145" s="55">
        <v>282181</v>
      </c>
      <c r="M145" s="55">
        <v>275969</v>
      </c>
      <c r="N145" s="55">
        <v>258055</v>
      </c>
      <c r="O145" s="60">
        <f>SUM(Tabla14[[#This Row],[july]:[august]])</f>
        <v>558150</v>
      </c>
      <c r="P145" s="55">
        <v>325000</v>
      </c>
      <c r="Q145" s="55">
        <v>258055</v>
      </c>
      <c r="R145" s="55">
        <v>398692</v>
      </c>
      <c r="S145" s="60">
        <f>SUM(Tabla14[[#This Row],[october]:[december]])</f>
        <v>981747</v>
      </c>
      <c r="T145" s="44">
        <f t="shared" si="4"/>
        <v>3019006.2800000003</v>
      </c>
    </row>
    <row r="146" spans="2:20" x14ac:dyDescent="0.3">
      <c r="B146" s="25" t="s">
        <v>93</v>
      </c>
      <c r="C146" s="23" t="s">
        <v>195</v>
      </c>
      <c r="D146" s="55">
        <v>298026</v>
      </c>
      <c r="E146" s="55">
        <v>372062.28</v>
      </c>
      <c r="F146" s="55">
        <v>370473.87</v>
      </c>
      <c r="G146" s="60">
        <f>SUM(Tabla14[[#This Row],[january]:[march]])</f>
        <v>1040562.15</v>
      </c>
      <c r="H146" s="55">
        <v>370413.9</v>
      </c>
      <c r="I146" s="55">
        <v>336112</v>
      </c>
      <c r="J146" s="55">
        <v>392038</v>
      </c>
      <c r="K146" s="60">
        <f>SUM(Tabla14[[#This Row],[april]:[june]])</f>
        <v>1098563.8999999999</v>
      </c>
      <c r="L146" s="55">
        <v>3291458</v>
      </c>
      <c r="M146" s="55">
        <v>393357</v>
      </c>
      <c r="N146" s="55">
        <v>383541</v>
      </c>
      <c r="O146" s="60">
        <f>SUM(Tabla14[[#This Row],[july]:[august]])</f>
        <v>3684815</v>
      </c>
      <c r="P146" s="55">
        <v>258471</v>
      </c>
      <c r="Q146" s="55">
        <v>381754</v>
      </c>
      <c r="R146" s="55">
        <v>523110</v>
      </c>
      <c r="S146" s="60">
        <f>SUM(Tabla14[[#This Row],[october]:[december]])</f>
        <v>1163335</v>
      </c>
      <c r="T146" s="44">
        <f t="shared" si="4"/>
        <v>6987276.0499999998</v>
      </c>
    </row>
    <row r="147" spans="2:20" x14ac:dyDescent="0.3">
      <c r="B147" s="25" t="s">
        <v>93</v>
      </c>
      <c r="C147" s="23" t="s">
        <v>225</v>
      </c>
      <c r="D147" s="55">
        <v>714970</v>
      </c>
      <c r="E147" s="55">
        <v>711186</v>
      </c>
      <c r="F147" s="55">
        <v>733895</v>
      </c>
      <c r="G147" s="60">
        <f>SUM(Tabla14[[#This Row],[january]:[march]])</f>
        <v>2160051</v>
      </c>
      <c r="H147" s="55">
        <v>707401.09019999998</v>
      </c>
      <c r="I147" s="55">
        <v>758561</v>
      </c>
      <c r="J147" s="55">
        <v>783557</v>
      </c>
      <c r="K147" s="60">
        <f>SUM(Tabla14[[#This Row],[april]:[june]])</f>
        <v>2249519.0902</v>
      </c>
      <c r="L147" s="55">
        <v>800222</v>
      </c>
      <c r="M147" s="55">
        <v>790025</v>
      </c>
      <c r="N147" s="55">
        <v>946833</v>
      </c>
      <c r="O147" s="60">
        <f>SUM(Tabla14[[#This Row],[july]:[august]])</f>
        <v>1590247</v>
      </c>
      <c r="P147" s="55">
        <v>765029</v>
      </c>
      <c r="Q147" s="55">
        <v>769195</v>
      </c>
      <c r="R147" s="55">
        <v>1352319</v>
      </c>
      <c r="S147" s="60">
        <f>SUM(Tabla14[[#This Row],[october]:[december]])</f>
        <v>2886543</v>
      </c>
      <c r="T147" s="44">
        <f t="shared" si="4"/>
        <v>8886360.0901999995</v>
      </c>
    </row>
    <row r="148" spans="2:20" x14ac:dyDescent="0.3">
      <c r="B148" s="25" t="s">
        <v>93</v>
      </c>
      <c r="C148" s="23" t="s">
        <v>340</v>
      </c>
      <c r="D148" s="55">
        <v>807567</v>
      </c>
      <c r="E148" s="55">
        <v>720565</v>
      </c>
      <c r="F148" s="55">
        <v>779222</v>
      </c>
      <c r="G148" s="60">
        <f>SUM(Tabla14[[#This Row],[january]:[march]])</f>
        <v>2307354</v>
      </c>
      <c r="H148" s="55">
        <v>808222.54480000003</v>
      </c>
      <c r="I148" s="55">
        <v>810594</v>
      </c>
      <c r="J148" s="55">
        <v>46907</v>
      </c>
      <c r="K148" s="60">
        <f>SUM(Tabla14[[#This Row],[april]:[june]])</f>
        <v>1665723.5448</v>
      </c>
      <c r="L148" s="55">
        <v>0</v>
      </c>
      <c r="M148" s="55">
        <v>0</v>
      </c>
      <c r="N148" s="55">
        <v>0</v>
      </c>
      <c r="O148" s="60">
        <f>SUM(Tabla14[[#This Row],[july]:[august]])</f>
        <v>0</v>
      </c>
      <c r="P148" s="55">
        <v>0</v>
      </c>
      <c r="Q148" s="55">
        <v>0</v>
      </c>
      <c r="R148" s="55">
        <v>0</v>
      </c>
      <c r="S148" s="60">
        <f>SUM(Tabla14[[#This Row],[october]:[december]])</f>
        <v>0</v>
      </c>
      <c r="T148" s="44">
        <f t="shared" si="4"/>
        <v>3973077.5448000003</v>
      </c>
    </row>
    <row r="149" spans="2:20" x14ac:dyDescent="0.3">
      <c r="B149" s="25" t="s">
        <v>93</v>
      </c>
      <c r="C149" s="23" t="s">
        <v>224</v>
      </c>
      <c r="D149" s="55">
        <v>16729660</v>
      </c>
      <c r="E149" s="55">
        <v>3795936</v>
      </c>
      <c r="F149" s="55">
        <v>3855075</v>
      </c>
      <c r="G149" s="60">
        <f>SUM(Tabla14[[#This Row],[january]:[march]])</f>
        <v>24380671</v>
      </c>
      <c r="H149" s="55">
        <v>3915932.2154887998</v>
      </c>
      <c r="I149" s="55">
        <v>4280221</v>
      </c>
      <c r="J149" s="55">
        <v>4274078</v>
      </c>
      <c r="K149" s="60">
        <f>SUM(Tabla14[[#This Row],[april]:[june]])</f>
        <v>12470231.215488799</v>
      </c>
      <c r="L149" s="55">
        <v>4269095</v>
      </c>
      <c r="M149" s="55">
        <v>4270689</v>
      </c>
      <c r="N149" s="55">
        <v>4264329</v>
      </c>
      <c r="O149" s="60">
        <f>SUM(Tabla14[[#This Row],[july]:[august]])</f>
        <v>8539784</v>
      </c>
      <c r="P149" s="55">
        <v>4247128</v>
      </c>
      <c r="Q149" s="55">
        <v>4243865</v>
      </c>
      <c r="R149" s="55">
        <v>4739250</v>
      </c>
      <c r="S149" s="60">
        <f>SUM(Tabla14[[#This Row],[october]:[december]])</f>
        <v>13230243</v>
      </c>
      <c r="T149" s="44">
        <f t="shared" si="4"/>
        <v>58620929.215488799</v>
      </c>
    </row>
    <row r="150" spans="2:20" x14ac:dyDescent="0.3">
      <c r="B150" s="25" t="s">
        <v>93</v>
      </c>
      <c r="C150" s="23" t="s">
        <v>341</v>
      </c>
      <c r="D150" s="55">
        <v>390136</v>
      </c>
      <c r="E150" s="55">
        <v>0</v>
      </c>
      <c r="F150" s="55">
        <v>1188800</v>
      </c>
      <c r="G150" s="60">
        <f>SUM(Tabla14[[#This Row],[january]:[march]])</f>
        <v>1578936</v>
      </c>
      <c r="H150" s="55">
        <v>0</v>
      </c>
      <c r="I150" s="55">
        <v>0</v>
      </c>
      <c r="J150" s="55">
        <v>0</v>
      </c>
      <c r="K150" s="60">
        <f>SUM(Tabla14[[#This Row],[april]:[june]])</f>
        <v>0</v>
      </c>
      <c r="L150" s="55">
        <v>0</v>
      </c>
      <c r="M150" s="55">
        <v>0</v>
      </c>
      <c r="N150" s="55">
        <v>304077</v>
      </c>
      <c r="O150" s="60">
        <f>SUM(Tabla14[[#This Row],[july]:[august]])</f>
        <v>0</v>
      </c>
      <c r="P150" s="55">
        <v>0</v>
      </c>
      <c r="Q150" s="55">
        <v>567222</v>
      </c>
      <c r="R150" s="55">
        <v>0</v>
      </c>
      <c r="S150" s="60">
        <f>SUM(Tabla14[[#This Row],[october]:[december]])</f>
        <v>567222</v>
      </c>
      <c r="T150" s="44">
        <f t="shared" si="4"/>
        <v>2146158</v>
      </c>
    </row>
    <row r="151" spans="2:20" x14ac:dyDescent="0.3">
      <c r="B151" s="25" t="s">
        <v>93</v>
      </c>
      <c r="C151" s="23" t="s">
        <v>342</v>
      </c>
      <c r="D151" s="55">
        <v>430000</v>
      </c>
      <c r="E151" s="55">
        <v>550000</v>
      </c>
      <c r="F151" s="55">
        <v>183335</v>
      </c>
      <c r="G151" s="60">
        <f>SUM(Tabla14[[#This Row],[january]:[march]])</f>
        <v>1163335</v>
      </c>
      <c r="H151" s="55">
        <v>0</v>
      </c>
      <c r="I151" s="55">
        <v>0</v>
      </c>
      <c r="J151" s="55">
        <v>0</v>
      </c>
      <c r="K151" s="60">
        <f>SUM(Tabla14[[#This Row],[april]:[june]])</f>
        <v>0</v>
      </c>
      <c r="L151" s="55">
        <v>0</v>
      </c>
      <c r="M151" s="55">
        <v>0</v>
      </c>
      <c r="N151" s="55">
        <v>0</v>
      </c>
      <c r="O151" s="60">
        <f>SUM(Tabla14[[#This Row],[july]:[august]])</f>
        <v>0</v>
      </c>
      <c r="P151" s="55">
        <v>0</v>
      </c>
      <c r="Q151" s="55">
        <v>0</v>
      </c>
      <c r="R151" s="55">
        <v>0</v>
      </c>
      <c r="S151" s="60">
        <f>SUM(Tabla14[[#This Row],[october]:[december]])</f>
        <v>0</v>
      </c>
      <c r="T151" s="44">
        <f t="shared" si="4"/>
        <v>1163335</v>
      </c>
    </row>
    <row r="152" spans="2:20" x14ac:dyDescent="0.3">
      <c r="B152" s="25" t="s">
        <v>93</v>
      </c>
      <c r="C152" s="23" t="s">
        <v>237</v>
      </c>
      <c r="D152" s="55">
        <v>0</v>
      </c>
      <c r="E152" s="55">
        <v>0</v>
      </c>
      <c r="F152" s="55">
        <v>0</v>
      </c>
      <c r="G152" s="60">
        <f>SUM(Tabla14[[#This Row],[january]:[march]])</f>
        <v>0</v>
      </c>
      <c r="H152" s="55">
        <v>0</v>
      </c>
      <c r="I152" s="55">
        <v>0</v>
      </c>
      <c r="J152" s="55">
        <v>0</v>
      </c>
      <c r="K152" s="60">
        <f>SUM(Tabla14[[#This Row],[april]:[june]])</f>
        <v>0</v>
      </c>
      <c r="L152" s="55">
        <v>183332</v>
      </c>
      <c r="M152" s="55">
        <v>651096</v>
      </c>
      <c r="N152" s="55">
        <v>542690</v>
      </c>
      <c r="O152" s="60">
        <f>SUM(Tabla14[[#This Row],[july]:[august]])</f>
        <v>834428</v>
      </c>
      <c r="P152" s="55">
        <v>704680</v>
      </c>
      <c r="Q152" s="55">
        <v>614023</v>
      </c>
      <c r="R152" s="55">
        <v>821772</v>
      </c>
      <c r="S152" s="60">
        <f>SUM(Tabla14[[#This Row],[october]:[december]])</f>
        <v>2140475</v>
      </c>
      <c r="T152" s="44">
        <f t="shared" si="4"/>
        <v>2974903</v>
      </c>
    </row>
    <row r="153" spans="2:20" x14ac:dyDescent="0.3">
      <c r="B153" s="25" t="s">
        <v>93</v>
      </c>
      <c r="C153" s="23" t="s">
        <v>228</v>
      </c>
      <c r="D153" s="55">
        <v>450000</v>
      </c>
      <c r="E153" s="55">
        <v>270000</v>
      </c>
      <c r="F153" s="55">
        <v>450000</v>
      </c>
      <c r="G153" s="60">
        <f>SUM(Tabla14[[#This Row],[january]:[march]])</f>
        <v>1170000</v>
      </c>
      <c r="H153" s="55">
        <v>497289.51360000001</v>
      </c>
      <c r="I153" s="55">
        <v>486690</v>
      </c>
      <c r="J153" s="55">
        <v>518315</v>
      </c>
      <c r="K153" s="60">
        <f>SUM(Tabla14[[#This Row],[april]:[june]])</f>
        <v>1502294.5135999999</v>
      </c>
      <c r="L153" s="55">
        <v>438021</v>
      </c>
      <c r="M153" s="55">
        <v>518315</v>
      </c>
      <c r="N153" s="55">
        <v>470466</v>
      </c>
      <c r="O153" s="60">
        <f>SUM(Tabla14[[#This Row],[july]:[august]])</f>
        <v>956336</v>
      </c>
      <c r="P153" s="55">
        <v>389352</v>
      </c>
      <c r="Q153" s="55">
        <v>477290</v>
      </c>
      <c r="R153" s="55">
        <v>727938</v>
      </c>
      <c r="S153" s="60">
        <f>SUM(Tabla14[[#This Row],[october]:[december]])</f>
        <v>1594580</v>
      </c>
      <c r="T153" s="44">
        <f t="shared" si="4"/>
        <v>5223210.5136000002</v>
      </c>
    </row>
    <row r="154" spans="2:20" x14ac:dyDescent="0.3">
      <c r="B154" s="25" t="s">
        <v>93</v>
      </c>
      <c r="C154" s="23" t="s">
        <v>194</v>
      </c>
      <c r="D154" s="55">
        <v>270000</v>
      </c>
      <c r="E154" s="55">
        <v>243000</v>
      </c>
      <c r="F154" s="55">
        <v>324833.40000000002</v>
      </c>
      <c r="G154" s="60">
        <f>SUM(Tabla14[[#This Row],[january]:[march]])</f>
        <v>837833.4</v>
      </c>
      <c r="H154" s="55">
        <v>171000.45</v>
      </c>
      <c r="I154" s="55">
        <v>293012</v>
      </c>
      <c r="J154" s="55">
        <v>390839</v>
      </c>
      <c r="K154" s="60">
        <f>SUM(Tabla14[[#This Row],[april]:[june]])</f>
        <v>854851.45</v>
      </c>
      <c r="L154" s="55">
        <v>304585</v>
      </c>
      <c r="M154" s="55">
        <v>302657</v>
      </c>
      <c r="N154" s="55">
        <v>293012</v>
      </c>
      <c r="O154" s="60">
        <f>SUM(Tabla14[[#This Row],[july]:[august]])</f>
        <v>607242</v>
      </c>
      <c r="P154" s="55">
        <v>297627</v>
      </c>
      <c r="Q154" s="55">
        <v>302243</v>
      </c>
      <c r="R154" s="55">
        <v>518256</v>
      </c>
      <c r="S154" s="60">
        <f>SUM(Tabla14[[#This Row],[october]:[december]])</f>
        <v>1118126</v>
      </c>
      <c r="T154" s="44">
        <f t="shared" si="4"/>
        <v>3418052.85</v>
      </c>
    </row>
    <row r="155" spans="2:20" x14ac:dyDescent="0.3">
      <c r="B155" s="25" t="s">
        <v>93</v>
      </c>
      <c r="C155" s="23" t="s">
        <v>227</v>
      </c>
      <c r="D155" s="55">
        <v>562634</v>
      </c>
      <c r="E155" s="55">
        <v>522305</v>
      </c>
      <c r="F155" s="55">
        <v>687980</v>
      </c>
      <c r="G155" s="60">
        <f>SUM(Tabla14[[#This Row],[january]:[march]])</f>
        <v>1772919</v>
      </c>
      <c r="H155" s="55">
        <v>678727.11439999996</v>
      </c>
      <c r="I155" s="55">
        <v>681698</v>
      </c>
      <c r="J155" s="55">
        <v>163780</v>
      </c>
      <c r="K155" s="60">
        <f>SUM(Tabla14[[#This Row],[april]:[june]])</f>
        <v>1524205.1143999998</v>
      </c>
      <c r="L155" s="55">
        <v>0</v>
      </c>
      <c r="M155" s="55">
        <v>0</v>
      </c>
      <c r="N155" s="55">
        <v>0</v>
      </c>
      <c r="O155" s="60">
        <f>SUM(Tabla14[[#This Row],[july]:[august]])</f>
        <v>0</v>
      </c>
      <c r="P155" s="55">
        <v>0</v>
      </c>
      <c r="Q155" s="55">
        <v>0</v>
      </c>
      <c r="R155" s="55">
        <v>0</v>
      </c>
      <c r="S155" s="60">
        <f>SUM(Tabla14[[#This Row],[october]:[december]])</f>
        <v>0</v>
      </c>
      <c r="T155" s="44">
        <f t="shared" si="4"/>
        <v>3297124.1143999998</v>
      </c>
    </row>
    <row r="156" spans="2:20" x14ac:dyDescent="0.3">
      <c r="B156" s="25" t="s">
        <v>93</v>
      </c>
      <c r="C156" s="23" t="s">
        <v>226</v>
      </c>
      <c r="D156" s="55">
        <v>610960</v>
      </c>
      <c r="E156" s="55">
        <v>869877</v>
      </c>
      <c r="F156" s="55">
        <v>723156</v>
      </c>
      <c r="G156" s="60">
        <f>SUM(Tabla14[[#This Row],[january]:[march]])</f>
        <v>2203993</v>
      </c>
      <c r="H156" s="55">
        <v>719517.23139999993</v>
      </c>
      <c r="I156" s="55">
        <v>760127</v>
      </c>
      <c r="J156" s="55">
        <v>812823</v>
      </c>
      <c r="K156" s="60">
        <f>SUM(Tabla14[[#This Row],[april]:[june]])</f>
        <v>2292467.2313999999</v>
      </c>
      <c r="L156" s="55">
        <v>776213</v>
      </c>
      <c r="M156" s="55">
        <v>843012</v>
      </c>
      <c r="N156" s="55">
        <v>900000</v>
      </c>
      <c r="O156" s="60">
        <f>SUM(Tabla14[[#This Row],[july]:[august]])</f>
        <v>1619225</v>
      </c>
      <c r="P156" s="55">
        <v>900000</v>
      </c>
      <c r="Q156" s="55">
        <v>919614</v>
      </c>
      <c r="R156" s="55">
        <v>1309100</v>
      </c>
      <c r="S156" s="60">
        <f>SUM(Tabla14[[#This Row],[october]:[december]])</f>
        <v>3128714</v>
      </c>
      <c r="T156" s="44">
        <f t="shared" si="4"/>
        <v>9244399.2313999999</v>
      </c>
    </row>
    <row r="157" spans="2:20" x14ac:dyDescent="0.3">
      <c r="B157" s="25" t="s">
        <v>93</v>
      </c>
      <c r="C157" s="23" t="s">
        <v>236</v>
      </c>
      <c r="D157" s="55">
        <v>0</v>
      </c>
      <c r="E157" s="55">
        <v>0</v>
      </c>
      <c r="F157" s="55">
        <v>0</v>
      </c>
      <c r="G157" s="60">
        <f>SUM(Tabla14[[#This Row],[january]:[march]])</f>
        <v>0</v>
      </c>
      <c r="H157" s="55">
        <v>0</v>
      </c>
      <c r="I157" s="55">
        <v>0</v>
      </c>
      <c r="J157" s="55">
        <v>0</v>
      </c>
      <c r="K157" s="60">
        <f>SUM(Tabla14[[#This Row],[april]:[june]])</f>
        <v>0</v>
      </c>
      <c r="L157" s="55">
        <v>539114</v>
      </c>
      <c r="M157" s="55">
        <v>969544</v>
      </c>
      <c r="N157" s="55">
        <v>1097035</v>
      </c>
      <c r="O157" s="60">
        <f>SUM(Tabla14[[#This Row],[july]:[august]])</f>
        <v>1508658</v>
      </c>
      <c r="P157" s="55">
        <v>1092741</v>
      </c>
      <c r="Q157" s="55">
        <v>1090086</v>
      </c>
      <c r="R157" s="55">
        <v>1307706</v>
      </c>
      <c r="S157" s="60">
        <f>SUM(Tabla14[[#This Row],[october]:[december]])</f>
        <v>3490533</v>
      </c>
      <c r="T157" s="44">
        <f t="shared" si="4"/>
        <v>4999191</v>
      </c>
    </row>
    <row r="158" spans="2:20" x14ac:dyDescent="0.3">
      <c r="B158" s="25" t="s">
        <v>93</v>
      </c>
      <c r="C158" s="23" t="s">
        <v>229</v>
      </c>
      <c r="D158" s="55">
        <v>580000</v>
      </c>
      <c r="E158" s="55">
        <v>614933</v>
      </c>
      <c r="F158" s="55">
        <v>587777</v>
      </c>
      <c r="G158" s="60">
        <f>SUM(Tabla14[[#This Row],[january]:[march]])</f>
        <v>1782710</v>
      </c>
      <c r="H158" s="55">
        <v>650000.19880000001</v>
      </c>
      <c r="I158" s="55">
        <v>744877</v>
      </c>
      <c r="J158" s="55">
        <v>628333</v>
      </c>
      <c r="K158" s="60">
        <f>SUM(Tabla14[[#This Row],[april]:[june]])</f>
        <v>2023210.1987999999</v>
      </c>
      <c r="L158" s="55">
        <v>645996</v>
      </c>
      <c r="M158" s="55">
        <v>641449</v>
      </c>
      <c r="N158" s="55">
        <v>642462</v>
      </c>
      <c r="O158" s="60">
        <f>SUM(Tabla14[[#This Row],[july]:[august]])</f>
        <v>1287445</v>
      </c>
      <c r="P158" s="55">
        <v>600587</v>
      </c>
      <c r="Q158" s="55">
        <v>699999</v>
      </c>
      <c r="R158" s="55">
        <v>971323</v>
      </c>
      <c r="S158" s="60">
        <f>SUM(Tabla14[[#This Row],[october]:[december]])</f>
        <v>2271909</v>
      </c>
      <c r="T158" s="44">
        <f t="shared" si="4"/>
        <v>7365274.1987999994</v>
      </c>
    </row>
    <row r="159" spans="2:20" x14ac:dyDescent="0.3">
      <c r="B159" s="25" t="s">
        <v>93</v>
      </c>
      <c r="C159" s="23" t="s">
        <v>200</v>
      </c>
      <c r="D159" s="55">
        <v>654212</v>
      </c>
      <c r="E159" s="55">
        <v>761692</v>
      </c>
      <c r="F159" s="55">
        <v>806571</v>
      </c>
      <c r="G159" s="60">
        <f>SUM(Tabla14[[#This Row],[january]:[march]])</f>
        <v>2222475</v>
      </c>
      <c r="H159" s="55">
        <v>806570.277</v>
      </c>
      <c r="I159" s="55">
        <v>825385</v>
      </c>
      <c r="J159" s="55">
        <v>887026</v>
      </c>
      <c r="K159" s="60">
        <f>SUM(Tabla14[[#This Row],[april]:[june]])</f>
        <v>2518981.2769999998</v>
      </c>
      <c r="L159" s="55">
        <v>862480</v>
      </c>
      <c r="M159" s="55">
        <v>776257</v>
      </c>
      <c r="N159" s="55">
        <v>874940</v>
      </c>
      <c r="O159" s="60">
        <f>SUM(Tabla14[[#This Row],[july]:[august]])</f>
        <v>1638737</v>
      </c>
      <c r="P159" s="55">
        <v>844227</v>
      </c>
      <c r="Q159" s="55">
        <v>817106</v>
      </c>
      <c r="R159" s="55">
        <v>1343923</v>
      </c>
      <c r="S159" s="60">
        <f>SUM(Tabla14[[#This Row],[october]:[december]])</f>
        <v>3005256</v>
      </c>
      <c r="T159" s="44">
        <f t="shared" si="4"/>
        <v>9385449.2769999988</v>
      </c>
    </row>
    <row r="160" spans="2:20" x14ac:dyDescent="0.3">
      <c r="B160" s="25" t="s">
        <v>93</v>
      </c>
      <c r="C160" s="23" t="s">
        <v>198</v>
      </c>
      <c r="D160" s="55">
        <v>400000</v>
      </c>
      <c r="E160" s="55">
        <v>400092.4</v>
      </c>
      <c r="F160" s="55">
        <v>400527.7</v>
      </c>
      <c r="G160" s="60">
        <f>SUM(Tabla14[[#This Row],[january]:[march]])</f>
        <v>1200620.1000000001</v>
      </c>
      <c r="H160" s="55">
        <v>399991.5</v>
      </c>
      <c r="I160" s="55">
        <v>427132</v>
      </c>
      <c r="J160" s="55">
        <v>427527</v>
      </c>
      <c r="K160" s="60">
        <f>SUM(Tabla14[[#This Row],[april]:[june]])</f>
        <v>1254650.5</v>
      </c>
      <c r="L160" s="55">
        <v>281919</v>
      </c>
      <c r="M160" s="55">
        <v>384751</v>
      </c>
      <c r="N160" s="55">
        <v>427933</v>
      </c>
      <c r="O160" s="60">
        <f>SUM(Tabla14[[#This Row],[july]:[august]])</f>
        <v>666670</v>
      </c>
      <c r="P160" s="55">
        <v>367966</v>
      </c>
      <c r="Q160" s="55">
        <v>423563.30000000005</v>
      </c>
      <c r="R160" s="55">
        <v>502514</v>
      </c>
      <c r="S160" s="60">
        <f>SUM(Tabla14[[#This Row],[october]:[december]])</f>
        <v>1294043.3</v>
      </c>
      <c r="T160" s="44">
        <f t="shared" si="4"/>
        <v>4415983.9000000004</v>
      </c>
    </row>
    <row r="161" spans="2:21" x14ac:dyDescent="0.3">
      <c r="B161" s="25" t="s">
        <v>93</v>
      </c>
      <c r="C161" s="23" t="s">
        <v>232</v>
      </c>
      <c r="D161" s="55">
        <v>0</v>
      </c>
      <c r="E161" s="55">
        <v>0</v>
      </c>
      <c r="F161" s="55">
        <v>450313</v>
      </c>
      <c r="G161" s="60">
        <f>SUM(Tabla14[[#This Row],[january]:[march]])</f>
        <v>450313</v>
      </c>
      <c r="H161" s="55">
        <v>718227.28799999994</v>
      </c>
      <c r="I161" s="55">
        <v>662221</v>
      </c>
      <c r="J161" s="55">
        <v>783713</v>
      </c>
      <c r="K161" s="60">
        <f>SUM(Tabla14[[#This Row],[april]:[june]])</f>
        <v>2164161.2879999997</v>
      </c>
      <c r="L161" s="55">
        <v>750881</v>
      </c>
      <c r="M161" s="55">
        <v>799501</v>
      </c>
      <c r="N161" s="55">
        <v>627202</v>
      </c>
      <c r="O161" s="60">
        <f>SUM(Tabla14[[#This Row],[july]:[august]])</f>
        <v>1550382</v>
      </c>
      <c r="P161" s="55">
        <v>642643</v>
      </c>
      <c r="Q161" s="55">
        <v>658085</v>
      </c>
      <c r="R161" s="55">
        <v>1020910</v>
      </c>
      <c r="S161" s="60">
        <f>SUM(Tabla14[[#This Row],[october]:[december]])</f>
        <v>2321638</v>
      </c>
      <c r="T161" s="44">
        <f t="shared" si="4"/>
        <v>6486494.2879999997</v>
      </c>
    </row>
    <row r="162" spans="2:21" x14ac:dyDescent="0.3">
      <c r="B162" s="25" t="s">
        <v>93</v>
      </c>
      <c r="C162" s="23" t="s">
        <v>231</v>
      </c>
      <c r="D162" s="55">
        <v>0</v>
      </c>
      <c r="E162" s="55">
        <v>0</v>
      </c>
      <c r="F162" s="55">
        <v>603887</v>
      </c>
      <c r="G162" s="60">
        <f>SUM(Tabla14[[#This Row],[january]:[march]])</f>
        <v>603887</v>
      </c>
      <c r="H162" s="55">
        <v>603887.85719999997</v>
      </c>
      <c r="I162" s="55">
        <v>599999</v>
      </c>
      <c r="J162" s="55">
        <v>607776</v>
      </c>
      <c r="K162" s="60">
        <f>SUM(Tabla14[[#This Row],[april]:[june]])</f>
        <v>1811662.8572</v>
      </c>
      <c r="L162" s="55">
        <v>380000</v>
      </c>
      <c r="M162" s="55">
        <v>611666</v>
      </c>
      <c r="N162" s="55">
        <v>596359</v>
      </c>
      <c r="O162" s="60">
        <f>SUM(Tabla14[[#This Row],[july]:[august]])</f>
        <v>991666</v>
      </c>
      <c r="P162" s="55">
        <v>606392</v>
      </c>
      <c r="Q162" s="55">
        <v>180000</v>
      </c>
      <c r="R162" s="55">
        <v>804550</v>
      </c>
      <c r="S162" s="60">
        <f>SUM(Tabla14[[#This Row],[october]:[december]])</f>
        <v>1590942</v>
      </c>
      <c r="T162" s="44">
        <f t="shared" si="4"/>
        <v>4998157.8572000004</v>
      </c>
    </row>
    <row r="163" spans="2:21" x14ac:dyDescent="0.3">
      <c r="B163" s="25" t="s">
        <v>93</v>
      </c>
      <c r="C163" s="23" t="s">
        <v>233</v>
      </c>
      <c r="D163" s="55"/>
      <c r="E163" s="55"/>
      <c r="F163" s="55"/>
      <c r="G163" s="60">
        <f>SUM(Tabla14[[#This Row],[january]:[march]])</f>
        <v>0</v>
      </c>
      <c r="H163" s="55"/>
      <c r="I163" s="55"/>
      <c r="J163" s="55">
        <v>447777.93180000002</v>
      </c>
      <c r="K163" s="60">
        <f>SUM(Tabla14[[#This Row],[april]:[june]])</f>
        <v>447777.93180000002</v>
      </c>
      <c r="L163" s="55">
        <v>492290</v>
      </c>
      <c r="M163" s="55">
        <v>511915</v>
      </c>
      <c r="N163" s="55">
        <v>659891</v>
      </c>
      <c r="O163" s="60">
        <f>SUM(Tabla14[[#This Row],[july]:[august]])</f>
        <v>1004205</v>
      </c>
      <c r="P163" s="55">
        <v>680901</v>
      </c>
      <c r="Q163" s="55">
        <v>651981</v>
      </c>
      <c r="R163" s="55">
        <v>862678</v>
      </c>
      <c r="S163" s="60">
        <f>SUM(Tabla14[[#This Row],[october]:[december]])</f>
        <v>2195560</v>
      </c>
      <c r="T163" s="44">
        <f t="shared" si="4"/>
        <v>3647542.9317999999</v>
      </c>
    </row>
    <row r="164" spans="2:21" x14ac:dyDescent="0.3">
      <c r="B164" s="25" t="s">
        <v>93</v>
      </c>
      <c r="C164" s="23" t="s">
        <v>234</v>
      </c>
      <c r="D164" s="55"/>
      <c r="E164" s="55"/>
      <c r="F164" s="55"/>
      <c r="G164" s="60">
        <f>SUM(Tabla14[[#This Row],[january]:[march]])</f>
        <v>0</v>
      </c>
      <c r="H164" s="55"/>
      <c r="I164" s="55"/>
      <c r="J164" s="55">
        <v>320000.61320000002</v>
      </c>
      <c r="K164" s="60">
        <f>SUM(Tabla14[[#This Row],[april]:[june]])</f>
        <v>320000.61320000002</v>
      </c>
      <c r="L164" s="55">
        <v>600000</v>
      </c>
      <c r="M164" s="55">
        <v>600000</v>
      </c>
      <c r="N164" s="55">
        <v>600000</v>
      </c>
      <c r="O164" s="60">
        <f>SUM(Tabla14[[#This Row],[july]:[august]])</f>
        <v>1200000</v>
      </c>
      <c r="P164" s="55">
        <v>600000</v>
      </c>
      <c r="Q164" s="55">
        <v>600000</v>
      </c>
      <c r="R164" s="55">
        <v>729894</v>
      </c>
      <c r="S164" s="60">
        <f>SUM(Tabla14[[#This Row],[october]:[december]])</f>
        <v>1929894</v>
      </c>
      <c r="T164" s="44">
        <f t="shared" si="4"/>
        <v>3449894.6132</v>
      </c>
    </row>
    <row r="165" spans="2:21" x14ac:dyDescent="0.3">
      <c r="B165" s="25" t="s">
        <v>93</v>
      </c>
      <c r="C165" s="23" t="s">
        <v>235</v>
      </c>
      <c r="D165" s="55"/>
      <c r="E165" s="55"/>
      <c r="F165" s="55"/>
      <c r="G165" s="60">
        <f>SUM(Tabla14[[#This Row],[january]:[march]])</f>
        <v>0</v>
      </c>
      <c r="H165" s="55"/>
      <c r="I165" s="55"/>
      <c r="J165" s="55">
        <v>300000.46499999997</v>
      </c>
      <c r="K165" s="60">
        <f>SUM(Tabla14[[#This Row],[april]:[june]])</f>
        <v>300000.46499999997</v>
      </c>
      <c r="L165" s="55">
        <v>580000</v>
      </c>
      <c r="M165" s="55">
        <v>600000</v>
      </c>
      <c r="N165" s="55">
        <v>600000</v>
      </c>
      <c r="O165" s="60">
        <f>SUM(Tabla14[[#This Row],[july]:[august]])</f>
        <v>1180000</v>
      </c>
      <c r="P165" s="55">
        <v>580000</v>
      </c>
      <c r="Q165" s="55">
        <v>580000</v>
      </c>
      <c r="R165" s="55">
        <v>749773</v>
      </c>
      <c r="S165" s="60">
        <f>SUM(Tabla14[[#This Row],[october]:[december]])</f>
        <v>1909773</v>
      </c>
      <c r="T165" s="44">
        <f t="shared" si="4"/>
        <v>3389773.4649999999</v>
      </c>
    </row>
    <row r="166" spans="2:21" x14ac:dyDescent="0.3">
      <c r="B166" s="25" t="s">
        <v>93</v>
      </c>
      <c r="C166" s="23" t="s">
        <v>343</v>
      </c>
      <c r="D166" s="55"/>
      <c r="E166" s="55"/>
      <c r="F166" s="55"/>
      <c r="G166" s="60">
        <f>SUM(Tabla14[[#This Row],[january]:[march]])</f>
        <v>0</v>
      </c>
      <c r="H166" s="55"/>
      <c r="I166" s="55"/>
      <c r="J166" s="55">
        <v>300000.46499999997</v>
      </c>
      <c r="K166" s="60">
        <f>SUM(Tabla14[[#This Row],[april]:[june]])</f>
        <v>300000.46499999997</v>
      </c>
      <c r="L166" s="55">
        <v>600000</v>
      </c>
      <c r="M166" s="55">
        <v>600000</v>
      </c>
      <c r="N166" s="55">
        <v>180000</v>
      </c>
      <c r="O166" s="60">
        <f>SUM(Tabla14[[#This Row],[july]:[august]])</f>
        <v>1200000</v>
      </c>
      <c r="P166" s="55">
        <v>0</v>
      </c>
      <c r="Q166" s="55">
        <v>0</v>
      </c>
      <c r="R166" s="55">
        <v>0</v>
      </c>
      <c r="S166" s="60">
        <f>SUM(Tabla14[[#This Row],[october]:[december]])</f>
        <v>0</v>
      </c>
      <c r="T166" s="44">
        <f t="shared" ref="T166:T172" si="5">SUM(G166,K166,O166,S166)</f>
        <v>1500000.4649999999</v>
      </c>
    </row>
    <row r="167" spans="2:21" x14ac:dyDescent="0.3">
      <c r="B167" s="25" t="s">
        <v>93</v>
      </c>
      <c r="C167" s="23" t="s">
        <v>344</v>
      </c>
      <c r="D167" s="55"/>
      <c r="E167" s="55"/>
      <c r="F167" s="55"/>
      <c r="G167" s="60">
        <f>SUM(Tabla14[[#This Row],[january]:[march]])</f>
        <v>0</v>
      </c>
      <c r="H167" s="55"/>
      <c r="I167" s="55"/>
      <c r="J167" s="55"/>
      <c r="K167" s="60">
        <f>SUM(Tabla14[[#This Row],[april]:[june]])</f>
        <v>0</v>
      </c>
      <c r="L167" s="55"/>
      <c r="M167" s="55">
        <v>559444</v>
      </c>
      <c r="N167" s="55">
        <v>600000</v>
      </c>
      <c r="O167" s="60">
        <f>SUM(Tabla14[[#This Row],[july]:[august]])</f>
        <v>559444</v>
      </c>
      <c r="P167" s="55">
        <v>600000</v>
      </c>
      <c r="Q167" s="55">
        <v>100000</v>
      </c>
      <c r="R167" s="55">
        <v>0</v>
      </c>
      <c r="S167" s="60">
        <f>SUM(Tabla14[[#This Row],[october]:[december]])</f>
        <v>700000</v>
      </c>
      <c r="T167" s="44">
        <f t="shared" si="5"/>
        <v>1259444</v>
      </c>
    </row>
    <row r="168" spans="2:21" x14ac:dyDescent="0.3">
      <c r="B168" s="25" t="s">
        <v>93</v>
      </c>
      <c r="C168" s="23" t="s">
        <v>345</v>
      </c>
      <c r="D168" s="55"/>
      <c r="E168" s="55"/>
      <c r="F168" s="55"/>
      <c r="G168" s="60">
        <f>SUM(Tabla14[[#This Row],[january]:[march]])</f>
        <v>0</v>
      </c>
      <c r="H168" s="55"/>
      <c r="I168" s="55"/>
      <c r="J168" s="55"/>
      <c r="K168" s="60">
        <f>SUM(Tabla14[[#This Row],[april]:[june]])</f>
        <v>0</v>
      </c>
      <c r="L168" s="55"/>
      <c r="M168" s="55">
        <v>321034</v>
      </c>
      <c r="N168" s="55">
        <v>574898</v>
      </c>
      <c r="O168" s="60">
        <f>SUM(Tabla14[[#This Row],[july]:[august]])</f>
        <v>321034</v>
      </c>
      <c r="P168" s="55">
        <v>594722</v>
      </c>
      <c r="Q168" s="55">
        <v>297362</v>
      </c>
      <c r="R168" s="55">
        <v>0</v>
      </c>
      <c r="S168" s="60">
        <f>SUM(Tabla14[[#This Row],[october]:[december]])</f>
        <v>892084</v>
      </c>
      <c r="T168" s="44">
        <f t="shared" si="5"/>
        <v>1213118</v>
      </c>
    </row>
    <row r="169" spans="2:21" x14ac:dyDescent="0.3">
      <c r="B169" s="25" t="s">
        <v>93</v>
      </c>
      <c r="C169" s="23" t="s">
        <v>238</v>
      </c>
      <c r="D169" s="55"/>
      <c r="E169" s="55"/>
      <c r="F169" s="55"/>
      <c r="G169" s="60">
        <f>SUM(Tabla14[[#This Row],[january]:[march]])</f>
        <v>0</v>
      </c>
      <c r="H169" s="55"/>
      <c r="I169" s="55"/>
      <c r="J169" s="55"/>
      <c r="K169" s="60">
        <f>SUM(Tabla14[[#This Row],[april]:[june]])</f>
        <v>0</v>
      </c>
      <c r="L169" s="55"/>
      <c r="M169" s="55">
        <v>514820</v>
      </c>
      <c r="N169" s="55">
        <v>695919</v>
      </c>
      <c r="O169" s="60">
        <f>SUM(Tabla14[[#This Row],[july]:[august]])</f>
        <v>514820</v>
      </c>
      <c r="P169" s="55">
        <v>718315</v>
      </c>
      <c r="Q169" s="55">
        <v>695919</v>
      </c>
      <c r="R169" s="55">
        <v>826171</v>
      </c>
      <c r="S169" s="60">
        <f>SUM(Tabla14[[#This Row],[october]:[december]])</f>
        <v>2240405</v>
      </c>
      <c r="T169" s="44">
        <f t="shared" si="5"/>
        <v>2755225</v>
      </c>
    </row>
    <row r="170" spans="2:21" x14ac:dyDescent="0.3">
      <c r="B170" s="25" t="s">
        <v>93</v>
      </c>
      <c r="C170" s="23" t="s">
        <v>246</v>
      </c>
      <c r="D170" s="55">
        <v>6000000</v>
      </c>
      <c r="E170" s="55">
        <v>6000000</v>
      </c>
      <c r="F170" s="55">
        <v>6000000</v>
      </c>
      <c r="G170" s="60">
        <f>SUM(Tabla14[[#This Row],[january]:[march]])</f>
        <v>18000000</v>
      </c>
      <c r="H170" s="55">
        <v>6000000</v>
      </c>
      <c r="I170" s="55">
        <v>6000000</v>
      </c>
      <c r="J170" s="55">
        <v>6000000</v>
      </c>
      <c r="K170" s="60">
        <f>SUM(Tabla14[[#This Row],[april]:[june]])</f>
        <v>18000000</v>
      </c>
      <c r="L170" s="55">
        <v>6000000</v>
      </c>
      <c r="M170" s="55">
        <v>6000000</v>
      </c>
      <c r="N170" s="55">
        <v>6000000</v>
      </c>
      <c r="O170" s="60">
        <f>SUM(Tabla14[[#This Row],[july]:[august]])</f>
        <v>12000000</v>
      </c>
      <c r="P170" s="55">
        <v>6000000</v>
      </c>
      <c r="Q170" s="55">
        <v>6000000</v>
      </c>
      <c r="R170" s="55">
        <v>6000000</v>
      </c>
      <c r="S170" s="60">
        <f>SUM(Tabla14[[#This Row],[october]:[december]])</f>
        <v>18000000</v>
      </c>
      <c r="T170" s="44">
        <f t="shared" si="5"/>
        <v>66000000</v>
      </c>
    </row>
    <row r="171" spans="2:21" x14ac:dyDescent="0.3">
      <c r="B171" s="25" t="s">
        <v>93</v>
      </c>
      <c r="C171" s="23" t="s">
        <v>173</v>
      </c>
      <c r="D171" s="55">
        <v>4766196.4207331641</v>
      </c>
      <c r="E171" s="55">
        <v>4766196.4207331641</v>
      </c>
      <c r="F171" s="55">
        <v>6125393</v>
      </c>
      <c r="G171" s="60">
        <f>SUM(Tabla14[[#This Row],[january]:[march]])</f>
        <v>15657785.841466328</v>
      </c>
      <c r="H171" s="55">
        <v>5121928</v>
      </c>
      <c r="I171" s="55">
        <v>6367841</v>
      </c>
      <c r="J171" s="55">
        <v>5562778.2152704</v>
      </c>
      <c r="K171" s="60">
        <f>SUM(Tabla14[[#This Row],[april]:[june]])</f>
        <v>17052547.2152704</v>
      </c>
      <c r="L171" s="55">
        <v>5700604</v>
      </c>
      <c r="M171" s="55">
        <v>6870885</v>
      </c>
      <c r="N171" s="55">
        <v>6835288</v>
      </c>
      <c r="O171" s="60">
        <f>SUM(Tabla14[[#This Row],[july]:[august]])</f>
        <v>12571489</v>
      </c>
      <c r="P171" s="55">
        <v>7078225</v>
      </c>
      <c r="Q171" s="55">
        <v>6530876</v>
      </c>
      <c r="R171" s="55">
        <v>8730058</v>
      </c>
      <c r="S171" s="60">
        <f>SUM(Tabla14[[#This Row],[october]:[december]])</f>
        <v>22339159</v>
      </c>
      <c r="T171" s="44">
        <f t="shared" si="5"/>
        <v>67620981.056736737</v>
      </c>
    </row>
    <row r="172" spans="2:21" x14ac:dyDescent="0.3">
      <c r="B172" s="25" t="s">
        <v>93</v>
      </c>
      <c r="C172" s="23" t="s">
        <v>172</v>
      </c>
      <c r="D172" s="55">
        <v>0</v>
      </c>
      <c r="E172" s="55">
        <v>585180</v>
      </c>
      <c r="F172" s="55">
        <v>589862</v>
      </c>
      <c r="G172" s="60">
        <f>SUM(Tabla14[[#This Row],[january]:[march]])</f>
        <v>1175042</v>
      </c>
      <c r="H172" s="55">
        <v>500811</v>
      </c>
      <c r="I172" s="55">
        <v>500811</v>
      </c>
      <c r="J172" s="55">
        <v>651319</v>
      </c>
      <c r="K172" s="60">
        <f>SUM(Tabla14[[#This Row],[april]:[june]])</f>
        <v>1652941</v>
      </c>
      <c r="L172" s="55">
        <v>561906</v>
      </c>
      <c r="M172" s="55">
        <v>664296</v>
      </c>
      <c r="N172" s="55">
        <v>664296</v>
      </c>
      <c r="O172" s="60">
        <f>SUM(Tabla14[[#This Row],[july]:[august]])</f>
        <v>1226202</v>
      </c>
      <c r="P172" s="55">
        <v>742647</v>
      </c>
      <c r="Q172" s="55">
        <v>718573</v>
      </c>
      <c r="R172" s="55">
        <v>622568</v>
      </c>
      <c r="S172" s="60">
        <f>SUM(Tabla14[[#This Row],[october]:[december]])</f>
        <v>2083788</v>
      </c>
      <c r="T172" s="44">
        <f t="shared" si="5"/>
        <v>6137973</v>
      </c>
    </row>
    <row r="173" spans="2:21" x14ac:dyDescent="0.3">
      <c r="B173" s="25" t="s">
        <v>356</v>
      </c>
      <c r="C173" s="25" t="s">
        <v>356</v>
      </c>
      <c r="D173" s="55">
        <v>11481497.620000001</v>
      </c>
      <c r="E173" s="55">
        <v>8633224.5</v>
      </c>
      <c r="F173" s="55">
        <v>17757440.98</v>
      </c>
      <c r="G173" s="60">
        <f>SUM(Tabla14[[#This Row],[january]:[march]])</f>
        <v>37872163.100000001</v>
      </c>
      <c r="H173" s="55">
        <v>14673519.879999999</v>
      </c>
      <c r="I173" s="55">
        <v>13100272.040000001</v>
      </c>
      <c r="J173" s="55">
        <v>15512642.92</v>
      </c>
      <c r="K173" s="60">
        <f>SUM(Tabla14[[#This Row],[april]:[june]])</f>
        <v>43286434.840000004</v>
      </c>
      <c r="L173" s="55">
        <v>14863311.199999999</v>
      </c>
      <c r="M173" s="55">
        <v>15186194</v>
      </c>
      <c r="N173" s="55">
        <v>13339932</v>
      </c>
      <c r="O173" s="60">
        <f>SUM(Tabla14[[#This Row],[july]:[august]])</f>
        <v>30049505.199999999</v>
      </c>
      <c r="P173" s="55">
        <v>13231266.360000001</v>
      </c>
      <c r="Q173" s="55">
        <v>11132786</v>
      </c>
      <c r="R173" s="55">
        <v>18075851</v>
      </c>
      <c r="S173" s="60">
        <f>SUM(Tabla14[[#This Row],[october]:[december]])</f>
        <v>42439903.359999999</v>
      </c>
      <c r="T173" s="44">
        <f>SUM(G173,K173,O173,S173)</f>
        <v>153648006.5</v>
      </c>
    </row>
    <row r="174" spans="2:21" x14ac:dyDescent="0.3">
      <c r="B174" s="46"/>
      <c r="C174" s="46"/>
      <c r="D174" s="63">
        <f>SUBTOTAL(109,Tabla14[january])</f>
        <v>171359266.63818088</v>
      </c>
      <c r="E174" s="63">
        <f>SUBTOTAL(109,Tabla14[february])</f>
        <v>105252890.21595867</v>
      </c>
      <c r="F174" s="63">
        <f>SUBTOTAL(109,Tabla14[march])</f>
        <v>154549562.73999998</v>
      </c>
      <c r="G174" s="63">
        <f>SUBTOTAL(109,Tabla14[cuarter 1])</f>
        <v>431161719.59413952</v>
      </c>
      <c r="H174" s="63">
        <f>SUBTOTAL(109,Tabla14[april])</f>
        <v>142602514.32202214</v>
      </c>
      <c r="I174" s="63">
        <f>SUBTOTAL(109,Tabla14[may])</f>
        <v>169958380.49388474</v>
      </c>
      <c r="J174" s="63">
        <f>SUBTOTAL(109,Tabla14[june])</f>
        <v>166638696.39167038</v>
      </c>
      <c r="K174" s="46">
        <f>SUBTOTAL(109,Tabla14[cuarter 2])</f>
        <v>479199591.20757723</v>
      </c>
      <c r="L174" s="63">
        <f>SUBTOTAL(109,Tabla14[july])</f>
        <v>189334394.169864</v>
      </c>
      <c r="M174" s="63">
        <f>SUBTOTAL(109,Tabla14[august])</f>
        <v>174466943.543558</v>
      </c>
      <c r="N174" s="63"/>
      <c r="O174" s="46">
        <f>SUBTOTAL(109,Tabla14[cuarter 3])</f>
        <v>363801337.713422</v>
      </c>
      <c r="P174" s="63"/>
      <c r="Q174" s="63"/>
      <c r="R174" s="63"/>
      <c r="S174" s="46">
        <f>SUBTOTAL(109,Tabla14[cuarter 4])</f>
        <v>578772068.903216</v>
      </c>
      <c r="T174" s="46">
        <f>SUBTOTAL(109,Tabla14[[Total ]])</f>
        <v>1852934717.4183545</v>
      </c>
      <c r="U174" s="64">
        <f>+Tabla14[[#Totals],[Total ]]-Tabla14[[#Totals],[cuarter 4]]-Tabla14[[#Totals],[cuarter 3]]-Tabla14[[#Totals],[cuarter 2]]-Tabla14[[#Totals],[cuarter 1]]</f>
        <v>0</v>
      </c>
    </row>
  </sheetData>
  <phoneticPr fontId="3" type="noConversion"/>
  <conditionalFormatting sqref="B1:B172 B175:B1048576">
    <cfRule type="containsText" dxfId="96" priority="2" operator="containsText" text="Personal">
      <formula>NOT(ISERROR(SEARCH("Personal",B1)))</formula>
    </cfRule>
    <cfRule type="containsText" dxfId="95" priority="3" operator="containsText" text="Financieros">
      <formula>NOT(ISERROR(SEARCH("Financieros",B1)))</formula>
    </cfRule>
    <cfRule type="containsText" dxfId="94" priority="4" operator="containsText" text="Extras">
      <formula>NOT(ISERROR(SEARCH("Extras",B1)))</formula>
    </cfRule>
    <cfRule type="containsText" dxfId="93" priority="5" operator="containsText" text="viaj">
      <formula>NOT(ISERROR(SEARCH("viaj",B1)))</formula>
    </cfRule>
    <cfRule type="containsText" dxfId="92" priority="6" operator="containsText" text="Importacion">
      <formula>NOT(ISERROR(SEARCH("Importacion",B1)))</formula>
    </cfRule>
    <cfRule type="containsText" dxfId="91" priority="7" operator="containsText" text="Sonriendo">
      <formula>NOT(ISERROR(SEARCH("Sonriendo",B1)))</formula>
    </cfRule>
    <cfRule type="containsText" dxfId="90" priority="8" operator="containsText" text="Operaciones">
      <formula>NOT(ISERROR(SEARCH("Operaciones",B1)))</formula>
    </cfRule>
    <cfRule type="containsText" dxfId="89" priority="9" operator="containsText" text="Operqaciones">
      <formula>NOT(ISERROR(SEARCH("Operqaciones",B1)))</formula>
    </cfRule>
    <cfRule type="containsText" dxfId="88" priority="10" operator="containsText" text="Oficina">
      <formula>NOT(ISERROR(SEARCH("Oficina",B1)))</formula>
    </cfRule>
    <cfRule type="cellIs" dxfId="87" priority="11" operator="equal">
      <formula>"Oficina"</formula>
    </cfRule>
  </conditionalFormatting>
  <conditionalFormatting sqref="C175:C1048576 C1:C111 C122:C172">
    <cfRule type="duplicateValues" dxfId="86" priority="1"/>
  </conditionalFormatting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7523B-5AF8-407F-BA8B-ACF079877567}">
  <sheetPr codeName="Hoja10">
    <pageSetUpPr fitToPage="1"/>
  </sheetPr>
  <dimension ref="B1:BT79"/>
  <sheetViews>
    <sheetView showGridLines="0"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39" sqref="E39"/>
    </sheetView>
  </sheetViews>
  <sheetFormatPr baseColWidth="10" defaultRowHeight="14" x14ac:dyDescent="0.3"/>
  <cols>
    <col min="1" max="1" width="2.1640625" customWidth="1"/>
    <col min="2" max="2" width="27.6640625" customWidth="1"/>
    <col min="3" max="3" width="11.08203125" customWidth="1"/>
    <col min="4" max="4" width="5.9140625" customWidth="1"/>
    <col min="5" max="5" width="12.6640625" style="67" customWidth="1"/>
    <col min="6" max="6" width="8.1640625" customWidth="1"/>
    <col min="7" max="7" width="7" customWidth="1"/>
    <col min="8" max="8" width="5.58203125" customWidth="1"/>
    <col min="9" max="9" width="13.1640625" style="72" customWidth="1"/>
    <col min="10" max="10" width="7.4140625" customWidth="1"/>
    <col min="11" max="11" width="7.5" customWidth="1"/>
    <col min="12" max="12" width="5.1640625" customWidth="1"/>
    <col min="13" max="13" width="14" style="72" customWidth="1"/>
    <col min="14" max="14" width="6.58203125" customWidth="1"/>
    <col min="15" max="16" width="7.4140625" customWidth="1"/>
    <col min="17" max="17" width="13.1640625" customWidth="1"/>
    <col min="18" max="18" width="7.4140625" customWidth="1"/>
    <col min="19" max="19" width="15.6640625" customWidth="1"/>
    <col min="20" max="20" width="30.9140625" customWidth="1"/>
    <col min="21" max="21" width="2.6640625" customWidth="1"/>
    <col min="22" max="22" width="1.9140625" customWidth="1"/>
    <col min="23" max="23" width="28.4140625" customWidth="1"/>
    <col min="24" max="24" width="7.4140625" customWidth="1"/>
    <col min="25" max="25" width="6" customWidth="1"/>
    <col min="26" max="26" width="15.08203125" customWidth="1"/>
    <col min="27" max="27" width="7.58203125" customWidth="1"/>
    <col min="28" max="28" width="7.4140625" customWidth="1"/>
    <col min="29" max="29" width="5.6640625" customWidth="1"/>
    <col min="30" max="30" width="12.4140625" customWidth="1"/>
    <col min="31" max="31" width="7.58203125" customWidth="1"/>
    <col min="32" max="32" width="7.4140625" customWidth="1"/>
    <col min="33" max="33" width="5.58203125" customWidth="1"/>
    <col min="34" max="34" width="12.4140625" customWidth="1"/>
    <col min="35" max="35" width="7.58203125" customWidth="1"/>
    <col min="36" max="36" width="7.4140625" customWidth="1"/>
    <col min="37" max="37" width="4.6640625" customWidth="1"/>
    <col min="38" max="38" width="12.4140625" customWidth="1"/>
    <col min="39" max="39" width="7.58203125" customWidth="1"/>
    <col min="40" max="40" width="7.4140625" customWidth="1"/>
    <col min="41" max="41" width="5.4140625" customWidth="1"/>
    <col min="42" max="42" width="12.4140625" customWidth="1"/>
    <col min="43" max="43" width="7.58203125" customWidth="1"/>
    <col min="44" max="44" width="7.4140625" customWidth="1"/>
    <col min="45" max="45" width="5.6640625" customWidth="1"/>
    <col min="46" max="46" width="12.4140625" customWidth="1"/>
    <col min="47" max="47" width="7.58203125" customWidth="1"/>
    <col min="48" max="48" width="7.4140625" customWidth="1"/>
    <col min="49" max="49" width="4.6640625" customWidth="1"/>
    <col min="50" max="50" width="12.4140625" customWidth="1"/>
    <col min="51" max="51" width="7.58203125" customWidth="1"/>
    <col min="52" max="52" width="7.4140625" customWidth="1"/>
    <col min="53" max="53" width="4.6640625" customWidth="1"/>
    <col min="54" max="54" width="12.4140625" customWidth="1"/>
    <col min="55" max="55" width="7.58203125" customWidth="1"/>
    <col min="56" max="56" width="7.4140625" customWidth="1"/>
    <col min="57" max="57" width="5.58203125" customWidth="1"/>
    <col min="58" max="58" width="14" customWidth="1"/>
    <col min="59" max="59" width="7.58203125" customWidth="1"/>
    <col min="60" max="60" width="7.4140625" customWidth="1"/>
    <col min="61" max="61" width="4.6640625" customWidth="1"/>
    <col min="62" max="62" width="12.4140625" customWidth="1"/>
    <col min="63" max="63" width="7.58203125" customWidth="1"/>
    <col min="64" max="64" width="7.4140625" customWidth="1"/>
    <col min="65" max="65" width="4.6640625" customWidth="1"/>
    <col min="66" max="66" width="12.4140625" customWidth="1"/>
    <col min="67" max="67" width="7.58203125" customWidth="1"/>
    <col min="68" max="68" width="7.4140625" customWidth="1"/>
    <col min="69" max="69" width="3.58203125" customWidth="1"/>
    <col min="70" max="70" width="14.4140625" customWidth="1"/>
    <col min="71" max="71" width="7.5" customWidth="1"/>
    <col min="72" max="72" width="16.5" customWidth="1"/>
  </cols>
  <sheetData>
    <row r="1" spans="2:72" ht="38" customHeight="1" x14ac:dyDescent="0.3">
      <c r="Q1" s="72"/>
    </row>
    <row r="2" spans="2:72" ht="30" customHeight="1" x14ac:dyDescent="0.3">
      <c r="C2" s="239" t="s">
        <v>361</v>
      </c>
      <c r="D2" s="239"/>
      <c r="E2" s="239"/>
      <c r="F2" s="239"/>
      <c r="G2" s="239" t="s">
        <v>362</v>
      </c>
      <c r="H2" s="239"/>
      <c r="I2" s="239"/>
      <c r="J2" s="239"/>
      <c r="K2" s="239" t="s">
        <v>363</v>
      </c>
      <c r="L2" s="239"/>
      <c r="M2" s="239"/>
      <c r="N2" s="239"/>
      <c r="O2" s="239" t="s">
        <v>367</v>
      </c>
      <c r="P2" s="239"/>
      <c r="Q2" s="239"/>
      <c r="R2" s="239"/>
      <c r="S2" s="2" t="s">
        <v>373</v>
      </c>
      <c r="T2" s="2" t="s">
        <v>374</v>
      </c>
      <c r="X2" s="243">
        <v>44927</v>
      </c>
      <c r="Y2" s="244"/>
      <c r="Z2" s="244"/>
      <c r="AA2" s="245"/>
      <c r="AB2" s="246">
        <v>44958</v>
      </c>
      <c r="AC2" s="246"/>
      <c r="AD2" s="246"/>
      <c r="AE2" s="247"/>
      <c r="AF2" s="240">
        <v>44986</v>
      </c>
      <c r="AG2" s="241"/>
      <c r="AH2" s="241"/>
      <c r="AI2" s="242"/>
      <c r="AJ2" s="243">
        <v>45017</v>
      </c>
      <c r="AK2" s="244"/>
      <c r="AL2" s="244"/>
      <c r="AM2" s="245"/>
      <c r="AN2" s="246">
        <v>45047</v>
      </c>
      <c r="AO2" s="246"/>
      <c r="AP2" s="246"/>
      <c r="AQ2" s="247"/>
      <c r="AR2" s="240">
        <v>45078</v>
      </c>
      <c r="AS2" s="241"/>
      <c r="AT2" s="241"/>
      <c r="AU2" s="242"/>
      <c r="AV2" s="243">
        <v>45108</v>
      </c>
      <c r="AW2" s="244"/>
      <c r="AX2" s="244"/>
      <c r="AY2" s="245"/>
      <c r="AZ2" s="246">
        <v>45139</v>
      </c>
      <c r="BA2" s="246"/>
      <c r="BB2" s="246"/>
      <c r="BC2" s="247"/>
      <c r="BD2" s="240">
        <v>45170</v>
      </c>
      <c r="BE2" s="241"/>
      <c r="BF2" s="241"/>
      <c r="BG2" s="242"/>
      <c r="BH2" s="243">
        <v>45200</v>
      </c>
      <c r="BI2" s="244"/>
      <c r="BJ2" s="244"/>
      <c r="BK2" s="245"/>
      <c r="BL2" s="246">
        <v>45231</v>
      </c>
      <c r="BM2" s="246"/>
      <c r="BN2" s="246"/>
      <c r="BO2" s="247"/>
      <c r="BP2" s="240">
        <v>45261</v>
      </c>
      <c r="BQ2" s="241"/>
      <c r="BR2" s="241"/>
      <c r="BS2" s="242"/>
      <c r="BT2" t="s">
        <v>360</v>
      </c>
    </row>
    <row r="3" spans="2:72" x14ac:dyDescent="0.3">
      <c r="B3" s="69" t="s">
        <v>368</v>
      </c>
      <c r="C3" s="74">
        <f t="shared" ref="C3:D7" si="0">AVERAGE(X3,AB3,AF3)</f>
        <v>0.49333333333333335</v>
      </c>
      <c r="D3" s="81">
        <f t="shared" si="0"/>
        <v>12.333333333333334</v>
      </c>
      <c r="E3" s="81">
        <f>SUM(Z3,AD3,AH3)</f>
        <v>22540097.523000002</v>
      </c>
      <c r="F3" s="82">
        <f>SUM(E3)/SUM($E$3:$E$7)</f>
        <v>0.2762214312363811</v>
      </c>
      <c r="G3" s="74">
        <f t="shared" ref="G3:H7" si="1">AVERAGE(AJ3,AN3,AR3)</f>
        <v>0.49078888888888889</v>
      </c>
      <c r="H3" s="81">
        <f t="shared" si="1"/>
        <v>12.666533333333334</v>
      </c>
      <c r="I3" s="81">
        <f>SUM(AL3,AP3,AT3)</f>
        <v>20394058.3924</v>
      </c>
      <c r="J3" s="82">
        <f>SUM(I3)/SUM($I$3:$I$7)</f>
        <v>0.246275771280866</v>
      </c>
      <c r="K3" s="74">
        <f t="shared" ref="K3:L7" si="2">AVERAGE(AV3,AZ3,BD3)</f>
        <v>0.47826666666666667</v>
      </c>
      <c r="L3" s="81">
        <f t="shared" si="2"/>
        <v>11.6668</v>
      </c>
      <c r="M3" s="81">
        <f>SUM(AX3,BB3,BF3)</f>
        <v>21154266.699500002</v>
      </c>
      <c r="N3" s="82">
        <f>SUM(M3)/SUM($M$3:$M$7)</f>
        <v>0.25216190084022033</v>
      </c>
      <c r="O3" s="74">
        <f t="shared" ref="O3:P7" si="3">AVERAGE(BL3,BH3,BP3)</f>
        <v>0.35179487179487179</v>
      </c>
      <c r="P3" s="81">
        <f t="shared" si="3"/>
        <v>9</v>
      </c>
      <c r="Q3" s="81">
        <f>SUM(BN3,BJ3,BR3)</f>
        <v>16568974.177000001</v>
      </c>
      <c r="R3" s="82">
        <f>SUM(Q3)/SUM($Q$3:$Q$7)</f>
        <v>0.18003112713230801</v>
      </c>
      <c r="S3" s="73">
        <f>AVERAGE(C3,G3,K3,O3)</f>
        <v>0.45354594017094019</v>
      </c>
      <c r="T3" s="89">
        <f>AVERAGE(F3,J3,N3,R3)</f>
        <v>0.23867255762244388</v>
      </c>
      <c r="U3" s="89"/>
      <c r="W3" s="69" t="s">
        <v>368</v>
      </c>
      <c r="X3" s="74">
        <v>0.48</v>
      </c>
      <c r="Y3" s="24">
        <f>+X$9*X3</f>
        <v>12</v>
      </c>
      <c r="Z3" s="24">
        <v>7727819.3099999996</v>
      </c>
      <c r="AA3" s="75">
        <f>SUM(Z3)/SUM($Z$3:$Z$7)</f>
        <v>0.28415325993216795</v>
      </c>
      <c r="AB3" s="78">
        <v>0.52</v>
      </c>
      <c r="AC3" s="24">
        <f>+AB$9*AB3</f>
        <v>13</v>
      </c>
      <c r="AD3" s="24">
        <v>8118054.3603000008</v>
      </c>
      <c r="AE3" s="76">
        <f>SUM(AD3)/SUM($AD$3:$AD$7)</f>
        <v>0.29703411042167671</v>
      </c>
      <c r="AF3" s="74">
        <v>0.48</v>
      </c>
      <c r="AG3" s="24">
        <f>+AF$9*AF3</f>
        <v>12</v>
      </c>
      <c r="AH3" s="24">
        <v>6694223.8527000006</v>
      </c>
      <c r="AI3" s="76">
        <f>SUM(AH3)/SUM($AH$3:$AH$7)</f>
        <v>0.24724541370093298</v>
      </c>
      <c r="AJ3" s="74">
        <v>0.41666666666666669</v>
      </c>
      <c r="AK3" s="24">
        <f>+AJ$9*AJ3</f>
        <v>10</v>
      </c>
      <c r="AL3" s="24">
        <v>5971593.4758000001</v>
      </c>
      <c r="AM3" s="76">
        <f>SUM(AL3)/SUM($AL$3:$AL$7)</f>
        <v>0.21549768035276459</v>
      </c>
      <c r="AN3" s="74">
        <v>0.53569999999999995</v>
      </c>
      <c r="AO3" s="24">
        <f>+AN$9*AN3</f>
        <v>14.999599999999999</v>
      </c>
      <c r="AP3" s="24">
        <v>6661744.5668000011</v>
      </c>
      <c r="AQ3" s="76">
        <f>SUM(AP3)/SUM($AP$3:$AP$7)</f>
        <v>0.24527744902422657</v>
      </c>
      <c r="AR3" s="74">
        <v>0.52</v>
      </c>
      <c r="AS3" s="24">
        <f>+AR$9*AR3</f>
        <v>13</v>
      </c>
      <c r="AT3" s="24">
        <v>7760720.349799999</v>
      </c>
      <c r="AU3" s="76">
        <f>SUM(AT3)/SUM($AT$3:$AT$7)</f>
        <v>0.27777274920832329</v>
      </c>
      <c r="AV3" s="74">
        <v>0.43480000000000002</v>
      </c>
      <c r="AW3" s="24">
        <f>+AV$9*AV3</f>
        <v>10.000400000000001</v>
      </c>
      <c r="AX3" s="24">
        <v>6467311.6347000003</v>
      </c>
      <c r="AY3" s="76">
        <f>SUM(AX3)/SUM($AX$3:$AX$7)</f>
        <v>0.23025026781987565</v>
      </c>
      <c r="AZ3" s="74">
        <v>0.52</v>
      </c>
      <c r="BA3" s="24">
        <f>+AZ$9*AZ3</f>
        <v>13</v>
      </c>
      <c r="BB3" s="24">
        <v>7656741.4897000007</v>
      </c>
      <c r="BC3" s="76">
        <f>SUM(BB3)/SUM($BB$3:$BB$7)</f>
        <v>0.277585373635441</v>
      </c>
      <c r="BD3" s="74">
        <v>0.48</v>
      </c>
      <c r="BE3" s="24">
        <f>+BD$9*BD3</f>
        <v>12</v>
      </c>
      <c r="BF3" s="24">
        <v>7030213.5751</v>
      </c>
      <c r="BG3" s="76">
        <f>SUM(BF3)/SUM($BF$3:$BF$7)</f>
        <v>0.24912125282759728</v>
      </c>
      <c r="BH3" s="74">
        <v>0.44</v>
      </c>
      <c r="BI3" s="24">
        <f>+BH$9*BH3</f>
        <v>11</v>
      </c>
      <c r="BJ3" s="24">
        <v>7027274.1770000001</v>
      </c>
      <c r="BK3" s="76">
        <f>SUM(BJ3)/SUM($BJ$3:$BJ$7)</f>
        <v>0.24193867911732952</v>
      </c>
      <c r="BL3" s="74">
        <v>0.46153846153846145</v>
      </c>
      <c r="BM3" s="24">
        <v>12</v>
      </c>
      <c r="BN3" s="24">
        <v>7304018</v>
      </c>
      <c r="BO3" s="76">
        <f>SUM(BN3)/SUM($BN$3:$BN$7)</f>
        <v>0.25107013876016271</v>
      </c>
      <c r="BP3" s="74">
        <v>0.15384615384615385</v>
      </c>
      <c r="BQ3" s="24">
        <v>4</v>
      </c>
      <c r="BR3" s="24">
        <v>2237682</v>
      </c>
      <c r="BS3" s="76">
        <f>SUM(BR3)/SUM($BR$3:$BR$7)</f>
        <v>6.6014717123037456E-2</v>
      </c>
      <c r="BT3" s="64">
        <f>AVERAGE(Z3,AD3,AH3,AL3,AP3,AT3,AX3,BB3,BF3,BJ3,BN3,BR3)</f>
        <v>6721449.7326583331</v>
      </c>
    </row>
    <row r="4" spans="2:72" x14ac:dyDescent="0.3">
      <c r="B4" s="69" t="s">
        <v>372</v>
      </c>
      <c r="C4" s="74">
        <f t="shared" si="0"/>
        <v>0.25333333333333335</v>
      </c>
      <c r="D4" s="81">
        <f t="shared" si="0"/>
        <v>6.333333333333333</v>
      </c>
      <c r="E4" s="81">
        <f>SUM(Z4,AD4,AH4)</f>
        <v>16048268.7084</v>
      </c>
      <c r="F4" s="82">
        <f>SUM(E4)/SUM($E$3:$E$7)</f>
        <v>0.19666621881191748</v>
      </c>
      <c r="G4" s="74">
        <f t="shared" si="1"/>
        <v>0.26111111111111107</v>
      </c>
      <c r="H4" s="81">
        <f t="shared" si="1"/>
        <v>6.666666666666667</v>
      </c>
      <c r="I4" s="81">
        <f>SUM(AL4,AP4,AT4)</f>
        <v>17029671.061799999</v>
      </c>
      <c r="J4" s="82">
        <f>SUM(I4)/SUM($I$3:$I$7)</f>
        <v>0.20564790463516391</v>
      </c>
      <c r="K4" s="74">
        <f t="shared" si="2"/>
        <v>0.23363333333333336</v>
      </c>
      <c r="L4" s="81">
        <f t="shared" si="2"/>
        <v>5.6669000000000009</v>
      </c>
      <c r="M4" s="81">
        <f>SUM(AX4,BB4,BF4)</f>
        <v>14645209.267699998</v>
      </c>
      <c r="N4" s="82">
        <f>SUM(M4)/SUM($M$3:$M$7)</f>
        <v>0.17457300031266643</v>
      </c>
      <c r="O4" s="74">
        <f t="shared" si="3"/>
        <v>0.31128205128205128</v>
      </c>
      <c r="P4" s="81">
        <f t="shared" si="3"/>
        <v>7.666666666666667</v>
      </c>
      <c r="Q4" s="81">
        <f>SUM(BN4,BJ4,BR4)</f>
        <v>20621630.424499996</v>
      </c>
      <c r="R4" s="82">
        <f>SUM(Q4)/SUM($Q$3:$Q$7)</f>
        <v>0.22406549306969986</v>
      </c>
      <c r="S4" s="73">
        <f>AVERAGE(C4,G4,K4,O4)</f>
        <v>0.26483995726495729</v>
      </c>
      <c r="T4" s="89">
        <f>AVERAGE(F4,J4,N4,R4)</f>
        <v>0.20023815420736191</v>
      </c>
      <c r="U4" s="89"/>
      <c r="W4" s="69" t="s">
        <v>372</v>
      </c>
      <c r="X4" s="74">
        <v>0.28000000000000003</v>
      </c>
      <c r="Y4" s="24">
        <f>+X$9*X4</f>
        <v>7.0000000000000009</v>
      </c>
      <c r="Z4" s="24">
        <v>6001401.8499999996</v>
      </c>
      <c r="AA4" s="76">
        <f>SUM(Z4)/SUM($Z$3:$Z$7)</f>
        <v>0.22067258969599843</v>
      </c>
      <c r="AB4" s="78">
        <v>0.2</v>
      </c>
      <c r="AC4" s="24">
        <f>+AB$9*AB4</f>
        <v>5</v>
      </c>
      <c r="AD4" s="24">
        <v>4152071.1115000001</v>
      </c>
      <c r="AE4" s="76">
        <f>SUM(AD4)/SUM($AD$3:$AD$7)</f>
        <v>0.15192146963726028</v>
      </c>
      <c r="AF4" s="74">
        <v>0.28000000000000003</v>
      </c>
      <c r="AG4" s="24">
        <f>+AF$9*AF4</f>
        <v>7.0000000000000009</v>
      </c>
      <c r="AH4" s="24">
        <v>5894795.7469000006</v>
      </c>
      <c r="AI4" s="76">
        <f>SUM(AH4)/SUM($AH$3:$AH$7)</f>
        <v>0.21771922260068266</v>
      </c>
      <c r="AJ4" s="74">
        <v>0.33333333333333331</v>
      </c>
      <c r="AK4" s="24">
        <f>+AJ$9*AJ4</f>
        <v>8</v>
      </c>
      <c r="AL4" s="24">
        <v>6739567.4832999995</v>
      </c>
      <c r="AM4" s="76">
        <f>SUM(AL4)/SUM($AL$3:$AL$7)</f>
        <v>0.24321165952066084</v>
      </c>
      <c r="AN4" s="74">
        <v>0.25</v>
      </c>
      <c r="AO4" s="24">
        <f>+AN$9*AN4</f>
        <v>7</v>
      </c>
      <c r="AP4" s="24">
        <v>5999562.7292999998</v>
      </c>
      <c r="AQ4" s="76">
        <f>SUM(AP4)/SUM($AP$3:$AP$7)</f>
        <v>0.22089670757376392</v>
      </c>
      <c r="AR4" s="74">
        <v>0.2</v>
      </c>
      <c r="AS4" s="24">
        <f>+AR$9*AR4</f>
        <v>5</v>
      </c>
      <c r="AT4" s="24">
        <v>4290540.8492000001</v>
      </c>
      <c r="AU4" s="76">
        <f>SUM(AT4)/SUM($AT$3:$AT$7)</f>
        <v>0.15356761660708618</v>
      </c>
      <c r="AV4" s="74">
        <v>0.26090000000000002</v>
      </c>
      <c r="AW4" s="24">
        <f>+AV$9*AV4</f>
        <v>6.0007000000000001</v>
      </c>
      <c r="AX4" s="24">
        <v>5220558.8629000001</v>
      </c>
      <c r="AY4" s="76">
        <f>SUM(AX4)/SUM($AX$3:$AX$7)</f>
        <v>0.18586317534208469</v>
      </c>
      <c r="AZ4" s="74">
        <v>0.24</v>
      </c>
      <c r="BA4" s="24">
        <f>+AZ$9*AZ4</f>
        <v>6</v>
      </c>
      <c r="BB4" s="24">
        <v>5131256.6292999992</v>
      </c>
      <c r="BC4" s="76">
        <f>SUM(BB4)/SUM($BB$3:$BB$7)</f>
        <v>0.18602714883082488</v>
      </c>
      <c r="BD4" s="74">
        <v>0.2</v>
      </c>
      <c r="BE4" s="24">
        <f>+BD$9*BD4</f>
        <v>5</v>
      </c>
      <c r="BF4" s="24">
        <v>4293393.7755000005</v>
      </c>
      <c r="BG4" s="76">
        <f>SUM(BF4)/SUM($BF$3:$BF$7)</f>
        <v>0.15213984963743496</v>
      </c>
      <c r="BH4" s="74">
        <v>0.28000000000000003</v>
      </c>
      <c r="BI4" s="24">
        <f>+BH$9*BH4</f>
        <v>7.0000000000000009</v>
      </c>
      <c r="BJ4" s="24">
        <v>5803503.8437000001</v>
      </c>
      <c r="BK4" s="76">
        <f>SUM(BJ4)/SUM($BJ$3:$BJ$7)</f>
        <v>0.19980607257258617</v>
      </c>
      <c r="BL4" s="74">
        <v>0.26923076923076927</v>
      </c>
      <c r="BM4" s="24">
        <v>7</v>
      </c>
      <c r="BN4" s="24">
        <v>5759690</v>
      </c>
      <c r="BO4" s="76">
        <f>SUM(BN4)/SUM($BN$3:$BN$7)</f>
        <v>0.19798502242403038</v>
      </c>
      <c r="BP4" s="74">
        <v>0.38461538461538458</v>
      </c>
      <c r="BQ4" s="24">
        <v>9</v>
      </c>
      <c r="BR4" s="24">
        <v>9058436.5807999987</v>
      </c>
      <c r="BS4" s="76">
        <f>SUM(BR4)/SUM($BR$3:$BR$7)</f>
        <v>0.26723642075079773</v>
      </c>
      <c r="BT4" s="64">
        <f>AVERAGE(Z4,AD4,AH4,AL4,AP4,AT4,AX4,BB4,BF4,BJ4,BN4,BR4)</f>
        <v>5695398.2885333337</v>
      </c>
    </row>
    <row r="5" spans="2:72" x14ac:dyDescent="0.3">
      <c r="B5" s="69" t="s">
        <v>369</v>
      </c>
      <c r="C5" s="74">
        <f t="shared" si="0"/>
        <v>0.17333333333333334</v>
      </c>
      <c r="D5" s="81">
        <f t="shared" si="0"/>
        <v>4.333333333333333</v>
      </c>
      <c r="E5" s="81">
        <f>SUM(Z5,AD5,AH5)</f>
        <v>16729195.6063</v>
      </c>
      <c r="F5" s="82">
        <f>SUM(E5)/SUM($E$3:$E$7)</f>
        <v>0.20501075246415049</v>
      </c>
      <c r="G5" s="74">
        <f t="shared" si="1"/>
        <v>0.15596666666666667</v>
      </c>
      <c r="H5" s="81">
        <f t="shared" si="1"/>
        <v>4.0004</v>
      </c>
      <c r="I5" s="81">
        <f>SUM(AL5,AP5,AT5)</f>
        <v>17208668.885000002</v>
      </c>
      <c r="J5" s="82">
        <f>SUM(I5)/SUM($I$3:$I$7)</f>
        <v>0.20780945708921614</v>
      </c>
      <c r="K5" s="74">
        <f t="shared" si="2"/>
        <v>0.17796666666666669</v>
      </c>
      <c r="L5" s="81">
        <f t="shared" si="2"/>
        <v>4.3332333333333333</v>
      </c>
      <c r="M5" s="81">
        <f>SUM(AX5,BB5,BF5)</f>
        <v>17840393.750100002</v>
      </c>
      <c r="N5" s="82">
        <f>SUM(M5)/SUM($M$3:$M$7)</f>
        <v>0.21266005877998756</v>
      </c>
      <c r="O5" s="74">
        <f t="shared" si="3"/>
        <v>0.22</v>
      </c>
      <c r="P5" s="81">
        <f t="shared" si="3"/>
        <v>5.666666666666667</v>
      </c>
      <c r="Q5" s="81">
        <f>SUM(BN5,BJ5,BR5)</f>
        <v>21747758.511299998</v>
      </c>
      <c r="R5" s="82">
        <f>SUM(Q5)/SUM($Q$3:$Q$7)</f>
        <v>0.23630150156341712</v>
      </c>
      <c r="S5" s="73">
        <f>AVERAGE(C5,G5,K5,O5)</f>
        <v>0.18181666666666668</v>
      </c>
      <c r="T5" s="89">
        <f>AVERAGE(F5,J5,N5,R5)</f>
        <v>0.21544544247419284</v>
      </c>
      <c r="U5" s="89"/>
      <c r="W5" s="69" t="s">
        <v>369</v>
      </c>
      <c r="X5" s="74">
        <v>0.16</v>
      </c>
      <c r="Y5" s="24">
        <f>+X$9*X5</f>
        <v>4</v>
      </c>
      <c r="Z5" s="24">
        <v>4700016.37</v>
      </c>
      <c r="AA5" s="76">
        <f>SUM(Z5)/SUM($Z$3:$Z$7)</f>
        <v>0.17282041927945319</v>
      </c>
      <c r="AB5" s="78">
        <v>0.2</v>
      </c>
      <c r="AC5" s="24">
        <f>+AB$9*AB5</f>
        <v>5</v>
      </c>
      <c r="AD5" s="24">
        <v>6300573.8606000002</v>
      </c>
      <c r="AE5" s="76">
        <f>SUM(AD5)/SUM($AD$3:$AD$7)</f>
        <v>0.23053372997618482</v>
      </c>
      <c r="AF5" s="74">
        <v>0.16</v>
      </c>
      <c r="AG5" s="24">
        <f>+AF$9*AF5</f>
        <v>4</v>
      </c>
      <c r="AH5" s="24">
        <v>5728605.3756999997</v>
      </c>
      <c r="AI5" s="76">
        <f>SUM(AH5)/SUM($AH$3:$AH$7)</f>
        <v>0.2115811238479971</v>
      </c>
      <c r="AJ5" s="74">
        <v>0.125</v>
      </c>
      <c r="AK5" s="24">
        <f>+AJ$9*AJ5</f>
        <v>3</v>
      </c>
      <c r="AL5" s="24">
        <v>4344548.0432000002</v>
      </c>
      <c r="AM5" s="76">
        <f>SUM(AL5)/SUM($AL$3:$AL$7)</f>
        <v>0.15678227750848639</v>
      </c>
      <c r="AN5" s="74">
        <v>0.1429</v>
      </c>
      <c r="AO5" s="24">
        <f>+AN$9*AN5</f>
        <v>4.0011999999999999</v>
      </c>
      <c r="AP5" s="24">
        <v>5738127.0042000003</v>
      </c>
      <c r="AQ5" s="76">
        <f>SUM(AP5)/SUM($AP$3:$AP$7)</f>
        <v>0.21127095757789921</v>
      </c>
      <c r="AR5" s="74">
        <v>0.2</v>
      </c>
      <c r="AS5" s="24">
        <f>+AR$9*AR5</f>
        <v>5</v>
      </c>
      <c r="AT5" s="24">
        <v>7125993.8376000002</v>
      </c>
      <c r="AU5" s="76">
        <f>SUM(AT5)/SUM($AT$3:$AT$7)</f>
        <v>0.25505453229773101</v>
      </c>
      <c r="AV5" s="74">
        <v>0.1739</v>
      </c>
      <c r="AW5" s="24">
        <f>+AV$9*AV5</f>
        <v>3.9996999999999998</v>
      </c>
      <c r="AX5" s="24">
        <v>5743240.6910000006</v>
      </c>
      <c r="AY5" s="76">
        <f>SUM(AX5)/SUM($AX$3:$AX$7)</f>
        <v>0.20447177775717301</v>
      </c>
      <c r="AZ5" s="74">
        <v>0.12</v>
      </c>
      <c r="BA5" s="24">
        <f>+AZ$9*AZ5</f>
        <v>3</v>
      </c>
      <c r="BB5" s="24">
        <v>4166464.9616999999</v>
      </c>
      <c r="BC5" s="76">
        <f>SUM(BB5)/SUM($BB$3:$BB$7)</f>
        <v>0.15104986039926793</v>
      </c>
      <c r="BD5" s="74">
        <v>0.24</v>
      </c>
      <c r="BE5" s="24">
        <f>+BD$9*BD5</f>
        <v>6</v>
      </c>
      <c r="BF5" s="24">
        <v>7930688.0974000013</v>
      </c>
      <c r="BG5" s="76">
        <f>SUM(BF5)/SUM($BF$3:$BF$7)</f>
        <v>0.28103028926558593</v>
      </c>
      <c r="BH5" s="74">
        <v>0.16</v>
      </c>
      <c r="BI5" s="24">
        <f>+BH$9*BH5</f>
        <v>4</v>
      </c>
      <c r="BJ5" s="24">
        <v>5426029.9261999996</v>
      </c>
      <c r="BK5" s="76">
        <f>SUM(BJ5)/SUM($BJ$3:$BJ$7)</f>
        <v>0.18681020266614379</v>
      </c>
      <c r="BL5" s="74">
        <v>0.15384615384615385</v>
      </c>
      <c r="BM5" s="24">
        <v>4</v>
      </c>
      <c r="BN5" s="24">
        <v>5179089</v>
      </c>
      <c r="BO5" s="76">
        <f>SUM(BN5)/SUM($BN$3:$BN$7)</f>
        <v>0.17802729865688069</v>
      </c>
      <c r="BP5" s="74">
        <v>0.34615384615384615</v>
      </c>
      <c r="BQ5" s="24">
        <v>9</v>
      </c>
      <c r="BR5" s="24">
        <v>11142639.585100001</v>
      </c>
      <c r="BS5" s="76">
        <f>SUM(BR5)/SUM($BR$3:$BR$7)</f>
        <v>0.32872329500542796</v>
      </c>
      <c r="BT5" s="64">
        <f>AVERAGE(Z5,AD5,AH5,AL5,AP5,AT5,AX5,BB5,BF5,BJ5,BN5,BR5)</f>
        <v>6127168.0627250001</v>
      </c>
    </row>
    <row r="6" spans="2:72" x14ac:dyDescent="0.3">
      <c r="B6" s="69" t="s">
        <v>370</v>
      </c>
      <c r="C6" s="74">
        <f t="shared" si="0"/>
        <v>0</v>
      </c>
      <c r="D6" s="81">
        <f t="shared" si="0"/>
        <v>0</v>
      </c>
      <c r="E6" s="81">
        <f>SUM(Z6,AD6,AH6)</f>
        <v>0</v>
      </c>
      <c r="F6" s="82">
        <f>SUM(E6)/SUM($E$3:$E$7)</f>
        <v>0</v>
      </c>
      <c r="G6" s="74">
        <f t="shared" si="1"/>
        <v>1.3888888888888888E-2</v>
      </c>
      <c r="H6" s="81">
        <f t="shared" si="1"/>
        <v>0.33333333333333331</v>
      </c>
      <c r="I6" s="81">
        <f>SUM(AL6,AP6,AT6)</f>
        <v>1905740.23</v>
      </c>
      <c r="J6" s="82">
        <f>SUM(I6)/SUM($I$3:$I$7)</f>
        <v>2.3013450092852886E-2</v>
      </c>
      <c r="K6" s="74">
        <f t="shared" si="2"/>
        <v>2.7833333333333331E-2</v>
      </c>
      <c r="L6" s="81">
        <f t="shared" si="2"/>
        <v>0.66683333333333328</v>
      </c>
      <c r="M6" s="81">
        <f>SUM(AX6,BB6,BF6)</f>
        <v>3738563.7513000001</v>
      </c>
      <c r="N6" s="82">
        <f>SUM(M6)/SUM($M$3:$M$7)</f>
        <v>4.4564217485375417E-2</v>
      </c>
      <c r="O6" s="74">
        <f t="shared" si="3"/>
        <v>3.8974358974358976E-2</v>
      </c>
      <c r="P6" s="81">
        <f t="shared" si="3"/>
        <v>1</v>
      </c>
      <c r="Q6" s="81">
        <f>SUM(BN6,BJ6,BR6)</f>
        <v>5891543.1334999995</v>
      </c>
      <c r="R6" s="82">
        <f>SUM(Q6)/SUM($Q$3:$Q$7)</f>
        <v>6.401489552352356E-2</v>
      </c>
      <c r="S6" s="73">
        <f>AVERAGE(C6,G6,K6,O6)</f>
        <v>2.0174145299145296E-2</v>
      </c>
      <c r="T6" s="89">
        <f>AVERAGE(F6,J6,N6,R6)</f>
        <v>3.289814077543797E-2</v>
      </c>
      <c r="U6" s="89"/>
      <c r="W6" s="69" t="s">
        <v>370</v>
      </c>
      <c r="X6" s="74">
        <v>0</v>
      </c>
      <c r="Y6" s="24">
        <f>+X$9*X6</f>
        <v>0</v>
      </c>
      <c r="Z6" s="24"/>
      <c r="AA6" s="76">
        <f>SUM(Z6)/SUM($Z$3:$Z$7)</f>
        <v>0</v>
      </c>
      <c r="AB6" s="78">
        <v>0</v>
      </c>
      <c r="AC6" s="24">
        <f>+AB$9*AB6</f>
        <v>0</v>
      </c>
      <c r="AD6" s="24"/>
      <c r="AE6" s="76">
        <f>SUM(AD6)/SUM($AD$3:$AD$7)</f>
        <v>0</v>
      </c>
      <c r="AF6" s="74">
        <v>0</v>
      </c>
      <c r="AG6" s="24">
        <f>+AF$9*AF6</f>
        <v>0</v>
      </c>
      <c r="AH6" s="24"/>
      <c r="AI6" s="76">
        <f>SUM(AH6)/SUM($AH$3:$AH$7)</f>
        <v>0</v>
      </c>
      <c r="AJ6" s="74">
        <v>4.1666666666666664E-2</v>
      </c>
      <c r="AK6" s="24">
        <f>+AJ$9*AJ6</f>
        <v>1</v>
      </c>
      <c r="AL6" s="24">
        <v>1905740.23</v>
      </c>
      <c r="AM6" s="76">
        <f>SUM(AL6)/SUM($AL$3:$AL$7)</f>
        <v>6.8772698708350358E-2</v>
      </c>
      <c r="AN6" s="74">
        <v>0</v>
      </c>
      <c r="AO6" s="24">
        <f>+AN$9*AN6</f>
        <v>0</v>
      </c>
      <c r="AP6" s="24"/>
      <c r="AQ6" s="76">
        <f>SUM(AP6)/SUM($AP$3:$AP$7)</f>
        <v>0</v>
      </c>
      <c r="AR6" s="74">
        <v>0</v>
      </c>
      <c r="AS6" s="24">
        <f>+AR$9*AR6</f>
        <v>0</v>
      </c>
      <c r="AT6" s="24"/>
      <c r="AU6" s="76">
        <f>SUM(AT6)/SUM($AT$3:$AT$7)</f>
        <v>0</v>
      </c>
      <c r="AV6" s="74">
        <v>4.3499999999999997E-2</v>
      </c>
      <c r="AW6" s="24">
        <f>+AV$9*AV6</f>
        <v>1.0004999999999999</v>
      </c>
      <c r="AX6" s="24">
        <v>1881934.7088000001</v>
      </c>
      <c r="AY6" s="76">
        <f>SUM(AX6)/SUM($AX$3:$AX$7)</f>
        <v>6.7000941843560938E-2</v>
      </c>
      <c r="AZ6" s="74">
        <v>0.04</v>
      </c>
      <c r="BA6" s="24">
        <f>+AZ$9*AZ6</f>
        <v>1</v>
      </c>
      <c r="BB6" s="24">
        <v>1856629.0425</v>
      </c>
      <c r="BC6" s="76">
        <f>SUM(BB6)/SUM($BB$3:$BB$7)</f>
        <v>6.7309712252668269E-2</v>
      </c>
      <c r="BD6" s="74">
        <v>0</v>
      </c>
      <c r="BE6" s="24">
        <f>+BD$9*BD6</f>
        <v>0</v>
      </c>
      <c r="BF6" s="24"/>
      <c r="BG6" s="76">
        <f>SUM(BF6)/SUM($BF$3:$BF$7)</f>
        <v>0</v>
      </c>
      <c r="BH6" s="74">
        <v>0.04</v>
      </c>
      <c r="BI6" s="24">
        <f>+BH$9*BH6</f>
        <v>1</v>
      </c>
      <c r="BJ6" s="24">
        <v>1919817.0444999998</v>
      </c>
      <c r="BK6" s="76">
        <f>SUM(BJ6)/SUM($BJ$3:$BJ$7)</f>
        <v>6.6096467591016173E-2</v>
      </c>
      <c r="BL6" s="74">
        <v>3.8461538461538464E-2</v>
      </c>
      <c r="BM6" s="24">
        <v>1</v>
      </c>
      <c r="BN6" s="24">
        <v>1985863.0444999998</v>
      </c>
      <c r="BO6" s="76">
        <f>SUM(BN6)/SUM($BN$3:$BN$7)</f>
        <v>6.8262552220064915E-2</v>
      </c>
      <c r="BP6" s="74">
        <v>3.8461538461538464E-2</v>
      </c>
      <c r="BQ6" s="24">
        <v>1</v>
      </c>
      <c r="BR6" s="24">
        <v>1985863.0444999998</v>
      </c>
      <c r="BS6" s="76">
        <f>SUM(BR6)/SUM($BR$3:$BR$7)</f>
        <v>5.8585709286557E-2</v>
      </c>
      <c r="BT6" s="64">
        <f>AVERAGE(Z6,AD6,AH6,AL6,AP6,AT6,AX6,BB6,BF6,BJ6,BN6,BR6)</f>
        <v>1922641.1857999999</v>
      </c>
    </row>
    <row r="7" spans="2:72" x14ac:dyDescent="0.3">
      <c r="B7" s="69" t="s">
        <v>371</v>
      </c>
      <c r="C7" s="74">
        <f t="shared" si="0"/>
        <v>0.08</v>
      </c>
      <c r="D7" s="81">
        <f t="shared" si="0"/>
        <v>2</v>
      </c>
      <c r="E7" s="81">
        <f>SUM(Z7,AD7,AH7)</f>
        <v>26283990.3015</v>
      </c>
      <c r="F7" s="82">
        <f>SUM(E7)/SUM($E$3:$E$7)</f>
        <v>0.32210159748755096</v>
      </c>
      <c r="G7" s="74">
        <f t="shared" si="1"/>
        <v>7.824444444444445E-2</v>
      </c>
      <c r="H7" s="81">
        <f t="shared" si="1"/>
        <v>1.9997333333333334</v>
      </c>
      <c r="I7" s="81">
        <f>SUM(AL7,AP7,AT7)</f>
        <v>26271706.208999999</v>
      </c>
      <c r="J7" s="82">
        <f>SUM(I7)/SUM($I$3:$I$7)</f>
        <v>0.31725341690190106</v>
      </c>
      <c r="K7" s="74">
        <f t="shared" si="2"/>
        <v>8.2333333333333328E-2</v>
      </c>
      <c r="L7" s="81">
        <f t="shared" si="2"/>
        <v>2.0003333333333333</v>
      </c>
      <c r="M7" s="81">
        <f>SUM(AX7,BB7,BF7)</f>
        <v>26513172</v>
      </c>
      <c r="N7" s="82">
        <f>SUM(M7)/SUM($M$3:$M$7)</f>
        <v>0.3160408225817502</v>
      </c>
      <c r="O7" s="74">
        <f t="shared" si="3"/>
        <v>7.7948717948717952E-2</v>
      </c>
      <c r="P7" s="81">
        <f t="shared" si="3"/>
        <v>2</v>
      </c>
      <c r="Q7" s="81">
        <f>SUM(BN7,BJ7,BR7)</f>
        <v>27204035</v>
      </c>
      <c r="R7" s="82">
        <f>SUM(Q7)/SUM($Q$3:$Q$7)</f>
        <v>0.29558698271105144</v>
      </c>
      <c r="S7" s="73">
        <f>AVERAGE(C7,G7,K7,O7)</f>
        <v>7.9631623931623929E-2</v>
      </c>
      <c r="T7" s="89">
        <f>AVERAGE(F7,J7,N7,R7)</f>
        <v>0.31274570492056342</v>
      </c>
      <c r="U7" s="89"/>
      <c r="W7" s="69" t="s">
        <v>371</v>
      </c>
      <c r="X7" s="74">
        <v>0.08</v>
      </c>
      <c r="Y7" s="24">
        <f>+X$9*X7</f>
        <v>2</v>
      </c>
      <c r="Z7" s="24">
        <v>8766717.6099999994</v>
      </c>
      <c r="AA7" s="76">
        <f>SUM(Z7)/SUM($Z$3:$Z$7)</f>
        <v>0.32235373109238036</v>
      </c>
      <c r="AB7" s="78">
        <v>0.08</v>
      </c>
      <c r="AC7" s="24">
        <f>+AB$9*AB7</f>
        <v>2</v>
      </c>
      <c r="AD7" s="24">
        <v>8759678.1409999989</v>
      </c>
      <c r="AE7" s="76">
        <f>SUM(AD7)/SUM($AD$3:$AD$7)</f>
        <v>0.32051068996487819</v>
      </c>
      <c r="AF7" s="74">
        <v>0.08</v>
      </c>
      <c r="AG7" s="24">
        <f>+AF$9*AF7</f>
        <v>2</v>
      </c>
      <c r="AH7" s="24">
        <v>8757594.5504999999</v>
      </c>
      <c r="AI7" s="76">
        <f>SUM(AH7)/SUM($AH$3:$AH$7)</f>
        <v>0.32345423985038713</v>
      </c>
      <c r="AJ7" s="74">
        <v>8.3333333333333329E-2</v>
      </c>
      <c r="AK7" s="24">
        <f>+AJ$9*AJ7</f>
        <v>2</v>
      </c>
      <c r="AL7" s="24">
        <v>8749259.6070000008</v>
      </c>
      <c r="AM7" s="76">
        <f>SUM(AL7)/SUM($AL$3:$AL$7)</f>
        <v>0.31573568390973772</v>
      </c>
      <c r="AN7" s="74">
        <v>7.1400000000000005E-2</v>
      </c>
      <c r="AO7" s="24">
        <f>+AN$9*AN7</f>
        <v>1.9992000000000001</v>
      </c>
      <c r="AP7" s="24">
        <v>8760602.602</v>
      </c>
      <c r="AQ7" s="76">
        <f>SUM(AP7)/SUM($AP$3:$AP$7)</f>
        <v>0.32255488582411035</v>
      </c>
      <c r="AR7" s="74">
        <v>0.08</v>
      </c>
      <c r="AS7" s="24">
        <f>+AR$9*AR7</f>
        <v>2</v>
      </c>
      <c r="AT7" s="24">
        <v>8761844</v>
      </c>
      <c r="AU7" s="76">
        <f>SUM(AT7)/SUM($AT$3:$AT$7)</f>
        <v>0.31360510188685947</v>
      </c>
      <c r="AV7" s="74">
        <v>8.6999999999999994E-2</v>
      </c>
      <c r="AW7" s="24">
        <f>+AV$9*AV7</f>
        <v>2.0009999999999999</v>
      </c>
      <c r="AX7" s="24">
        <v>8775137</v>
      </c>
      <c r="AY7" s="76">
        <f>SUM(AX7)/SUM($AX$3:$AX$7)</f>
        <v>0.31241383723730581</v>
      </c>
      <c r="AZ7" s="74">
        <v>0.08</v>
      </c>
      <c r="BA7" s="24">
        <f>+AZ$9*AZ7</f>
        <v>2</v>
      </c>
      <c r="BB7" s="24">
        <v>8772283</v>
      </c>
      <c r="BC7" s="76">
        <f>SUM(BB7)/SUM($BB$3:$BB$7)</f>
        <v>0.31802790488179788</v>
      </c>
      <c r="BD7" s="74">
        <v>0.08</v>
      </c>
      <c r="BE7" s="24">
        <f>+BD$9*BD7</f>
        <v>2</v>
      </c>
      <c r="BF7" s="24">
        <v>8965752</v>
      </c>
      <c r="BG7" s="76">
        <f>SUM(BF7)/SUM($BF$3:$BF$7)</f>
        <v>0.3177086082693818</v>
      </c>
      <c r="BH7" s="74">
        <v>0.08</v>
      </c>
      <c r="BI7" s="24">
        <f>+BH$9*BH7</f>
        <v>2</v>
      </c>
      <c r="BJ7" s="24">
        <v>8869058</v>
      </c>
      <c r="BK7" s="76">
        <f>SUM(BJ7)/SUM($BJ$3:$BJ$7)</f>
        <v>0.30534857805292437</v>
      </c>
      <c r="BL7" s="74">
        <v>7.6923076923076927E-2</v>
      </c>
      <c r="BM7" s="24">
        <v>2</v>
      </c>
      <c r="BN7" s="24">
        <v>8862884</v>
      </c>
      <c r="BO7" s="76">
        <f>SUM(BN7)/SUM($BN$3:$BN$7)</f>
        <v>0.30465498793886131</v>
      </c>
      <c r="BP7" s="74">
        <v>7.6923076923076927E-2</v>
      </c>
      <c r="BQ7" s="24">
        <v>2</v>
      </c>
      <c r="BR7" s="24">
        <v>9472093</v>
      </c>
      <c r="BS7" s="76">
        <f>SUM(BR7)/SUM($BR$3:$BR$7)</f>
        <v>0.27943985783417985</v>
      </c>
      <c r="BT7" s="64">
        <f>AVERAGE(Z7,AD7,AH7,AL7,AP7,AT7,AX7,BB7,BF7,BJ7,BN7,BR7)</f>
        <v>8856075.292541666</v>
      </c>
    </row>
    <row r="8" spans="2:72" ht="14.5" thickBot="1" x14ac:dyDescent="0.35">
      <c r="B8" s="69" t="s">
        <v>364</v>
      </c>
      <c r="C8" s="85"/>
      <c r="D8" s="85"/>
      <c r="E8" s="86">
        <f>SUM(E3:E7)</f>
        <v>81601552.139200002</v>
      </c>
      <c r="F8" s="84"/>
      <c r="G8" s="85"/>
      <c r="H8" s="85"/>
      <c r="I8" s="86">
        <f>SUM(I3:I7)</f>
        <v>82809844.778200001</v>
      </c>
      <c r="J8" s="84"/>
      <c r="K8" s="85"/>
      <c r="L8" s="85"/>
      <c r="M8" s="86">
        <f>SUM(M3:M7)</f>
        <v>83891605.468600005</v>
      </c>
      <c r="N8" s="84"/>
      <c r="O8" s="85"/>
      <c r="P8" s="85"/>
      <c r="Q8" s="86">
        <f>SUM(Q3:Q7)</f>
        <v>92033941.246299997</v>
      </c>
      <c r="R8" s="84"/>
      <c r="S8" s="64">
        <f>+E8+I8+M8+Q8</f>
        <v>340336943.63230002</v>
      </c>
      <c r="T8" s="89"/>
      <c r="Z8" s="79"/>
      <c r="AD8" s="67"/>
      <c r="AH8" s="67"/>
      <c r="AL8" s="64"/>
      <c r="AO8" s="72"/>
      <c r="AP8" s="67"/>
      <c r="AT8" s="64"/>
      <c r="AX8" s="64"/>
      <c r="BF8" s="67"/>
      <c r="BH8" s="70"/>
      <c r="BL8" s="67"/>
      <c r="BP8" s="67"/>
    </row>
    <row r="9" spans="2:72" ht="14.5" thickTop="1" x14ac:dyDescent="0.3">
      <c r="I9" s="73">
        <f>+I8/E8-1</f>
        <v>1.4807226177987909E-2</v>
      </c>
      <c r="J9" s="83"/>
      <c r="M9" s="73">
        <f>+M8/I8-1</f>
        <v>1.3063189446827383E-2</v>
      </c>
      <c r="N9" s="83"/>
      <c r="Q9" s="73">
        <f>+Q8/M8-1</f>
        <v>9.7057813260560399E-2</v>
      </c>
      <c r="R9" s="83"/>
      <c r="W9" s="69" t="s">
        <v>358</v>
      </c>
      <c r="X9" s="67">
        <v>25</v>
      </c>
      <c r="Y9" s="67"/>
      <c r="Z9" s="67"/>
      <c r="AA9" s="67"/>
      <c r="AB9" s="67">
        <v>25</v>
      </c>
      <c r="AC9" s="67"/>
      <c r="AD9" s="67"/>
      <c r="AE9" s="67"/>
      <c r="AF9" s="67">
        <v>25</v>
      </c>
      <c r="AG9" s="67"/>
      <c r="AH9" s="67"/>
      <c r="AI9" s="67"/>
      <c r="AJ9" s="67">
        <v>24</v>
      </c>
      <c r="AK9" s="67"/>
      <c r="AL9" s="67"/>
      <c r="AM9" s="67"/>
      <c r="AN9" s="67">
        <v>28</v>
      </c>
      <c r="AO9" s="67"/>
      <c r="AP9" s="67"/>
      <c r="AQ9" s="67"/>
      <c r="AR9" s="67">
        <v>25</v>
      </c>
      <c r="AS9" s="67"/>
      <c r="AT9" s="67"/>
      <c r="AU9" s="67"/>
      <c r="AV9" s="67">
        <v>23</v>
      </c>
      <c r="AW9" s="67"/>
      <c r="AX9" s="67"/>
      <c r="AY9" s="67"/>
      <c r="AZ9" s="67">
        <v>25</v>
      </c>
      <c r="BA9" s="67"/>
      <c r="BB9" s="67"/>
      <c r="BC9" s="67"/>
      <c r="BD9">
        <v>25</v>
      </c>
      <c r="BF9" s="67"/>
      <c r="BH9" s="67">
        <v>25</v>
      </c>
      <c r="BL9" s="67">
        <f>SUM(BM3:BM7)</f>
        <v>26</v>
      </c>
      <c r="BP9" s="67">
        <f>SUM(BQ3:BQ7)</f>
        <v>25</v>
      </c>
    </row>
    <row r="10" spans="2:72" x14ac:dyDescent="0.3">
      <c r="B10" s="69" t="s">
        <v>365</v>
      </c>
      <c r="E10" s="73">
        <f>(E8+E13+E14+E15)/E11</f>
        <v>6.7403062546136941E-2</v>
      </c>
      <c r="I10" s="73">
        <f>(I8+I13+I14+I15)/I11</f>
        <v>5.8803214937595806E-2</v>
      </c>
      <c r="J10" s="73"/>
      <c r="M10" s="73">
        <f>(M8+M13+M14+M15)/M11</f>
        <v>5.6164006657262636E-2</v>
      </c>
      <c r="N10" s="73"/>
      <c r="Q10" s="73">
        <f>(Q8+Q13+Q14+Q15)/Q11</f>
        <v>5.7316822862155753E-2</v>
      </c>
      <c r="R10" s="73"/>
      <c r="Z10" s="67"/>
      <c r="AD10" s="67"/>
      <c r="AH10" s="67"/>
      <c r="AL10" s="64"/>
      <c r="AP10" s="64"/>
      <c r="AT10" s="64"/>
      <c r="AX10" s="64"/>
      <c r="BF10" s="67"/>
    </row>
    <row r="11" spans="2:72" ht="14.5" thickBot="1" x14ac:dyDescent="0.35">
      <c r="B11" s="69" t="s">
        <v>366</v>
      </c>
      <c r="E11" s="88">
        <v>1808876096</v>
      </c>
      <c r="I11" s="88">
        <v>2119337249</v>
      </c>
      <c r="K11" t="s">
        <v>87</v>
      </c>
      <c r="M11" s="88">
        <v>2249179705</v>
      </c>
      <c r="O11" t="s">
        <v>87</v>
      </c>
      <c r="Q11" s="88">
        <v>2316822883</v>
      </c>
      <c r="S11" s="64">
        <f>+E11+I11+M11+Q11</f>
        <v>8494215933</v>
      </c>
      <c r="T11" s="69" t="s">
        <v>408</v>
      </c>
      <c r="U11" s="69"/>
      <c r="W11" s="69" t="s">
        <v>359</v>
      </c>
      <c r="X11" s="77"/>
      <c r="Y11" s="77"/>
      <c r="Z11" s="80">
        <f>SUM(Z3:Z7)</f>
        <v>27195955.140000001</v>
      </c>
      <c r="AA11" s="77"/>
      <c r="AB11" s="77"/>
      <c r="AC11" s="77"/>
      <c r="AD11" s="80">
        <f>SUM(AD3:AD7)</f>
        <v>27330377.4734</v>
      </c>
      <c r="AE11" s="77"/>
      <c r="AF11" s="77"/>
      <c r="AG11" s="77"/>
      <c r="AH11" s="80">
        <f>SUM(AH3:AH7)</f>
        <v>27075219.525800005</v>
      </c>
      <c r="AI11" s="77"/>
      <c r="AJ11" s="77"/>
      <c r="AK11" s="77"/>
      <c r="AL11" s="80">
        <f>SUM(AL3:AL7)</f>
        <v>27710708.839300003</v>
      </c>
      <c r="AM11" s="77"/>
      <c r="AN11" s="77"/>
      <c r="AO11" s="77"/>
      <c r="AP11" s="80">
        <f>SUM(AP3:AP7)</f>
        <v>27160036.9023</v>
      </c>
      <c r="AQ11" s="77"/>
      <c r="AR11" s="77"/>
      <c r="AS11" s="77"/>
      <c r="AT11" s="80">
        <f>SUM(AT3:AT7)</f>
        <v>27939099.036600001</v>
      </c>
      <c r="AU11" s="77"/>
      <c r="AV11" s="77"/>
      <c r="AW11" s="77"/>
      <c r="AX11" s="80">
        <f>SUM(AX3:AX7)</f>
        <v>28088182.897399999</v>
      </c>
      <c r="AY11" s="77"/>
      <c r="AZ11" s="77"/>
      <c r="BA11" s="77"/>
      <c r="BB11" s="80">
        <f>SUM(BB3:BB7)</f>
        <v>27583375.123199999</v>
      </c>
      <c r="BC11" s="77"/>
      <c r="BD11" s="77"/>
      <c r="BE11" s="77"/>
      <c r="BF11" s="80">
        <f>SUM(BF3:BF7)</f>
        <v>28220047.448000003</v>
      </c>
      <c r="BG11" s="77"/>
      <c r="BH11" s="77"/>
      <c r="BI11" s="77"/>
      <c r="BJ11" s="80">
        <f>SUM(BJ3:BJ7)</f>
        <v>29045682.9914</v>
      </c>
      <c r="BK11" s="77"/>
      <c r="BL11" s="77"/>
      <c r="BM11" s="77"/>
      <c r="BN11" s="80">
        <f>SUM(BN3:BN7)</f>
        <v>29091544.044500001</v>
      </c>
      <c r="BO11" s="77"/>
      <c r="BP11" s="77"/>
      <c r="BQ11" s="77"/>
      <c r="BR11" s="80">
        <f>SUM(BR3:BR7)</f>
        <v>33896714.2104</v>
      </c>
      <c r="BS11" s="77"/>
      <c r="BT11" s="91">
        <f>AVERAGE(X11:BS11)</f>
        <v>28361411.969358329</v>
      </c>
    </row>
    <row r="12" spans="2:72" ht="14.5" thickTop="1" x14ac:dyDescent="0.3">
      <c r="B12" s="69"/>
      <c r="E12" s="87"/>
      <c r="I12" s="87"/>
      <c r="M12" s="87"/>
      <c r="T12" s="69"/>
      <c r="U12" s="69"/>
      <c r="Z12" s="67"/>
      <c r="AD12" s="73">
        <f>AD11/Z11-1</f>
        <v>4.9427325757824825E-3</v>
      </c>
      <c r="AE12" s="73"/>
      <c r="AG12" s="73"/>
      <c r="AH12" s="163">
        <f>AH11/AD11-1</f>
        <v>-9.3360564759245035E-3</v>
      </c>
      <c r="AI12" s="73"/>
      <c r="AK12" s="73"/>
      <c r="AL12" s="73">
        <f>AL11/AH11-1</f>
        <v>2.347125248216142E-2</v>
      </c>
      <c r="AM12" s="73"/>
      <c r="AN12" s="73"/>
      <c r="AO12" s="73"/>
      <c r="AP12" s="112">
        <f>AP11/AL11-1</f>
        <v>-1.9872170726251026E-2</v>
      </c>
      <c r="AQ12" s="73"/>
      <c r="AR12" s="73"/>
      <c r="AS12" s="73"/>
      <c r="AT12" s="73">
        <f>AT11/AP11-1</f>
        <v>2.8684133865592321E-2</v>
      </c>
      <c r="AU12" s="73"/>
      <c r="AW12" s="73"/>
      <c r="AX12" s="73">
        <f>AX11/AT11-1</f>
        <v>5.3360296480819969E-3</v>
      </c>
      <c r="AY12" s="73"/>
      <c r="BA12" s="73"/>
      <c r="BB12" s="112">
        <f>BB11/AX11-1</f>
        <v>-1.7972247476597314E-2</v>
      </c>
      <c r="BC12" s="73"/>
      <c r="BE12" s="73"/>
      <c r="BF12" s="73">
        <f>BF11/BB11-1</f>
        <v>2.3081741155907665E-2</v>
      </c>
      <c r="BG12" s="73"/>
      <c r="BH12" s="73"/>
      <c r="BJ12" s="73">
        <f>BJ11/BF11-1</f>
        <v>2.925705723639771E-2</v>
      </c>
      <c r="BL12" s="73"/>
      <c r="BN12" s="73">
        <f>BN11/BJ11-1</f>
        <v>1.5789283768461448E-3</v>
      </c>
      <c r="BP12" s="73"/>
      <c r="BR12" s="73">
        <f>BR11/BN11-1</f>
        <v>0.16517411927499448</v>
      </c>
    </row>
    <row r="13" spans="2:72" x14ac:dyDescent="0.3">
      <c r="B13" s="69" t="s">
        <v>406</v>
      </c>
      <c r="E13" s="88">
        <v>20341988.497699998</v>
      </c>
      <c r="I13" s="88">
        <v>21620275</v>
      </c>
      <c r="M13" s="88">
        <v>22338249.4564</v>
      </c>
      <c r="Q13" s="88">
        <v>20724722.5416</v>
      </c>
      <c r="S13" s="119">
        <f>+E13+I13+M13+Q13</f>
        <v>85025235.495700002</v>
      </c>
      <c r="T13" s="69"/>
      <c r="U13" s="69"/>
      <c r="W13" s="69" t="s">
        <v>409</v>
      </c>
      <c r="Z13" s="67">
        <v>6738628.6013999982</v>
      </c>
      <c r="AA13" s="67"/>
      <c r="AB13" s="67"/>
      <c r="AC13" s="67"/>
      <c r="AD13" s="67">
        <v>6815213</v>
      </c>
      <c r="AE13" s="67"/>
      <c r="AF13" s="67"/>
      <c r="AG13" s="67"/>
      <c r="AH13" s="67">
        <v>6788146.8963000011</v>
      </c>
      <c r="AI13" s="67"/>
      <c r="AJ13" s="67"/>
      <c r="AK13" s="67"/>
      <c r="AL13" s="67">
        <v>6945537</v>
      </c>
      <c r="AM13" s="67"/>
      <c r="AN13" s="67"/>
      <c r="AO13" s="67"/>
      <c r="AP13" s="67">
        <v>6870407</v>
      </c>
      <c r="AQ13" s="67"/>
      <c r="AR13" s="67"/>
      <c r="AS13" s="67"/>
      <c r="AT13" s="67">
        <v>7804331</v>
      </c>
      <c r="AU13" s="67"/>
      <c r="AV13" s="67"/>
      <c r="AW13" s="67"/>
      <c r="AX13" s="67">
        <v>7115324</v>
      </c>
      <c r="AY13" s="67"/>
      <c r="AZ13" s="67"/>
      <c r="BA13" s="67"/>
      <c r="BB13" s="67">
        <v>7083931.9673999995</v>
      </c>
      <c r="BC13" s="67"/>
      <c r="BD13" s="67"/>
      <c r="BE13" s="67"/>
      <c r="BF13" s="67">
        <v>8138993.4890000001</v>
      </c>
      <c r="BG13" s="67"/>
      <c r="BH13" s="67"/>
      <c r="BI13" s="67"/>
      <c r="BJ13" s="67">
        <v>7189378.6808000002</v>
      </c>
      <c r="BK13" s="67"/>
      <c r="BL13" s="67"/>
      <c r="BM13" s="67"/>
      <c r="BN13" s="67">
        <v>7189611.5761999991</v>
      </c>
      <c r="BO13" s="67"/>
      <c r="BP13" s="67"/>
      <c r="BQ13" s="67"/>
      <c r="BR13" s="67">
        <v>6345732.2846000018</v>
      </c>
      <c r="BS13" s="67"/>
      <c r="BT13" s="91">
        <f>AVERAGE(X13:BS13)</f>
        <v>7085436.2913083332</v>
      </c>
    </row>
    <row r="14" spans="2:72" x14ac:dyDescent="0.3">
      <c r="B14" s="69" t="s">
        <v>405</v>
      </c>
      <c r="E14" s="88">
        <v>1980248</v>
      </c>
      <c r="I14" s="88">
        <v>2193724</v>
      </c>
      <c r="M14" s="88">
        <v>2093089</v>
      </c>
      <c r="Q14" s="88">
        <v>2034263</v>
      </c>
      <c r="S14" s="119">
        <f>+E14+I14+M14+Q14</f>
        <v>8301324</v>
      </c>
      <c r="T14" s="69"/>
      <c r="W14" s="69" t="s">
        <v>410</v>
      </c>
      <c r="Z14" s="67">
        <v>678237</v>
      </c>
      <c r="AA14" s="67"/>
      <c r="AB14" s="67"/>
      <c r="AC14" s="67"/>
      <c r="AD14" s="67">
        <v>680272</v>
      </c>
      <c r="AE14" s="67"/>
      <c r="AF14" s="67"/>
      <c r="AG14" s="67"/>
      <c r="AH14" s="67">
        <v>621739</v>
      </c>
      <c r="AI14" s="67"/>
      <c r="AJ14" s="67"/>
      <c r="AK14" s="67"/>
      <c r="AL14" s="67">
        <v>685029</v>
      </c>
      <c r="AM14" s="67"/>
      <c r="AN14" s="67"/>
      <c r="AO14" s="67"/>
      <c r="AP14" s="67">
        <v>798049</v>
      </c>
      <c r="AQ14" s="67"/>
      <c r="AR14" s="67"/>
      <c r="AS14" s="67"/>
      <c r="AT14" s="67">
        <v>710646</v>
      </c>
      <c r="AU14" s="67"/>
      <c r="AV14" s="67"/>
      <c r="AW14" s="67"/>
      <c r="AX14" s="67">
        <v>690923</v>
      </c>
      <c r="AY14" s="67"/>
      <c r="AZ14" s="67"/>
      <c r="BA14" s="67"/>
      <c r="BB14" s="67">
        <v>689649</v>
      </c>
      <c r="BC14" s="67"/>
      <c r="BD14" s="67"/>
      <c r="BE14" s="67"/>
      <c r="BF14" s="67">
        <v>712517</v>
      </c>
      <c r="BG14" s="67"/>
      <c r="BH14" s="67"/>
      <c r="BI14" s="67"/>
      <c r="BJ14" s="67">
        <v>664486</v>
      </c>
      <c r="BK14" s="67"/>
      <c r="BL14" s="67"/>
      <c r="BM14" s="67"/>
      <c r="BN14" s="67">
        <v>669136</v>
      </c>
      <c r="BO14" s="67"/>
      <c r="BP14" s="67"/>
      <c r="BQ14" s="67"/>
      <c r="BR14" s="67">
        <v>700641</v>
      </c>
      <c r="BS14" s="67"/>
      <c r="BT14" s="91">
        <f>AVERAGE(X14:BS14)</f>
        <v>691777</v>
      </c>
    </row>
    <row r="15" spans="2:72" x14ac:dyDescent="0.3">
      <c r="B15" s="69" t="s">
        <v>407</v>
      </c>
      <c r="E15" s="88">
        <f>6000000*3</f>
        <v>18000000</v>
      </c>
      <c r="I15" s="88">
        <f>6000000*3</f>
        <v>18000000</v>
      </c>
      <c r="M15" s="88">
        <f>6000000*3</f>
        <v>18000000</v>
      </c>
      <c r="Q15" s="88">
        <f>6000000*3</f>
        <v>18000000</v>
      </c>
      <c r="S15" s="119">
        <f>+E15+I15+M15+Q15</f>
        <v>72000000</v>
      </c>
      <c r="T15" s="114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91"/>
    </row>
    <row r="16" spans="2:72" ht="14.5" thickBot="1" x14ac:dyDescent="0.35">
      <c r="B16" s="69"/>
      <c r="E16" s="87"/>
      <c r="I16" s="87"/>
      <c r="M16" s="87"/>
      <c r="Z16" s="67"/>
      <c r="AD16" s="73"/>
      <c r="AE16" s="73"/>
      <c r="AG16" s="73"/>
      <c r="AH16" s="73"/>
      <c r="AI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W16" s="73"/>
      <c r="AX16" s="73"/>
      <c r="AY16" s="73"/>
      <c r="BA16" s="73"/>
      <c r="BB16" s="73"/>
      <c r="BC16" s="73"/>
      <c r="BE16" s="73"/>
      <c r="BF16" s="73"/>
      <c r="BG16" s="73"/>
      <c r="BH16" s="73"/>
      <c r="BJ16" s="73"/>
      <c r="BL16" s="73"/>
      <c r="BN16" s="73"/>
      <c r="BP16" s="73"/>
      <c r="BR16" s="73"/>
    </row>
    <row r="17" spans="2:71" ht="30" customHeight="1" thickBot="1" x14ac:dyDescent="0.35">
      <c r="D17" s="12"/>
      <c r="E17"/>
      <c r="F17" s="87"/>
      <c r="I17" s="87"/>
      <c r="M17" s="87"/>
      <c r="O17" t="s">
        <v>430</v>
      </c>
      <c r="T17" t="s">
        <v>87</v>
      </c>
      <c r="Z17" s="113">
        <f>SUM(Z11:Z14)</f>
        <v>34612820.741399996</v>
      </c>
      <c r="AD17" s="113">
        <f>SUM(AD11:AD14)</f>
        <v>34825862.478342734</v>
      </c>
      <c r="AH17" s="113">
        <f>SUM(AH11:AH14)</f>
        <v>34485105.412763946</v>
      </c>
      <c r="AL17" s="113">
        <f>SUM(AL11:AL14)</f>
        <v>35341274.862771258</v>
      </c>
      <c r="AP17" s="113">
        <f>SUM(AP11:AP14)</f>
        <v>34828492.882427827</v>
      </c>
      <c r="AT17" s="113">
        <f>SUM(AT11:AT14)</f>
        <v>36454076.065284133</v>
      </c>
      <c r="AX17" s="113">
        <f>SUM(AX11:AX14)</f>
        <v>35894429.902736031</v>
      </c>
      <c r="BB17" s="113">
        <f>SUM(BB11:BB14)</f>
        <v>35356956.072627753</v>
      </c>
      <c r="BF17" s="113">
        <f>SUM(BF11:BF14)</f>
        <v>37071557.960081741</v>
      </c>
      <c r="BJ17" s="113">
        <f>SUM(BJ11:BJ14)</f>
        <v>36899547.701457061</v>
      </c>
      <c r="BN17" s="113">
        <f>SUM(BN11:BN14)</f>
        <v>36950291.622278929</v>
      </c>
      <c r="BR17" s="113">
        <f>SUM(BR11:BR14)</f>
        <v>40943087.660174124</v>
      </c>
    </row>
    <row r="18" spans="2:71" x14ac:dyDescent="0.3">
      <c r="E18"/>
      <c r="I18" s="87"/>
      <c r="M18" s="87"/>
    </row>
    <row r="19" spans="2:71" x14ac:dyDescent="0.3">
      <c r="B19" s="69" t="s">
        <v>412</v>
      </c>
      <c r="E19" s="117">
        <f>+Z19+AD19+AH19</f>
        <v>23643203.944108002</v>
      </c>
      <c r="F19" s="115">
        <f>+E19/E22</f>
        <v>0.23737786647205059</v>
      </c>
      <c r="I19" s="117">
        <f>+AL19+AP19+AT19</f>
        <v>26787043.587237999</v>
      </c>
      <c r="J19" s="115">
        <f>+I19/I22</f>
        <v>0.26571852824666448</v>
      </c>
      <c r="M19" s="117">
        <f>SUM(AX19,BB19,BF19)</f>
        <v>28858399.167272002</v>
      </c>
      <c r="N19" s="115">
        <f>+M19/M22</f>
        <v>0.28322646438391152</v>
      </c>
      <c r="Q19" s="117">
        <f>+BJ19+BN19+BR19</f>
        <v>34444261.395212002</v>
      </c>
      <c r="R19" s="115">
        <f>+Q19/Q22</f>
        <v>0.3130330605727551</v>
      </c>
      <c r="S19" s="119">
        <f>+E19+I19+M19+Q19</f>
        <v>113732908.09382999</v>
      </c>
      <c r="T19" s="73"/>
      <c r="W19" s="69" t="s">
        <v>412</v>
      </c>
      <c r="Z19" s="67">
        <v>7850266.5691820011</v>
      </c>
      <c r="AA19" s="116">
        <f>+Z19/Z11</f>
        <v>0.28865566694643402</v>
      </c>
      <c r="AD19" s="67">
        <v>8004598.2318619993</v>
      </c>
      <c r="AE19" s="116">
        <f>+AD19/AD11</f>
        <v>0.29288282752964839</v>
      </c>
      <c r="AH19" s="67">
        <v>7788339.1430639997</v>
      </c>
      <c r="AI19" s="116">
        <f>+AH19/AH11</f>
        <v>0.28765562309263948</v>
      </c>
      <c r="AL19" s="67">
        <v>8057020.0736840004</v>
      </c>
      <c r="AM19" s="116">
        <f>+AL19/AL11</f>
        <v>0.29075474468763274</v>
      </c>
      <c r="AP19" s="67">
        <v>7729498.9521140009</v>
      </c>
      <c r="AQ19" s="116">
        <f>+AP19/AP11</f>
        <v>0.28459088549542588</v>
      </c>
      <c r="AT19" s="67">
        <v>11000524.56144</v>
      </c>
      <c r="AU19" s="116">
        <f>+AT19/AT11</f>
        <v>0.39373225840351544</v>
      </c>
      <c r="AX19" s="67">
        <v>9146423.7602399997</v>
      </c>
      <c r="AY19" s="116">
        <f>+AX19/AX11</f>
        <v>0.32563244812417697</v>
      </c>
      <c r="BB19" s="67">
        <v>8891246.0959360003</v>
      </c>
      <c r="BC19" s="116">
        <f>+BB19/BB11</f>
        <v>0.32234075983173266</v>
      </c>
      <c r="BF19" s="67">
        <v>10820729.311096001</v>
      </c>
      <c r="BG19" s="116">
        <f>+BF19/BF11</f>
        <v>0.38344121607289794</v>
      </c>
      <c r="BJ19" s="67">
        <v>11711784.8869</v>
      </c>
      <c r="BK19" s="116">
        <f>+BJ19/BJ11</f>
        <v>0.40321946949457815</v>
      </c>
      <c r="BN19" s="67">
        <v>11612721.081475999</v>
      </c>
      <c r="BO19" s="116">
        <f>+BN19/BN11</f>
        <v>0.3991785744927307</v>
      </c>
      <c r="BR19" s="67">
        <v>11119755.426836001</v>
      </c>
      <c r="BS19" s="116">
        <f>+BR19/BR11</f>
        <v>0.32804818065298791</v>
      </c>
    </row>
    <row r="20" spans="2:71" x14ac:dyDescent="0.3">
      <c r="B20" s="69" t="s">
        <v>411</v>
      </c>
      <c r="E20" s="117">
        <f>+Z20+AD20+AH20+E15</f>
        <v>75958348.195092008</v>
      </c>
      <c r="F20" s="115">
        <f>+E20/E22</f>
        <v>0.7626221335279495</v>
      </c>
      <c r="I20" s="117">
        <f>+AL20+AP20+AT20+I15</f>
        <v>74022801.190962002</v>
      </c>
      <c r="J20" s="115">
        <f>+I20/I22</f>
        <v>0.73428147175333547</v>
      </c>
      <c r="M20" s="117">
        <f>SUM(AX20,BB20,BF20)+M15</f>
        <v>73033206.301328003</v>
      </c>
      <c r="N20" s="115">
        <f>+M20/M22</f>
        <v>0.71677353561608848</v>
      </c>
      <c r="Q20" s="117">
        <f>+BJ20+BN20+BR20+Q15</f>
        <v>75589679.851088002</v>
      </c>
      <c r="R20" s="115">
        <f>+Q20/Q22</f>
        <v>0.68696693942724496</v>
      </c>
      <c r="S20" s="119">
        <f>+E20+I20+M20+Q20</f>
        <v>298604035.53847003</v>
      </c>
      <c r="T20" s="73">
        <f>+S15/S20</f>
        <v>0.24112199244113708</v>
      </c>
      <c r="W20" s="69" t="s">
        <v>411</v>
      </c>
      <c r="Z20" s="67">
        <f>+Z11-Z19</f>
        <v>19345688.570818</v>
      </c>
      <c r="AA20" s="116">
        <f>+Z20/Z11</f>
        <v>0.71134433305356592</v>
      </c>
      <c r="AD20" s="67">
        <f>+AD11-AD19</f>
        <v>19325779.241538003</v>
      </c>
      <c r="AE20" s="116">
        <f>+AD20/AD11</f>
        <v>0.70711717247035166</v>
      </c>
      <c r="AH20" s="67">
        <f>+AH11-AH19</f>
        <v>19286880.382736005</v>
      </c>
      <c r="AI20" s="116">
        <f>+AH20/AH11</f>
        <v>0.71234437690736052</v>
      </c>
      <c r="AL20" s="67">
        <f>+AL11-AL19</f>
        <v>19653688.765616003</v>
      </c>
      <c r="AM20" s="116">
        <f>+AL20/AL11</f>
        <v>0.70924525531236726</v>
      </c>
      <c r="AP20" s="67">
        <f>+AP11-AP19</f>
        <v>19430537.950185999</v>
      </c>
      <c r="AQ20" s="116">
        <f>+AP20/AP11</f>
        <v>0.71540911450457412</v>
      </c>
      <c r="AT20" s="67">
        <f>+AT11-AT19</f>
        <v>16938574.475160003</v>
      </c>
      <c r="AU20" s="116">
        <f>+AT20/AT11</f>
        <v>0.60626774159648467</v>
      </c>
      <c r="AX20" s="67">
        <f>+AX11-AX19</f>
        <v>18941759.137159999</v>
      </c>
      <c r="AY20" s="116">
        <f>+AX20/AX11</f>
        <v>0.67436755187582309</v>
      </c>
      <c r="BB20" s="67">
        <f>+BB11-BB19</f>
        <v>18692129.027263999</v>
      </c>
      <c r="BC20" s="116">
        <f>+BB20/BB11</f>
        <v>0.67765924016826729</v>
      </c>
      <c r="BF20" s="67">
        <f>+BF11-BF19</f>
        <v>17399318.136904001</v>
      </c>
      <c r="BG20" s="116">
        <f>+BF20/BF11</f>
        <v>0.61655878392710206</v>
      </c>
      <c r="BJ20" s="67">
        <f>+BJ11-BJ19</f>
        <v>17333898.104499999</v>
      </c>
      <c r="BK20" s="116">
        <f>+BJ20/BJ11</f>
        <v>0.59678053050542179</v>
      </c>
      <c r="BN20" s="67">
        <f>+BN11-BN19</f>
        <v>17478822.963024002</v>
      </c>
      <c r="BO20" s="116">
        <f>+BN20/BN11</f>
        <v>0.60082142550726936</v>
      </c>
      <c r="BR20" s="67">
        <f>+BR11-BR19</f>
        <v>22776958.783564001</v>
      </c>
      <c r="BS20" s="116">
        <f>+BR20/BR11</f>
        <v>0.6719518193470122</v>
      </c>
    </row>
    <row r="21" spans="2:71" ht="18.649999999999999" customHeight="1" thickBot="1" x14ac:dyDescent="0.35">
      <c r="B21" s="69"/>
      <c r="E21"/>
      <c r="I21"/>
      <c r="M21"/>
    </row>
    <row r="22" spans="2:71" ht="14.5" thickBot="1" x14ac:dyDescent="0.35">
      <c r="B22" s="69" t="s">
        <v>416</v>
      </c>
      <c r="E22" s="118">
        <f>+E8+E15</f>
        <v>99601552.139200002</v>
      </c>
      <c r="I22" s="118">
        <f>+I8+I15</f>
        <v>100809844.7782</v>
      </c>
      <c r="M22" s="118">
        <f>+M8+M15</f>
        <v>101891605.4686</v>
      </c>
      <c r="Q22" s="118">
        <f>+Q8+Q15</f>
        <v>110033941.2463</v>
      </c>
      <c r="S22" s="119">
        <f>+E22+I22+M22+Q22</f>
        <v>412336943.63230002</v>
      </c>
      <c r="T22" s="64">
        <f>+S20-S15</f>
        <v>226604035.53847003</v>
      </c>
      <c r="Z22" s="91"/>
      <c r="BF22" s="72">
        <v>4509832</v>
      </c>
      <c r="BR22" s="72">
        <v>6125000</v>
      </c>
    </row>
    <row r="23" spans="2:71" x14ac:dyDescent="0.3">
      <c r="T23" s="73">
        <f>+T22/S20</f>
        <v>0.75887800755886292</v>
      </c>
    </row>
    <row r="24" spans="2:71" x14ac:dyDescent="0.3">
      <c r="T24" s="73"/>
    </row>
    <row r="28" spans="2:71" ht="6.65" customHeight="1" x14ac:dyDescent="0.3"/>
    <row r="30" spans="2:71" ht="8" customHeight="1" x14ac:dyDescent="0.3"/>
    <row r="38" spans="3:21" x14ac:dyDescent="0.3">
      <c r="C38" t="s">
        <v>414</v>
      </c>
      <c r="K38" t="s">
        <v>413</v>
      </c>
    </row>
    <row r="39" spans="3:21" x14ac:dyDescent="0.3">
      <c r="E39" s="130"/>
      <c r="I39" s="125"/>
    </row>
    <row r="40" spans="3:21" x14ac:dyDescent="0.3">
      <c r="E40" s="130"/>
      <c r="I40" s="125"/>
      <c r="T40" s="67">
        <v>4520000</v>
      </c>
      <c r="U40" t="s">
        <v>198</v>
      </c>
    </row>
    <row r="41" spans="3:21" x14ac:dyDescent="0.3">
      <c r="T41" s="67">
        <v>4400000</v>
      </c>
      <c r="U41" t="s">
        <v>224</v>
      </c>
    </row>
    <row r="42" spans="3:21" x14ac:dyDescent="0.3">
      <c r="M42" s="1" t="s">
        <v>421</v>
      </c>
      <c r="T42" s="137">
        <v>1990000</v>
      </c>
      <c r="U42" s="8" t="s">
        <v>222</v>
      </c>
    </row>
    <row r="43" spans="3:21" x14ac:dyDescent="0.3">
      <c r="M43" s="90">
        <f>+BT11+BT13+BT14+6000000</f>
        <v>42138625.260666661</v>
      </c>
      <c r="T43" s="67">
        <v>1480000</v>
      </c>
      <c r="U43" t="s">
        <v>195</v>
      </c>
    </row>
    <row r="44" spans="3:21" x14ac:dyDescent="0.3">
      <c r="T44" s="137">
        <v>1200000</v>
      </c>
      <c r="U44" s="8" t="s">
        <v>236</v>
      </c>
    </row>
    <row r="45" spans="3:21" x14ac:dyDescent="0.3">
      <c r="L45" s="120" t="s">
        <v>417</v>
      </c>
      <c r="M45"/>
      <c r="T45" s="67">
        <v>1010000</v>
      </c>
      <c r="U45" t="s">
        <v>197</v>
      </c>
    </row>
    <row r="46" spans="3:21" x14ac:dyDescent="0.3">
      <c r="I46" s="134"/>
      <c r="J46" s="108"/>
      <c r="K46" s="108"/>
      <c r="L46" s="121" t="s">
        <v>412</v>
      </c>
      <c r="M46" s="122">
        <f>+S19</f>
        <v>113732908.09382999</v>
      </c>
      <c r="N46" s="73">
        <f>+M46/S$11</f>
        <v>1.3389453363432642E-2</v>
      </c>
      <c r="T46" s="67">
        <v>950000</v>
      </c>
      <c r="U46" t="s">
        <v>200</v>
      </c>
    </row>
    <row r="47" spans="3:21" x14ac:dyDescent="0.3">
      <c r="I47" s="135"/>
      <c r="L47" s="123" t="s">
        <v>422</v>
      </c>
      <c r="M47" s="124">
        <f>+S20</f>
        <v>298604035.53847003</v>
      </c>
      <c r="N47" s="73">
        <f>+M47/S$11</f>
        <v>3.5153807943402331E-2</v>
      </c>
      <c r="T47" s="67">
        <v>920000</v>
      </c>
      <c r="U47" t="s">
        <v>226</v>
      </c>
    </row>
    <row r="48" spans="3:21" x14ac:dyDescent="0.3">
      <c r="I48" s="135"/>
      <c r="L48" s="123" t="s">
        <v>424</v>
      </c>
      <c r="M48" s="127">
        <f>SUM(M46:M47)</f>
        <v>412336943.63230002</v>
      </c>
      <c r="N48" s="73">
        <f>+M48/S$11</f>
        <v>4.8543261306834971E-2</v>
      </c>
      <c r="T48" s="67">
        <v>810000</v>
      </c>
      <c r="U48" t="s">
        <v>425</v>
      </c>
    </row>
    <row r="49" spans="2:23" x14ac:dyDescent="0.3">
      <c r="I49" s="135"/>
      <c r="L49" s="125"/>
      <c r="M49" s="109"/>
      <c r="T49" s="67">
        <v>800000</v>
      </c>
      <c r="U49" t="s">
        <v>221</v>
      </c>
    </row>
    <row r="50" spans="2:23" x14ac:dyDescent="0.3">
      <c r="I50" s="135"/>
      <c r="L50" s="123" t="s">
        <v>418</v>
      </c>
      <c r="M50" s="129">
        <f>+S13</f>
        <v>85025235.495700002</v>
      </c>
      <c r="N50" s="73">
        <f>+M50/S$11</f>
        <v>1.0009780321851397E-2</v>
      </c>
      <c r="T50" s="67">
        <v>770000</v>
      </c>
      <c r="U50" t="s">
        <v>225</v>
      </c>
    </row>
    <row r="51" spans="2:23" x14ac:dyDescent="0.3">
      <c r="I51" s="135"/>
      <c r="L51" s="123" t="s">
        <v>419</v>
      </c>
      <c r="M51" s="129">
        <f>+S14</f>
        <v>8301324</v>
      </c>
      <c r="N51" s="73">
        <f>+M51/S$11</f>
        <v>9.772913786838624E-4</v>
      </c>
      <c r="T51" s="137">
        <v>750000</v>
      </c>
      <c r="U51" s="8" t="s">
        <v>230</v>
      </c>
    </row>
    <row r="52" spans="2:23" x14ac:dyDescent="0.3">
      <c r="I52" s="136"/>
      <c r="J52" s="110"/>
      <c r="K52" s="110"/>
      <c r="L52" s="126"/>
      <c r="M52" s="128">
        <f>SUM(M50:M51)</f>
        <v>93326559.495700002</v>
      </c>
      <c r="N52" s="73">
        <f>+M52/S$11</f>
        <v>1.0987071700535259E-2</v>
      </c>
      <c r="T52" s="67">
        <v>700000</v>
      </c>
      <c r="U52" t="s">
        <v>227</v>
      </c>
    </row>
    <row r="53" spans="2:23" ht="14.5" thickBot="1" x14ac:dyDescent="0.35">
      <c r="I53" s="131"/>
      <c r="J53" s="131"/>
      <c r="K53" s="131"/>
      <c r="L53" s="132" t="s">
        <v>420</v>
      </c>
      <c r="M53" s="133">
        <f>+M48+M52</f>
        <v>505663503.12800002</v>
      </c>
      <c r="N53" s="73">
        <f>+M53/S$11</f>
        <v>5.9530333007370234E-2</v>
      </c>
      <c r="T53" s="137">
        <v>700000</v>
      </c>
      <c r="U53" s="8" t="s">
        <v>235</v>
      </c>
    </row>
    <row r="54" spans="2:23" ht="14.5" thickTop="1" x14ac:dyDescent="0.3">
      <c r="C54" t="s">
        <v>415</v>
      </c>
      <c r="I54" s="71" t="s">
        <v>423</v>
      </c>
      <c r="J54" s="71"/>
      <c r="L54" s="72"/>
      <c r="M54"/>
      <c r="T54" s="137">
        <v>700000</v>
      </c>
      <c r="U54" s="8" t="s">
        <v>237</v>
      </c>
    </row>
    <row r="55" spans="2:23" x14ac:dyDescent="0.3">
      <c r="I55" s="71"/>
      <c r="J55" s="71"/>
      <c r="L55" s="72"/>
      <c r="M55"/>
      <c r="T55" s="137">
        <v>700000</v>
      </c>
      <c r="U55" s="8" t="s">
        <v>241</v>
      </c>
    </row>
    <row r="56" spans="2:23" x14ac:dyDescent="0.3">
      <c r="I56" s="71"/>
      <c r="J56" s="71"/>
      <c r="L56" s="72"/>
      <c r="M56"/>
      <c r="T56" s="137">
        <v>700000</v>
      </c>
      <c r="U56" s="8" t="s">
        <v>243</v>
      </c>
    </row>
    <row r="57" spans="2:23" x14ac:dyDescent="0.3">
      <c r="C57" t="s">
        <v>426</v>
      </c>
      <c r="E57"/>
      <c r="T57" s="137">
        <v>700000</v>
      </c>
      <c r="U57" s="8" t="s">
        <v>382</v>
      </c>
    </row>
    <row r="58" spans="2:23" x14ac:dyDescent="0.3">
      <c r="T58" s="137">
        <v>670000</v>
      </c>
      <c r="U58" s="8" t="s">
        <v>238</v>
      </c>
      <c r="W58" s="67"/>
    </row>
    <row r="59" spans="2:23" x14ac:dyDescent="0.3">
      <c r="B59" s="67"/>
      <c r="C59" t="s">
        <v>221</v>
      </c>
      <c r="L59" s="69" t="s">
        <v>230</v>
      </c>
      <c r="M59" s="137"/>
      <c r="T59" s="67">
        <v>650000</v>
      </c>
      <c r="U59" t="s">
        <v>194</v>
      </c>
      <c r="W59" s="67"/>
    </row>
    <row r="60" spans="2:23" x14ac:dyDescent="0.3">
      <c r="B60" s="67"/>
      <c r="C60" t="s">
        <v>224</v>
      </c>
      <c r="L60" s="69" t="s">
        <v>235</v>
      </c>
      <c r="M60" s="137"/>
      <c r="T60" s="137">
        <v>650000</v>
      </c>
      <c r="U60" s="8" t="s">
        <v>387</v>
      </c>
    </row>
    <row r="61" spans="2:23" x14ac:dyDescent="0.3">
      <c r="B61" s="67"/>
      <c r="C61" t="s">
        <v>194</v>
      </c>
      <c r="E61"/>
      <c r="L61" s="69" t="s">
        <v>236</v>
      </c>
      <c r="M61" s="137"/>
      <c r="T61" s="67">
        <v>600000</v>
      </c>
      <c r="U61" t="s">
        <v>228</v>
      </c>
      <c r="W61" s="67"/>
    </row>
    <row r="62" spans="2:23" x14ac:dyDescent="0.3">
      <c r="B62" s="67"/>
      <c r="C62" t="s">
        <v>225</v>
      </c>
      <c r="L62" s="69" t="s">
        <v>237</v>
      </c>
      <c r="M62" s="137"/>
      <c r="T62" s="137">
        <v>600000</v>
      </c>
      <c r="U62" s="8" t="s">
        <v>244</v>
      </c>
    </row>
    <row r="63" spans="2:23" x14ac:dyDescent="0.3">
      <c r="B63" s="67"/>
      <c r="C63" t="s">
        <v>195</v>
      </c>
      <c r="L63" s="69" t="s">
        <v>238</v>
      </c>
      <c r="M63" s="137"/>
      <c r="W63" s="67"/>
    </row>
    <row r="64" spans="2:23" x14ac:dyDescent="0.3">
      <c r="B64" s="67"/>
      <c r="C64" t="s">
        <v>425</v>
      </c>
      <c r="L64" s="69" t="s">
        <v>241</v>
      </c>
      <c r="M64" s="137"/>
      <c r="W64" s="67"/>
    </row>
    <row r="65" spans="2:23" x14ac:dyDescent="0.3">
      <c r="B65" s="67"/>
      <c r="C65" t="s">
        <v>200</v>
      </c>
      <c r="L65" s="69" t="s">
        <v>243</v>
      </c>
      <c r="M65" s="137"/>
      <c r="W65" s="67"/>
    </row>
    <row r="66" spans="2:23" x14ac:dyDescent="0.3">
      <c r="B66" s="67"/>
      <c r="C66" t="s">
        <v>197</v>
      </c>
      <c r="L66" s="69" t="s">
        <v>244</v>
      </c>
      <c r="M66" s="137"/>
      <c r="W66" s="67"/>
    </row>
    <row r="67" spans="2:23" x14ac:dyDescent="0.3">
      <c r="B67" s="67"/>
      <c r="C67" t="s">
        <v>226</v>
      </c>
      <c r="L67" s="69" t="s">
        <v>222</v>
      </c>
      <c r="M67" s="137"/>
      <c r="W67" s="67"/>
    </row>
    <row r="68" spans="2:23" x14ac:dyDescent="0.3">
      <c r="B68" s="67"/>
      <c r="C68" t="s">
        <v>227</v>
      </c>
      <c r="L68" s="69" t="s">
        <v>387</v>
      </c>
      <c r="M68" s="137"/>
      <c r="W68" s="67"/>
    </row>
    <row r="69" spans="2:23" x14ac:dyDescent="0.3">
      <c r="B69" s="67"/>
      <c r="C69" t="s">
        <v>228</v>
      </c>
      <c r="L69" s="69" t="s">
        <v>382</v>
      </c>
      <c r="M69" s="137"/>
    </row>
    <row r="70" spans="2:23" x14ac:dyDescent="0.3">
      <c r="B70" s="67"/>
      <c r="C70" t="s">
        <v>198</v>
      </c>
      <c r="W70" s="67"/>
    </row>
    <row r="79" spans="2:23" x14ac:dyDescent="0.3">
      <c r="W79" s="67"/>
    </row>
  </sheetData>
  <sortState xmlns:xlrd2="http://schemas.microsoft.com/office/spreadsheetml/2017/richdata2" ref="T58:W80">
    <sortCondition descending="1" ref="T58:T80"/>
  </sortState>
  <mergeCells count="16">
    <mergeCell ref="BP2:BS2"/>
    <mergeCell ref="BL2:BO2"/>
    <mergeCell ref="AZ2:BC2"/>
    <mergeCell ref="BD2:BG2"/>
    <mergeCell ref="BH2:BK2"/>
    <mergeCell ref="C2:F2"/>
    <mergeCell ref="G2:J2"/>
    <mergeCell ref="K2:N2"/>
    <mergeCell ref="AR2:AU2"/>
    <mergeCell ref="AV2:AY2"/>
    <mergeCell ref="O2:R2"/>
    <mergeCell ref="X2:AA2"/>
    <mergeCell ref="AB2:AE2"/>
    <mergeCell ref="AF2:AI2"/>
    <mergeCell ref="AJ2:AM2"/>
    <mergeCell ref="AN2:AQ2"/>
  </mergeCells>
  <conditionalFormatting sqref="D3:D7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{4B4A3BD0-D504-4F7B-923E-0FD975E7CF1A}</x14:id>
        </ext>
      </extLst>
    </cfRule>
  </conditionalFormatting>
  <conditionalFormatting sqref="H3:H7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{C9ECD3ED-C1F8-4781-8AFF-A29BBAB988FF}</x14:id>
        </ext>
      </extLst>
    </cfRule>
  </conditionalFormatting>
  <conditionalFormatting sqref="I9"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L3:L7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{5A74D3B8-A728-4881-8BD6-D412DDB68A4B}</x14:id>
        </ext>
      </extLst>
    </cfRule>
  </conditionalFormatting>
  <conditionalFormatting sqref="M9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P3:P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{E1F01A76-6EC5-4C5C-A06E-AAB939927950}</x14:id>
        </ext>
      </extLst>
    </cfRule>
  </conditionalFormatting>
  <conditionalFormatting sqref="Q9"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AD12">
    <cfRule type="iconSet" priority="18">
      <iconSet iconSet="3Arrows">
        <cfvo type="percent" val="0"/>
        <cfvo type="percent" val="33"/>
        <cfvo type="percent" val="67"/>
      </iconSet>
    </cfRule>
  </conditionalFormatting>
  <conditionalFormatting sqref="AL12">
    <cfRule type="iconSet" priority="14">
      <iconSet iconSet="3Arrows">
        <cfvo type="percent" val="0"/>
        <cfvo type="percent" val="33"/>
        <cfvo type="percent" val="67"/>
      </iconSet>
    </cfRule>
  </conditionalFormatting>
  <conditionalFormatting sqref="AT1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AX12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BF12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BJ12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BN1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BR12">
    <cfRule type="iconSet" priority="2">
      <iconSet iconSet="3Arrows">
        <cfvo type="percent" val="0"/>
        <cfvo type="percent" val="33"/>
        <cfvo type="percent" val="67"/>
      </iconSet>
    </cfRule>
  </conditionalFormatting>
  <pageMargins left="0.25" right="0.25" top="0.75" bottom="0.75" header="0.3" footer="0.3"/>
  <pageSetup scale="73" fitToHeight="0" orientation="landscape" r:id="rId1"/>
  <headerFooter>
    <oddHeader xml:space="preserve">&amp;CSueldos y Salarios </oddHeader>
    <oddFooter>&amp;LCountry: Chile&amp;RDS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4A3BD0-D504-4F7B-923E-0FD975E7CF1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D3:D7</xm:sqref>
        </x14:conditionalFormatting>
        <x14:conditionalFormatting xmlns:xm="http://schemas.microsoft.com/office/excel/2006/main">
          <x14:cfRule type="dataBar" id="{C9ECD3ED-C1F8-4781-8AFF-A29BBAB988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H3:H7</xm:sqref>
        </x14:conditionalFormatting>
        <x14:conditionalFormatting xmlns:xm="http://schemas.microsoft.com/office/excel/2006/main">
          <x14:cfRule type="dataBar" id="{5A74D3B8-A728-4881-8BD6-D412DDB68A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L3:L7</xm:sqref>
        </x14:conditionalFormatting>
        <x14:conditionalFormatting xmlns:xm="http://schemas.microsoft.com/office/excel/2006/main">
          <x14:cfRule type="dataBar" id="{E1F01A76-6EC5-4C5C-A06E-AAB9399279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P3:P7</xm:sqref>
        </x14:conditionalFormatting>
        <x14:conditionalFormatting xmlns:xm="http://schemas.microsoft.com/office/excel/2006/main">
          <x14:cfRule type="iconSet" priority="15" id="{E8220804-A7CB-4B74-81CC-44CFEABF5B3C}">
            <x14:iconSet iconSet="3Symbols2" custom="1">
              <x14:cfvo type="percent">
                <xm:f>0</xm:f>
              </x14:cfvo>
              <x14:cfvo type="percent" gte="0">
                <xm:f>0</xm:f>
              </x14:cfvo>
              <x14:cfvo type="percent">
                <xm:f>0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AD12</xm:sqref>
        </x14:conditionalFormatting>
        <x14:conditionalFormatting xmlns:xm="http://schemas.microsoft.com/office/excel/2006/main">
          <x14:cfRule type="iconSet" priority="13" id="{3A2E5EFC-CEEC-4AA5-B706-E95A0B0A4E54}">
            <x14:iconSet iconSet="3Symbols2" custom="1">
              <x14:cfvo type="percent">
                <xm:f>0</xm:f>
              </x14:cfvo>
              <x14:cfvo type="percent" gte="0">
                <xm:f>0</xm:f>
              </x14:cfvo>
              <x14:cfvo type="percent">
                <xm:f>0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AL12</xm:sqref>
        </x14:conditionalFormatting>
        <x14:conditionalFormatting xmlns:xm="http://schemas.microsoft.com/office/excel/2006/main">
          <x14:cfRule type="iconSet" priority="11" id="{74330BC1-285B-41D8-9970-1AD448519408}">
            <x14:iconSet iconSet="3Symbols2" custom="1">
              <x14:cfvo type="percent">
                <xm:f>0</xm:f>
              </x14:cfvo>
              <x14:cfvo type="percent" gte="0">
                <xm:f>0</xm:f>
              </x14:cfvo>
              <x14:cfvo type="percent">
                <xm:f>0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AT12</xm:sqref>
        </x14:conditionalFormatting>
        <x14:conditionalFormatting xmlns:xm="http://schemas.microsoft.com/office/excel/2006/main">
          <x14:cfRule type="iconSet" priority="9" id="{ECA34393-A075-4A3B-8E47-7E7A59CA56BA}">
            <x14:iconSet iconSet="3Symbols2" custom="1">
              <x14:cfvo type="percent">
                <xm:f>0</xm:f>
              </x14:cfvo>
              <x14:cfvo type="percent" gte="0">
                <xm:f>0</xm:f>
              </x14:cfvo>
              <x14:cfvo type="percent">
                <xm:f>0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AX12</xm:sqref>
        </x14:conditionalFormatting>
        <x14:conditionalFormatting xmlns:xm="http://schemas.microsoft.com/office/excel/2006/main">
          <x14:cfRule type="iconSet" priority="7" id="{E677AB01-5905-4D88-885C-9F148824FC58}">
            <x14:iconSet iconSet="3Symbols2" custom="1">
              <x14:cfvo type="percent">
                <xm:f>0</xm:f>
              </x14:cfvo>
              <x14:cfvo type="percent" gte="0">
                <xm:f>0</xm:f>
              </x14:cfvo>
              <x14:cfvo type="percent">
                <xm:f>0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BF12</xm:sqref>
        </x14:conditionalFormatting>
        <x14:conditionalFormatting xmlns:xm="http://schemas.microsoft.com/office/excel/2006/main">
          <x14:cfRule type="iconSet" priority="5" id="{93480F0C-38FF-4D0A-AD59-28B71D330F9C}">
            <x14:iconSet iconSet="3Symbols2" custom="1">
              <x14:cfvo type="percent">
                <xm:f>0</xm:f>
              </x14:cfvo>
              <x14:cfvo type="percent" gte="0">
                <xm:f>0</xm:f>
              </x14:cfvo>
              <x14:cfvo type="percent">
                <xm:f>0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BJ12</xm:sqref>
        </x14:conditionalFormatting>
        <x14:conditionalFormatting xmlns:xm="http://schemas.microsoft.com/office/excel/2006/main">
          <x14:cfRule type="iconSet" priority="3" id="{892D4012-140A-4A48-AC92-928D82C79DE9}">
            <x14:iconSet iconSet="3Symbols2" custom="1">
              <x14:cfvo type="percent">
                <xm:f>0</xm:f>
              </x14:cfvo>
              <x14:cfvo type="percent" gte="0">
                <xm:f>0</xm:f>
              </x14:cfvo>
              <x14:cfvo type="percent">
                <xm:f>0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BN12</xm:sqref>
        </x14:conditionalFormatting>
        <x14:conditionalFormatting xmlns:xm="http://schemas.microsoft.com/office/excel/2006/main">
          <x14:cfRule type="iconSet" priority="1" id="{5DE84EDB-7DCE-48EB-849F-FDE14D013315}">
            <x14:iconSet iconSet="3Symbols2" custom="1">
              <x14:cfvo type="percent">
                <xm:f>0</xm:f>
              </x14:cfvo>
              <x14:cfvo type="percent" gte="0">
                <xm:f>0</xm:f>
              </x14:cfvo>
              <x14:cfvo type="percent">
                <xm:f>0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BR12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9ECD8-9DAA-404A-B582-C7462AB784BC}">
  <sheetPr codeName="Hoja14">
    <pageSetUpPr fitToPage="1"/>
  </sheetPr>
  <dimension ref="B1:BZ79"/>
  <sheetViews>
    <sheetView showGridLines="0"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T19" sqref="T19"/>
    </sheetView>
  </sheetViews>
  <sheetFormatPr baseColWidth="10" defaultRowHeight="14" x14ac:dyDescent="0.3"/>
  <cols>
    <col min="1" max="1" width="2.1640625" customWidth="1"/>
    <col min="2" max="2" width="27.6640625" customWidth="1"/>
    <col min="3" max="3" width="11.08203125" customWidth="1"/>
    <col min="4" max="4" width="4.1640625" customWidth="1"/>
    <col min="5" max="5" width="12.08203125" style="67" bestFit="1" customWidth="1"/>
    <col min="6" max="6" width="8.1640625" customWidth="1"/>
    <col min="7" max="7" width="7.6640625" customWidth="1"/>
    <col min="8" max="8" width="4.4140625" customWidth="1"/>
    <col min="9" max="9" width="13.1640625" style="72" customWidth="1"/>
    <col min="10" max="10" width="7.4140625" customWidth="1"/>
    <col min="11" max="11" width="7.5" customWidth="1"/>
    <col min="12" max="12" width="5.1640625" customWidth="1"/>
    <col min="13" max="13" width="14" style="72" customWidth="1"/>
    <col min="14" max="14" width="8.1640625" customWidth="1"/>
    <col min="15" max="16" width="7.4140625" customWidth="1"/>
    <col min="17" max="17" width="13.1640625" customWidth="1"/>
    <col min="18" max="20" width="7.4140625" customWidth="1"/>
    <col min="21" max="21" width="12.5" customWidth="1"/>
    <col min="22" max="24" width="7.4140625" customWidth="1"/>
    <col min="25" max="25" width="15.6640625" customWidth="1"/>
    <col min="26" max="26" width="30.9140625" customWidth="1"/>
    <col min="27" max="27" width="2.6640625" customWidth="1"/>
    <col min="28" max="28" width="1.9140625" customWidth="1"/>
    <col min="29" max="29" width="28.4140625" customWidth="1"/>
    <col min="30" max="30" width="7.4140625" customWidth="1"/>
    <col min="31" max="31" width="6" customWidth="1"/>
    <col min="32" max="32" width="15.08203125" customWidth="1"/>
    <col min="33" max="33" width="7.58203125" customWidth="1"/>
    <col min="34" max="34" width="7.4140625" customWidth="1"/>
    <col min="35" max="35" width="5.6640625" customWidth="1"/>
    <col min="36" max="36" width="12.4140625" customWidth="1"/>
    <col min="37" max="37" width="7.58203125" customWidth="1"/>
    <col min="38" max="38" width="7.4140625" customWidth="1"/>
    <col min="39" max="39" width="5.58203125" customWidth="1"/>
    <col min="40" max="40" width="12.4140625" customWidth="1"/>
    <col min="41" max="41" width="7.58203125" customWidth="1"/>
    <col min="42" max="42" width="7.4140625" customWidth="1"/>
    <col min="43" max="43" width="4.6640625" customWidth="1"/>
    <col min="44" max="44" width="12.4140625" customWidth="1"/>
    <col min="45" max="45" width="7.58203125" customWidth="1"/>
    <col min="46" max="46" width="7.4140625" customWidth="1"/>
    <col min="47" max="47" width="5.4140625" customWidth="1"/>
    <col min="48" max="48" width="12.58203125" customWidth="1"/>
    <col min="49" max="49" width="7.58203125" customWidth="1"/>
    <col min="50" max="50" width="7.4140625" customWidth="1"/>
    <col min="51" max="51" width="5.6640625" customWidth="1"/>
    <col min="52" max="52" width="12.4140625" customWidth="1"/>
    <col min="53" max="53" width="7.58203125" customWidth="1"/>
    <col min="54" max="54" width="7.4140625" customWidth="1"/>
    <col min="55" max="55" width="4.6640625" customWidth="1"/>
    <col min="56" max="56" width="12.4140625" customWidth="1"/>
    <col min="57" max="57" width="7.58203125" customWidth="1"/>
    <col min="58" max="58" width="7.4140625" customWidth="1"/>
    <col min="59" max="59" width="4.6640625" customWidth="1"/>
    <col min="60" max="60" width="12.4140625" customWidth="1"/>
    <col min="61" max="61" width="7.58203125" customWidth="1"/>
    <col min="62" max="62" width="7.4140625" hidden="1" customWidth="1"/>
    <col min="63" max="63" width="5.58203125" hidden="1" customWidth="1"/>
    <col min="64" max="64" width="14" hidden="1" customWidth="1"/>
    <col min="65" max="65" width="7.58203125" hidden="1" customWidth="1"/>
    <col min="66" max="66" width="7.4140625" hidden="1" customWidth="1"/>
    <col min="67" max="67" width="4.6640625" hidden="1" customWidth="1"/>
    <col min="68" max="68" width="12.4140625" hidden="1" customWidth="1"/>
    <col min="69" max="69" width="7.58203125" hidden="1" customWidth="1"/>
    <col min="70" max="70" width="7.4140625" hidden="1" customWidth="1"/>
    <col min="71" max="71" width="4.6640625" hidden="1" customWidth="1"/>
    <col min="72" max="72" width="12.4140625" hidden="1" customWidth="1"/>
    <col min="73" max="73" width="7.58203125" hidden="1" customWidth="1"/>
    <col min="74" max="74" width="7.4140625" hidden="1" customWidth="1"/>
    <col min="75" max="75" width="3.58203125" hidden="1" customWidth="1"/>
    <col min="76" max="76" width="14.4140625" hidden="1" customWidth="1"/>
    <col min="77" max="77" width="7.5" hidden="1" customWidth="1"/>
    <col min="78" max="78" width="16.5" customWidth="1"/>
  </cols>
  <sheetData>
    <row r="1" spans="2:78" ht="38" customHeight="1" x14ac:dyDescent="0.3">
      <c r="Q1" s="72"/>
    </row>
    <row r="2" spans="2:78" ht="30" customHeight="1" x14ac:dyDescent="0.3">
      <c r="C2" s="239" t="s">
        <v>437</v>
      </c>
      <c r="D2" s="239"/>
      <c r="E2" s="239"/>
      <c r="F2" s="239"/>
      <c r="G2" s="239" t="s">
        <v>438</v>
      </c>
      <c r="H2" s="239"/>
      <c r="I2" s="239"/>
      <c r="J2" s="239"/>
      <c r="K2" s="239" t="s">
        <v>439</v>
      </c>
      <c r="L2" s="239"/>
      <c r="M2" s="239"/>
      <c r="N2" s="239"/>
      <c r="O2" s="239" t="s">
        <v>440</v>
      </c>
      <c r="P2" s="239"/>
      <c r="Q2" s="239"/>
      <c r="R2" s="239"/>
      <c r="S2" s="239" t="s">
        <v>437</v>
      </c>
      <c r="T2" s="239"/>
      <c r="U2" s="239"/>
      <c r="V2" s="239"/>
      <c r="W2" s="161"/>
      <c r="X2" s="161"/>
      <c r="Y2" s="2" t="s">
        <v>373</v>
      </c>
      <c r="Z2" s="2" t="s">
        <v>374</v>
      </c>
      <c r="AD2" s="243">
        <v>45292</v>
      </c>
      <c r="AE2" s="244"/>
      <c r="AF2" s="244"/>
      <c r="AG2" s="245"/>
      <c r="AH2" s="246">
        <v>45323</v>
      </c>
      <c r="AI2" s="246"/>
      <c r="AJ2" s="246"/>
      <c r="AK2" s="247"/>
      <c r="AL2" s="240">
        <v>45352</v>
      </c>
      <c r="AM2" s="241"/>
      <c r="AN2" s="241"/>
      <c r="AO2" s="242"/>
      <c r="AP2" s="243">
        <v>45383</v>
      </c>
      <c r="AQ2" s="244"/>
      <c r="AR2" s="244"/>
      <c r="AS2" s="245"/>
      <c r="AT2" s="246">
        <v>45413</v>
      </c>
      <c r="AU2" s="246"/>
      <c r="AV2" s="246"/>
      <c r="AW2" s="247"/>
      <c r="AX2" s="240">
        <v>45444</v>
      </c>
      <c r="AY2" s="241"/>
      <c r="AZ2" s="241"/>
      <c r="BA2" s="242"/>
      <c r="BB2" s="243">
        <v>45474</v>
      </c>
      <c r="BC2" s="244"/>
      <c r="BD2" s="244"/>
      <c r="BE2" s="245"/>
      <c r="BF2" s="246">
        <v>45505</v>
      </c>
      <c r="BG2" s="246"/>
      <c r="BH2" s="246"/>
      <c r="BI2" s="247"/>
      <c r="BJ2" s="240">
        <v>45536</v>
      </c>
      <c r="BK2" s="241"/>
      <c r="BL2" s="241"/>
      <c r="BM2" s="242"/>
      <c r="BN2" s="243">
        <v>45566</v>
      </c>
      <c r="BO2" s="244"/>
      <c r="BP2" s="244"/>
      <c r="BQ2" s="245"/>
      <c r="BR2" s="246">
        <v>45597</v>
      </c>
      <c r="BS2" s="246"/>
      <c r="BT2" s="246"/>
      <c r="BU2" s="247"/>
      <c r="BV2" s="240">
        <v>45627</v>
      </c>
      <c r="BW2" s="241"/>
      <c r="BX2" s="241"/>
      <c r="BY2" s="242"/>
      <c r="BZ2" t="s">
        <v>360</v>
      </c>
    </row>
    <row r="3" spans="2:78" x14ac:dyDescent="0.3">
      <c r="B3" s="69" t="s">
        <v>368</v>
      </c>
      <c r="C3" s="74">
        <f t="shared" ref="C3:D7" si="0">AVERAGE(AD3,AH3,AL3)</f>
        <v>0.43995726495726495</v>
      </c>
      <c r="D3" s="81">
        <f t="shared" si="0"/>
        <v>11</v>
      </c>
      <c r="E3" s="81">
        <f>SUM(AF3,AJ3,AN3)</f>
        <v>19008599.013875</v>
      </c>
      <c r="F3" s="196">
        <f>SUM(E3)/SUM($E$3:$E$7)</f>
        <v>0.22461856065938957</v>
      </c>
      <c r="G3" s="74">
        <f t="shared" ref="G3:H7" si="1">AVERAGE(AP3,AT3,AX3)</f>
        <v>0.35416666666666674</v>
      </c>
      <c r="H3" s="81">
        <f t="shared" si="1"/>
        <v>8.5</v>
      </c>
      <c r="I3" s="81">
        <f>SUM(AR3,AV3,AZ3)</f>
        <v>10152589.33</v>
      </c>
      <c r="J3" s="195">
        <f>SUM(I3)/SUM($I$3:$I$7)</f>
        <v>0.17920949638956213</v>
      </c>
      <c r="K3" s="74"/>
      <c r="L3" s="81"/>
      <c r="M3" s="81"/>
      <c r="N3" s="82"/>
      <c r="O3" s="74"/>
      <c r="P3" s="81"/>
      <c r="Q3" s="81"/>
      <c r="R3" s="82"/>
      <c r="S3" s="74"/>
      <c r="T3" s="81"/>
      <c r="U3" s="81"/>
      <c r="V3" s="82"/>
      <c r="W3" s="83"/>
      <c r="X3" s="83"/>
      <c r="Y3" s="73">
        <f>AVERAGE(C3,)</f>
        <v>0.21997863247863247</v>
      </c>
      <c r="Z3" s="89">
        <f>AVERAGE(F3)</f>
        <v>0.22461856065938957</v>
      </c>
      <c r="AA3" s="89"/>
      <c r="AC3" s="69" t="s">
        <v>368</v>
      </c>
      <c r="AD3" s="74">
        <v>0.46153846153846145</v>
      </c>
      <c r="AE3" s="24">
        <v>12</v>
      </c>
      <c r="AF3" s="24">
        <v>6068355.6385000004</v>
      </c>
      <c r="AG3" s="76">
        <f>SUM(AF3)/SUM($AF$3:$AF$7)</f>
        <v>0.21076461123084919</v>
      </c>
      <c r="AH3" s="74">
        <v>0.45833333333333337</v>
      </c>
      <c r="AI3" s="24">
        <v>11</v>
      </c>
      <c r="AJ3" s="24">
        <v>6991847.2801999999</v>
      </c>
      <c r="AK3" s="76">
        <f>SUM(AJ3)/SUM($AJ$3:$AJ$7)</f>
        <v>0.2497036631945912</v>
      </c>
      <c r="AL3" s="74">
        <f>AM3/AL9</f>
        <v>0.4</v>
      </c>
      <c r="AM3" s="24">
        <v>10</v>
      </c>
      <c r="AN3" s="24">
        <v>5948396.0951749999</v>
      </c>
      <c r="AO3" s="76">
        <f>SUM(AN3)/SUM($AN$3:$AN$7)</f>
        <v>0.21371394293695736</v>
      </c>
      <c r="AP3" s="74">
        <v>0.33333333333333343</v>
      </c>
      <c r="AQ3" s="24">
        <v>8</v>
      </c>
      <c r="AR3" s="24">
        <v>4815349.33</v>
      </c>
      <c r="AS3" s="76">
        <f>SUM(AR3)/SUM($AR$3:$AR$7)</f>
        <v>0.16876333215932218</v>
      </c>
      <c r="AT3" s="194">
        <v>0.375</v>
      </c>
      <c r="AU3" s="24">
        <v>9</v>
      </c>
      <c r="AV3" s="24">
        <v>5337240</v>
      </c>
      <c r="AW3" s="76">
        <f>SUM(AV3)/SUM($AV$3:$AV$7)</f>
        <v>0.18980954539238487</v>
      </c>
      <c r="AX3" s="74"/>
      <c r="AY3" s="24"/>
      <c r="AZ3" s="24"/>
      <c r="BA3" s="76"/>
      <c r="BB3" s="74"/>
      <c r="BC3" s="24"/>
      <c r="BD3" s="24"/>
      <c r="BE3" s="76"/>
      <c r="BF3" s="74"/>
      <c r="BG3" s="24"/>
      <c r="BH3" s="24"/>
      <c r="BI3" s="76"/>
      <c r="BJ3" s="74"/>
      <c r="BK3" s="24"/>
      <c r="BL3" s="24"/>
      <c r="BM3" s="76"/>
      <c r="BN3" s="74"/>
      <c r="BO3" s="24"/>
      <c r="BP3" s="24"/>
      <c r="BQ3" s="76"/>
      <c r="BR3" s="74"/>
      <c r="BS3" s="24"/>
      <c r="BT3" s="24"/>
      <c r="BU3" s="76"/>
      <c r="BV3" s="74"/>
      <c r="BW3" s="24"/>
      <c r="BX3" s="24"/>
      <c r="BY3" s="76"/>
      <c r="BZ3" s="64">
        <f>AVERAGE(AF3,AJ3,AN3,AR3,AV3,AZ3,BD3,BH3,BL3,BP3,BT3,BX3)</f>
        <v>5832237.6687749997</v>
      </c>
    </row>
    <row r="4" spans="2:78" x14ac:dyDescent="0.3">
      <c r="B4" s="69" t="s">
        <v>372</v>
      </c>
      <c r="C4" s="74">
        <f t="shared" si="0"/>
        <v>0.28029914529914529</v>
      </c>
      <c r="D4" s="81">
        <f t="shared" si="0"/>
        <v>7</v>
      </c>
      <c r="E4" s="81">
        <f>SUM(AF4,AJ4,AN4)</f>
        <v>17505561.401725002</v>
      </c>
      <c r="F4" s="196">
        <f>SUM(E4)/SUM($E$3:$E$7)</f>
        <v>0.20685764388632147</v>
      </c>
      <c r="G4" s="74">
        <f t="shared" si="1"/>
        <v>0.39583333333333337</v>
      </c>
      <c r="H4" s="81">
        <f t="shared" si="1"/>
        <v>9.5</v>
      </c>
      <c r="I4" s="81">
        <f>SUM(AR4,AV4,AZ4)</f>
        <v>15830461.23</v>
      </c>
      <c r="J4" s="195">
        <f>SUM(I4)/SUM($I$3:$I$7)</f>
        <v>0.27943304830224908</v>
      </c>
      <c r="K4" s="74"/>
      <c r="L4" s="81"/>
      <c r="M4" s="81"/>
      <c r="N4" s="82"/>
      <c r="O4" s="74"/>
      <c r="P4" s="81"/>
      <c r="Q4" s="81"/>
      <c r="R4" s="82"/>
      <c r="S4" s="74"/>
      <c r="T4" s="81"/>
      <c r="U4" s="81"/>
      <c r="V4" s="82"/>
      <c r="W4" s="83"/>
      <c r="X4" s="83"/>
      <c r="Y4" s="73">
        <f>AVERAGE(C4,)</f>
        <v>0.14014957264957265</v>
      </c>
      <c r="Z4" s="89">
        <f>AVERAGE(F4)</f>
        <v>0.20685764388632147</v>
      </c>
      <c r="AA4" s="89"/>
      <c r="AC4" s="69" t="s">
        <v>372</v>
      </c>
      <c r="AD4" s="74">
        <v>0.26923076923076927</v>
      </c>
      <c r="AE4" s="24">
        <v>7</v>
      </c>
      <c r="AF4" s="24">
        <v>5879558.4053000007</v>
      </c>
      <c r="AG4" s="76">
        <f>SUM(AF4)/SUM($AF$3:$AF$7)</f>
        <v>0.20420735291783876</v>
      </c>
      <c r="AH4" s="74">
        <v>0.29166666666666663</v>
      </c>
      <c r="AI4" s="24">
        <v>7</v>
      </c>
      <c r="AJ4" s="24">
        <v>5892657.50495</v>
      </c>
      <c r="AK4" s="76">
        <f>SUM(AJ4)/SUM($AJ$3:$AJ$7)</f>
        <v>0.21044769800736057</v>
      </c>
      <c r="AL4" s="74">
        <f>+AM4/AL9</f>
        <v>0.28000000000000003</v>
      </c>
      <c r="AM4" s="24">
        <v>7</v>
      </c>
      <c r="AN4" s="24">
        <v>5733345.491475</v>
      </c>
      <c r="AO4" s="76">
        <f>SUM(AN4)/SUM($AN$3:$AN$7)</f>
        <v>0.20598760600304344</v>
      </c>
      <c r="AP4" s="74">
        <v>0.4166666666666668</v>
      </c>
      <c r="AQ4" s="24">
        <v>10</v>
      </c>
      <c r="AR4" s="24">
        <v>8469442.2300000004</v>
      </c>
      <c r="AS4" s="76">
        <f>SUM(AR4)/SUM($AR$3:$AR$7)</f>
        <v>0.29682816226038589</v>
      </c>
      <c r="AT4" s="194">
        <v>0.375</v>
      </c>
      <c r="AU4" s="24">
        <v>9</v>
      </c>
      <c r="AV4" s="24">
        <v>7361019</v>
      </c>
      <c r="AW4" s="76">
        <f>SUM(AV4)/SUM($AV$3:$AV$7)</f>
        <v>0.26178168304492727</v>
      </c>
      <c r="AX4" s="74"/>
      <c r="AY4" s="24"/>
      <c r="AZ4" s="24"/>
      <c r="BA4" s="76"/>
      <c r="BB4" s="74"/>
      <c r="BC4" s="24"/>
      <c r="BD4" s="24"/>
      <c r="BE4" s="76"/>
      <c r="BF4" s="74"/>
      <c r="BG4" s="24"/>
      <c r="BH4" s="24"/>
      <c r="BI4" s="76"/>
      <c r="BJ4" s="74"/>
      <c r="BK4" s="24"/>
      <c r="BL4" s="24"/>
      <c r="BM4" s="76"/>
      <c r="BN4" s="74"/>
      <c r="BO4" s="24"/>
      <c r="BP4" s="24"/>
      <c r="BQ4" s="76"/>
      <c r="BR4" s="74"/>
      <c r="BS4" s="24"/>
      <c r="BT4" s="24"/>
      <c r="BU4" s="76"/>
      <c r="BV4" s="74"/>
      <c r="BW4" s="24"/>
      <c r="BX4" s="24"/>
      <c r="BY4" s="76"/>
      <c r="BZ4" s="64">
        <f>AVERAGE(AF4,AJ4,AN4,AR4,AV4,AZ4,BD4,BH4,BL4,BP4,BT4,BX4)</f>
        <v>6667204.5263450006</v>
      </c>
    </row>
    <row r="5" spans="2:78" x14ac:dyDescent="0.3">
      <c r="B5" s="69" t="s">
        <v>369</v>
      </c>
      <c r="C5" s="74">
        <f t="shared" si="0"/>
        <v>0.13346153846153846</v>
      </c>
      <c r="D5" s="81">
        <f t="shared" si="0"/>
        <v>3.3333333333333335</v>
      </c>
      <c r="E5" s="81">
        <f>SUM(AF5,AJ5,AN5)</f>
        <v>12133947.5207</v>
      </c>
      <c r="F5" s="196">
        <f>SUM(E5)/SUM($E$3:$E$7)</f>
        <v>0.14338299341402086</v>
      </c>
      <c r="G5" s="74">
        <f t="shared" si="1"/>
        <v>0.125</v>
      </c>
      <c r="H5" s="81">
        <f t="shared" si="1"/>
        <v>3</v>
      </c>
      <c r="I5" s="81">
        <f>SUM(AR5,AV5,AZ5)</f>
        <v>8163904.5600000005</v>
      </c>
      <c r="J5" s="195">
        <f>SUM(I5)/SUM($I$3:$I$7)</f>
        <v>0.14410601839738257</v>
      </c>
      <c r="K5" s="74"/>
      <c r="L5" s="81"/>
      <c r="M5" s="81"/>
      <c r="N5" s="82"/>
      <c r="O5" s="74"/>
      <c r="P5" s="81"/>
      <c r="Q5" s="81"/>
      <c r="R5" s="82"/>
      <c r="S5" s="74"/>
      <c r="T5" s="81"/>
      <c r="U5" s="81"/>
      <c r="V5" s="82"/>
      <c r="W5" s="83"/>
      <c r="X5" s="83"/>
      <c r="Y5" s="73">
        <f>AVERAGE(C5,)</f>
        <v>6.6730769230769232E-2</v>
      </c>
      <c r="Z5" s="89">
        <f>AVERAGE(F5)</f>
        <v>0.14338299341402086</v>
      </c>
      <c r="AA5" s="89"/>
      <c r="AC5" s="69" t="s">
        <v>369</v>
      </c>
      <c r="AD5" s="74">
        <v>0.11538461538461539</v>
      </c>
      <c r="AE5" s="24">
        <v>3</v>
      </c>
      <c r="AF5" s="24">
        <v>3414099.6206999999</v>
      </c>
      <c r="AG5" s="76">
        <f>SUM(AF5)/SUM($AF$3:$AF$7)</f>
        <v>0.118577654660677</v>
      </c>
      <c r="AH5" s="74">
        <v>0.125</v>
      </c>
      <c r="AI5" s="24">
        <v>3</v>
      </c>
      <c r="AJ5" s="24">
        <v>3829624.7002999997</v>
      </c>
      <c r="AK5" s="76">
        <f>SUM(AJ5)/SUM($AJ$3:$AJ$7)</f>
        <v>0.13676947993893318</v>
      </c>
      <c r="AL5" s="74">
        <f>+AM5/AL9</f>
        <v>0.16</v>
      </c>
      <c r="AM5" s="24">
        <v>4</v>
      </c>
      <c r="AN5" s="24">
        <v>4890223.1997000007</v>
      </c>
      <c r="AO5" s="76">
        <f>SUM(AN5)/SUM($AN$3:$AN$7)</f>
        <v>0.17569591283563041</v>
      </c>
      <c r="AP5" s="74">
        <v>0.125</v>
      </c>
      <c r="AQ5" s="24">
        <v>3</v>
      </c>
      <c r="AR5" s="24">
        <v>3992725.56</v>
      </c>
      <c r="AS5" s="76">
        <f>SUM(AR5)/SUM($AR$3:$AR$7)</f>
        <v>0.13993287375960647</v>
      </c>
      <c r="AT5" s="74">
        <v>0.125</v>
      </c>
      <c r="AU5" s="24">
        <v>3</v>
      </c>
      <c r="AV5" s="24">
        <v>4171179</v>
      </c>
      <c r="AW5" s="76">
        <f>SUM(AV5)/SUM($AV$3:$AV$7)</f>
        <v>0.14834063855855509</v>
      </c>
      <c r="AX5" s="74"/>
      <c r="AY5" s="24"/>
      <c r="AZ5" s="24"/>
      <c r="BA5" s="76"/>
      <c r="BB5" s="74"/>
      <c r="BC5" s="24"/>
      <c r="BD5" s="24"/>
      <c r="BE5" s="76"/>
      <c r="BF5" s="74"/>
      <c r="BG5" s="24"/>
      <c r="BH5" s="24"/>
      <c r="BI5" s="76"/>
      <c r="BJ5" s="74"/>
      <c r="BK5" s="24"/>
      <c r="BL5" s="24"/>
      <c r="BM5" s="76"/>
      <c r="BN5" s="74"/>
      <c r="BO5" s="24"/>
      <c r="BP5" s="24"/>
      <c r="BQ5" s="76"/>
      <c r="BR5" s="74"/>
      <c r="BS5" s="24"/>
      <c r="BT5" s="24"/>
      <c r="BU5" s="76"/>
      <c r="BV5" s="74"/>
      <c r="BW5" s="24"/>
      <c r="BX5" s="24"/>
      <c r="BY5" s="76"/>
      <c r="BZ5" s="64">
        <f>AVERAGE(AF5,AJ5,AN5,AR5,AV5,AZ5,BD5,BH5,BL5,BP5,BT5,BX5)</f>
        <v>4059570.4161400003</v>
      </c>
    </row>
    <row r="6" spans="2:78" x14ac:dyDescent="0.3">
      <c r="B6" s="69" t="s">
        <v>370</v>
      </c>
      <c r="C6" s="74">
        <f t="shared" si="0"/>
        <v>5.2863247863247864E-2</v>
      </c>
      <c r="D6" s="81">
        <f t="shared" si="0"/>
        <v>1.3333333333333333</v>
      </c>
      <c r="E6" s="81">
        <f>SUM(AF6,AJ6,AN6)</f>
        <v>8096991.8336999994</v>
      </c>
      <c r="F6" s="196">
        <f>SUM(E6)/SUM($E$3:$E$7)</f>
        <v>9.5679573756538877E-2</v>
      </c>
      <c r="G6" s="74">
        <f t="shared" si="1"/>
        <v>4.1666666666666671E-2</v>
      </c>
      <c r="H6" s="81">
        <f t="shared" si="1"/>
        <v>1</v>
      </c>
      <c r="I6" s="81">
        <f>SUM(AR6,AV6,AZ6)</f>
        <v>3971726.0889999997</v>
      </c>
      <c r="J6" s="195">
        <f>SUM(I6)/SUM($I$3:$I$7)</f>
        <v>7.0107340016576356E-2</v>
      </c>
      <c r="K6" s="74"/>
      <c r="L6" s="81"/>
      <c r="M6" s="81"/>
      <c r="N6" s="82"/>
      <c r="O6" s="74"/>
      <c r="P6" s="81"/>
      <c r="Q6" s="81"/>
      <c r="R6" s="82"/>
      <c r="S6" s="74"/>
      <c r="T6" s="81"/>
      <c r="U6" s="81"/>
      <c r="V6" s="82"/>
      <c r="W6" s="83"/>
      <c r="X6" s="83"/>
      <c r="Y6" s="73">
        <f>AVERAGE(C6,)</f>
        <v>2.6431623931623932E-2</v>
      </c>
      <c r="Z6" s="89">
        <f>AVERAGE(F6)</f>
        <v>9.5679573756538877E-2</v>
      </c>
      <c r="AA6" s="89"/>
      <c r="AC6" s="69" t="s">
        <v>370</v>
      </c>
      <c r="AD6" s="74">
        <v>7.6923076923076927E-2</v>
      </c>
      <c r="AE6" s="24">
        <v>2</v>
      </c>
      <c r="AF6" s="24">
        <v>4125265.7446999997</v>
      </c>
      <c r="AG6" s="76">
        <f>SUM(AF6)/SUM($AF$3:$AF$7)</f>
        <v>0.14327769872112367</v>
      </c>
      <c r="AH6" s="74">
        <v>4.1666666666666664E-2</v>
      </c>
      <c r="AI6" s="24">
        <v>1</v>
      </c>
      <c r="AJ6" s="24">
        <v>1985863.0444999998</v>
      </c>
      <c r="AK6" s="76">
        <f>SUM(AJ6)/SUM($AJ$3:$AJ$7)</f>
        <v>7.092221224835292E-2</v>
      </c>
      <c r="AL6" s="74">
        <f>+AM6/AL9</f>
        <v>0.04</v>
      </c>
      <c r="AM6" s="24">
        <v>1</v>
      </c>
      <c r="AN6" s="24">
        <v>1985863.0444999998</v>
      </c>
      <c r="AO6" s="76">
        <f>SUM(AN6)/SUM($AN$3:$AN$7)</f>
        <v>7.1348076789496229E-2</v>
      </c>
      <c r="AP6" s="74">
        <v>4.1666666666666671E-2</v>
      </c>
      <c r="AQ6" s="24">
        <v>1</v>
      </c>
      <c r="AR6" s="24">
        <v>1985863.0444999998</v>
      </c>
      <c r="AS6" s="76">
        <f>SUM(AR6)/SUM($AR$3:$AR$7)</f>
        <v>6.9598453120300677E-2</v>
      </c>
      <c r="AT6" s="74">
        <v>4.1666666666666664E-2</v>
      </c>
      <c r="AU6" s="24">
        <v>1</v>
      </c>
      <c r="AV6" s="24">
        <v>1985863.0444999998</v>
      </c>
      <c r="AW6" s="76">
        <f>SUM(AV6)/SUM($AV$3:$AV$7)</f>
        <v>7.06237234390963E-2</v>
      </c>
      <c r="AX6" s="74"/>
      <c r="AY6" s="24"/>
      <c r="AZ6" s="24"/>
      <c r="BA6" s="76"/>
      <c r="BB6" s="74"/>
      <c r="BC6" s="24"/>
      <c r="BD6" s="24"/>
      <c r="BE6" s="76"/>
      <c r="BF6" s="74"/>
      <c r="BG6" s="24"/>
      <c r="BH6" s="24"/>
      <c r="BI6" s="76"/>
      <c r="BJ6" s="74"/>
      <c r="BK6" s="24"/>
      <c r="BL6" s="24"/>
      <c r="BM6" s="76"/>
      <c r="BN6" s="74"/>
      <c r="BO6" s="24"/>
      <c r="BP6" s="24"/>
      <c r="BQ6" s="76"/>
      <c r="BR6" s="74"/>
      <c r="BS6" s="24"/>
      <c r="BT6" s="24"/>
      <c r="BU6" s="76"/>
      <c r="BV6" s="74"/>
      <c r="BW6" s="24"/>
      <c r="BX6" s="24"/>
      <c r="BY6" s="76"/>
      <c r="BZ6" s="64">
        <f>AVERAGE(AF6,AJ6,AN6,AR6,AV6,AZ6,BD6,BH6,BL6,BP6,BT6,BX6)</f>
        <v>2413743.5845399997</v>
      </c>
    </row>
    <row r="7" spans="2:78" x14ac:dyDescent="0.3">
      <c r="B7" s="69" t="s">
        <v>371</v>
      </c>
      <c r="C7" s="74">
        <f t="shared" si="0"/>
        <v>8.0085470085470081E-2</v>
      </c>
      <c r="D7" s="81">
        <f t="shared" si="0"/>
        <v>2</v>
      </c>
      <c r="E7" s="81">
        <f>SUM(AF7,AJ7,AN7)</f>
        <v>27881028</v>
      </c>
      <c r="F7" s="196">
        <f>SUM(E7)/SUM($E$3:$E$7)</f>
        <v>0.32946122828372909</v>
      </c>
      <c r="G7" s="74">
        <f t="shared" si="1"/>
        <v>8.3316666666666678E-2</v>
      </c>
      <c r="H7" s="81">
        <f t="shared" si="1"/>
        <v>2</v>
      </c>
      <c r="I7" s="81">
        <f>SUM(AR7,AV7,AZ7)</f>
        <v>18533391</v>
      </c>
      <c r="J7" s="195">
        <f>SUM(I7)/SUM($I$3:$I$7)</f>
        <v>0.3271440968942298</v>
      </c>
      <c r="K7" s="74"/>
      <c r="L7" s="81"/>
      <c r="M7" s="81"/>
      <c r="N7" s="82"/>
      <c r="O7" s="74"/>
      <c r="P7" s="81"/>
      <c r="Q7" s="81"/>
      <c r="R7" s="82"/>
      <c r="S7" s="74"/>
      <c r="T7" s="81"/>
      <c r="U7" s="81"/>
      <c r="V7" s="82"/>
      <c r="W7" s="83"/>
      <c r="X7" s="83"/>
      <c r="Y7" s="73">
        <f>AVERAGE(C7,)</f>
        <v>4.0042735042735041E-2</v>
      </c>
      <c r="Z7" s="89">
        <f>AVERAGE(F7)</f>
        <v>0.32946122828372909</v>
      </c>
      <c r="AA7" s="89"/>
      <c r="AC7" s="69" t="s">
        <v>371</v>
      </c>
      <c r="AD7" s="74">
        <v>7.6923076923076927E-2</v>
      </c>
      <c r="AE7" s="24">
        <v>2</v>
      </c>
      <c r="AF7" s="24">
        <v>9304820</v>
      </c>
      <c r="AG7" s="76">
        <f>SUM(AF7)/SUM($AF$3:$AF$7)</f>
        <v>0.32317268246951147</v>
      </c>
      <c r="AH7" s="74">
        <v>8.3333333333333329E-2</v>
      </c>
      <c r="AI7" s="24">
        <v>2</v>
      </c>
      <c r="AJ7" s="24">
        <v>9300587</v>
      </c>
      <c r="AK7" s="76">
        <f>SUM(AJ7)/SUM($AJ$3:$AJ$7)</f>
        <v>0.33215694661076206</v>
      </c>
      <c r="AL7" s="74">
        <f>+AM7/AL9</f>
        <v>0.08</v>
      </c>
      <c r="AM7" s="24">
        <v>2</v>
      </c>
      <c r="AN7" s="24">
        <v>9275621</v>
      </c>
      <c r="AO7" s="76">
        <f>SUM(AN7)/SUM($AN$3:$AN$7)</f>
        <v>0.33325446143487253</v>
      </c>
      <c r="AP7" s="74">
        <v>8.3333333333333343E-2</v>
      </c>
      <c r="AQ7" s="24">
        <v>2</v>
      </c>
      <c r="AR7" s="24">
        <v>9269769</v>
      </c>
      <c r="AS7" s="76">
        <f>SUM(AR7)/SUM($AR$3:$AR$7)</f>
        <v>0.32487717870038474</v>
      </c>
      <c r="AT7" s="74">
        <v>8.3299999999999999E-2</v>
      </c>
      <c r="AU7" s="24">
        <v>2</v>
      </c>
      <c r="AV7" s="24">
        <v>9263622</v>
      </c>
      <c r="AW7" s="76">
        <f>SUM(AV7)/SUM($AV$3:$AV$7)</f>
        <v>0.32944440956503646</v>
      </c>
      <c r="AX7" s="74"/>
      <c r="AY7" s="24"/>
      <c r="AZ7" s="24"/>
      <c r="BA7" s="76"/>
      <c r="BB7" s="74"/>
      <c r="BC7" s="24"/>
      <c r="BD7" s="24"/>
      <c r="BE7" s="76"/>
      <c r="BF7" s="74"/>
      <c r="BG7" s="24"/>
      <c r="BH7" s="24"/>
      <c r="BI7" s="76"/>
      <c r="BJ7" s="74"/>
      <c r="BK7" s="24"/>
      <c r="BL7" s="24"/>
      <c r="BM7" s="76"/>
      <c r="BN7" s="74"/>
      <c r="BO7" s="24"/>
      <c r="BP7" s="24"/>
      <c r="BQ7" s="76"/>
      <c r="BR7" s="74"/>
      <c r="BS7" s="24"/>
      <c r="BT7" s="24"/>
      <c r="BU7" s="76"/>
      <c r="BV7" s="74"/>
      <c r="BW7" s="24"/>
      <c r="BX7" s="24"/>
      <c r="BY7" s="76"/>
      <c r="BZ7" s="64">
        <f>AVERAGE(AF7,AJ7,AN7,AR7,AV7,AZ7,BD7,BH7,BL7,BP7,BT7,BX7)</f>
        <v>9282883.8000000007</v>
      </c>
    </row>
    <row r="8" spans="2:78" ht="14.5" thickBot="1" x14ac:dyDescent="0.35">
      <c r="B8" s="69" t="s">
        <v>364</v>
      </c>
      <c r="C8" s="85"/>
      <c r="D8" s="85"/>
      <c r="E8" s="86">
        <f>SUM(E3:E7)</f>
        <v>84626127.770000011</v>
      </c>
      <c r="F8" s="84"/>
      <c r="G8" s="85"/>
      <c r="H8" s="85"/>
      <c r="I8" s="86">
        <f>SUM(I3:I7)</f>
        <v>56652072.209000006</v>
      </c>
      <c r="J8" s="84"/>
      <c r="K8" s="85"/>
      <c r="L8" s="85"/>
      <c r="M8" s="86">
        <f>SUM(M3:M7)</f>
        <v>0</v>
      </c>
      <c r="N8" s="84"/>
      <c r="O8" s="85"/>
      <c r="P8" s="85"/>
      <c r="Q8" s="86">
        <f>SUM(Q3:Q7)</f>
        <v>0</v>
      </c>
      <c r="R8" s="84"/>
      <c r="S8" s="85"/>
      <c r="T8" s="85"/>
      <c r="U8" s="86">
        <f>SUM(U3:U7)</f>
        <v>0</v>
      </c>
      <c r="V8" s="84"/>
      <c r="W8" s="162"/>
      <c r="X8" s="162"/>
      <c r="Y8" s="64">
        <f>+E8+I8+M8+Q8</f>
        <v>141278199.97900003</v>
      </c>
      <c r="Z8" s="89"/>
      <c r="AD8" s="67"/>
      <c r="AH8" s="67"/>
      <c r="AN8" s="67"/>
      <c r="AR8" s="193"/>
      <c r="AU8" s="72"/>
      <c r="AV8" s="67"/>
      <c r="AZ8" s="64"/>
      <c r="BD8" s="64"/>
      <c r="BL8" s="67"/>
      <c r="BN8" s="70"/>
      <c r="BR8" s="67"/>
      <c r="BV8" s="67"/>
    </row>
    <row r="9" spans="2:78" ht="14.5" thickTop="1" x14ac:dyDescent="0.3">
      <c r="I9" s="73">
        <f>+I8/E8-1</f>
        <v>-0.33056050534450676</v>
      </c>
      <c r="J9" s="83"/>
      <c r="M9" s="73">
        <f>+M8/I8-1</f>
        <v>-1</v>
      </c>
      <c r="N9" s="83"/>
      <c r="Q9" s="73" t="e">
        <f>+Q8/M8-1</f>
        <v>#DIV/0!</v>
      </c>
      <c r="R9" s="83"/>
      <c r="U9" s="73" t="e">
        <f>+U8/Q8-1</f>
        <v>#DIV/0!</v>
      </c>
      <c r="V9" s="83"/>
      <c r="W9" s="83"/>
      <c r="X9" s="83"/>
      <c r="AC9" s="69" t="s">
        <v>358</v>
      </c>
      <c r="AD9" s="67">
        <f>SUM(AE3:AE7)</f>
        <v>26</v>
      </c>
      <c r="AH9" s="67">
        <f>SUM(AI3:AI7)</f>
        <v>24</v>
      </c>
      <c r="AL9" s="67">
        <v>25</v>
      </c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L9" s="67"/>
      <c r="BN9" s="67"/>
      <c r="BR9" s="67"/>
      <c r="BV9" s="67"/>
    </row>
    <row r="10" spans="2:78" x14ac:dyDescent="0.3">
      <c r="B10" s="69" t="s">
        <v>365</v>
      </c>
      <c r="E10" s="73">
        <f>(E8+E13+E14+E15)/E11</f>
        <v>7.718377218998447E-2</v>
      </c>
      <c r="I10" s="73">
        <f>(I8+I13+I14+I15)/I11</f>
        <v>5.2581064526735298E-2</v>
      </c>
      <c r="J10" s="73"/>
      <c r="M10" s="73">
        <f>(M8+M13+M14+M15)/M11</f>
        <v>0</v>
      </c>
      <c r="N10" s="73"/>
      <c r="Q10" s="73" t="e">
        <f>(Q8+Q13+Q14+Q15)/Q11</f>
        <v>#DIV/0!</v>
      </c>
      <c r="R10" s="73"/>
      <c r="U10" s="73" t="e">
        <f>(U8+U13+U14+U15)/U11</f>
        <v>#DIV/0!</v>
      </c>
      <c r="V10" s="73"/>
      <c r="W10" s="73"/>
      <c r="X10" s="73"/>
      <c r="AN10" s="67"/>
      <c r="AR10" s="64"/>
      <c r="AV10" s="64"/>
      <c r="AZ10" s="64"/>
      <c r="BD10" s="64"/>
      <c r="BL10" s="67"/>
    </row>
    <row r="11" spans="2:78" ht="14.5" thickBot="1" x14ac:dyDescent="0.35">
      <c r="B11" s="69" t="s">
        <v>366</v>
      </c>
      <c r="E11" s="88">
        <f>689823973+411548185+561496909</f>
        <v>1662869067</v>
      </c>
      <c r="I11" s="88">
        <f>540974162+550609452+556739093</f>
        <v>1648322707</v>
      </c>
      <c r="M11" s="88">
        <v>509687200</v>
      </c>
      <c r="Q11" s="88"/>
      <c r="U11" s="88"/>
      <c r="Y11" s="64">
        <f>+E11+I11+M11+Q11</f>
        <v>3820878974</v>
      </c>
      <c r="Z11" s="69" t="s">
        <v>408</v>
      </c>
      <c r="AA11" s="69"/>
      <c r="AC11" s="69" t="s">
        <v>359</v>
      </c>
      <c r="AD11" s="77"/>
      <c r="AE11" s="77"/>
      <c r="AF11" s="80">
        <f>SUM(AF3:AF7)</f>
        <v>28792099.409199998</v>
      </c>
      <c r="AG11" s="77"/>
      <c r="AH11" s="77"/>
      <c r="AI11" s="77"/>
      <c r="AJ11" s="80">
        <f>SUM(AJ3:AJ7)</f>
        <v>28000579.52995</v>
      </c>
      <c r="AK11" s="77"/>
      <c r="AL11" s="77"/>
      <c r="AM11" s="77"/>
      <c r="AN11" s="80">
        <f>SUM(AN3:AN7)</f>
        <v>27833448.830850001</v>
      </c>
      <c r="AO11" s="77"/>
      <c r="AP11" s="77"/>
      <c r="AQ11" s="77"/>
      <c r="AR11" s="80">
        <f>SUM(AR3:AR7)</f>
        <v>28533149.164500002</v>
      </c>
      <c r="AS11" s="77"/>
      <c r="AT11" s="77"/>
      <c r="AU11" s="77"/>
      <c r="AV11" s="80">
        <f>SUM(AV3:AV7)</f>
        <v>28118923.044500001</v>
      </c>
      <c r="AW11" s="77"/>
      <c r="AX11" s="77"/>
      <c r="AY11" s="77"/>
      <c r="AZ11" s="80">
        <f>SUM(AZ3:AZ7)</f>
        <v>0</v>
      </c>
      <c r="BA11" s="77"/>
      <c r="BB11" s="77"/>
      <c r="BC11" s="77"/>
      <c r="BD11" s="80">
        <f>SUM(BD3:BD7)</f>
        <v>0</v>
      </c>
      <c r="BE11" s="77"/>
      <c r="BF11" s="77"/>
      <c r="BG11" s="77"/>
      <c r="BH11" s="80">
        <f>SUM(BH3:BH7)</f>
        <v>0</v>
      </c>
      <c r="BI11" s="77"/>
      <c r="BJ11" s="77"/>
      <c r="BK11" s="77"/>
      <c r="BL11" s="80">
        <f>SUM(BL3:BL7)</f>
        <v>0</v>
      </c>
      <c r="BM11" s="77"/>
      <c r="BN11" s="77"/>
      <c r="BO11" s="77"/>
      <c r="BP11" s="80">
        <f>SUM(BP3:BP7)</f>
        <v>0</v>
      </c>
      <c r="BQ11" s="77"/>
      <c r="BR11" s="77"/>
      <c r="BS11" s="77"/>
      <c r="BT11" s="80">
        <f>SUM(BT3:BT7)</f>
        <v>0</v>
      </c>
      <c r="BU11" s="77"/>
      <c r="BV11" s="77"/>
      <c r="BW11" s="77"/>
      <c r="BX11" s="80">
        <f>SUM(BX3:BX7)</f>
        <v>0</v>
      </c>
      <c r="BY11" s="77"/>
      <c r="BZ11" s="91">
        <f>AVERAGE(AD11:BY11)</f>
        <v>11773183.331583334</v>
      </c>
    </row>
    <row r="12" spans="2:78" ht="12" customHeight="1" thickTop="1" x14ac:dyDescent="0.3">
      <c r="B12" s="69"/>
      <c r="E12" s="87"/>
      <c r="I12" s="87"/>
      <c r="M12" s="87"/>
      <c r="Z12" s="69"/>
      <c r="AA12" s="69"/>
      <c r="AD12" s="73"/>
      <c r="AF12" s="112"/>
      <c r="AH12" s="73"/>
      <c r="AJ12" s="112">
        <f>AJ11/AF11-1</f>
        <v>-2.7490870603103068E-2</v>
      </c>
      <c r="AM12" s="73"/>
      <c r="AN12" s="163">
        <f>AN11/AJ11-1</f>
        <v>-5.968829999437375E-3</v>
      </c>
      <c r="AO12" s="73"/>
      <c r="AQ12" s="73"/>
      <c r="AR12" s="73">
        <f>AR11/AN11-1</f>
        <v>2.5138829826739428E-2</v>
      </c>
      <c r="AS12" s="73"/>
      <c r="AT12" s="73"/>
      <c r="AU12" s="73"/>
      <c r="AV12" s="163">
        <f>AV11/AR11-1</f>
        <v>-1.4517364263295862E-2</v>
      </c>
      <c r="AW12" s="73"/>
      <c r="AX12" s="73"/>
      <c r="AY12" s="73"/>
      <c r="AZ12" s="73">
        <f>AZ11/AV11-1</f>
        <v>-1</v>
      </c>
      <c r="BA12" s="73"/>
      <c r="BC12" s="73"/>
      <c r="BD12" s="73" t="e">
        <f>BD11/AZ11-1</f>
        <v>#DIV/0!</v>
      </c>
      <c r="BE12" s="73"/>
      <c r="BG12" s="73"/>
      <c r="BH12" s="112" t="e">
        <f>BH11/BD11-1</f>
        <v>#DIV/0!</v>
      </c>
      <c r="BI12" s="73"/>
      <c r="BK12" s="73"/>
      <c r="BL12" s="73" t="e">
        <f>BL11/BH11-1</f>
        <v>#DIV/0!</v>
      </c>
      <c r="BM12" s="73"/>
      <c r="BN12" s="73"/>
      <c r="BP12" s="73" t="e">
        <f>BP11/BL11-1</f>
        <v>#DIV/0!</v>
      </c>
      <c r="BR12" s="73"/>
      <c r="BT12" s="73" t="e">
        <f>BT11/BP11-1</f>
        <v>#DIV/0!</v>
      </c>
      <c r="BV12" s="73"/>
      <c r="BX12" s="73" t="e">
        <f>BX11/BT11-1</f>
        <v>#DIV/0!</v>
      </c>
    </row>
    <row r="13" spans="2:78" x14ac:dyDescent="0.3">
      <c r="B13" s="69" t="s">
        <v>418</v>
      </c>
      <c r="E13" s="88">
        <f>SUM(AF13,AJ13,AN13)</f>
        <v>21237602.4791</v>
      </c>
      <c r="I13" s="88">
        <f>SUM(AR13,AV13,AZ13)</f>
        <v>14956648.47665</v>
      </c>
      <c r="M13" s="88"/>
      <c r="Q13" s="88"/>
      <c r="U13" s="88"/>
      <c r="Y13" s="119">
        <f>+E13+I13+M13+Q13</f>
        <v>36194250.955750003</v>
      </c>
      <c r="Z13" s="69"/>
      <c r="AA13" s="69"/>
      <c r="AC13" s="69" t="s">
        <v>409</v>
      </c>
      <c r="AD13" s="67"/>
      <c r="AE13" s="67"/>
      <c r="AF13" s="67">
        <v>7357707.6737000002</v>
      </c>
      <c r="AG13" s="67"/>
      <c r="AH13" s="67"/>
      <c r="AI13" s="67"/>
      <c r="AJ13" s="67">
        <v>6499189.5753999995</v>
      </c>
      <c r="AK13" s="67"/>
      <c r="AL13" s="67"/>
      <c r="AM13" s="67"/>
      <c r="AN13" s="67">
        <v>7380705.2300000004</v>
      </c>
      <c r="AO13" s="67"/>
      <c r="AP13" s="67"/>
      <c r="AQ13" s="67"/>
      <c r="AR13" s="67">
        <v>7584293</v>
      </c>
      <c r="AS13" s="67"/>
      <c r="AT13" s="67"/>
      <c r="AU13" s="67"/>
      <c r="AV13" s="67">
        <v>7372355.4766499996</v>
      </c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7"/>
      <c r="BV13" s="67"/>
      <c r="BW13" s="67"/>
      <c r="BX13" s="67"/>
      <c r="BY13" s="67"/>
      <c r="BZ13" s="91">
        <f>AVERAGE(AD13:BY13)</f>
        <v>7238850.1911500003</v>
      </c>
    </row>
    <row r="14" spans="2:78" x14ac:dyDescent="0.3">
      <c r="B14" s="69" t="s">
        <v>405</v>
      </c>
      <c r="E14" s="88">
        <f>SUM(AF14,AJ14,AN14)</f>
        <v>3903206</v>
      </c>
      <c r="I14" s="88">
        <f>SUM(AR14,AV14,AZ14)</f>
        <v>2690198</v>
      </c>
      <c r="M14" s="88"/>
      <c r="Q14" s="88"/>
      <c r="U14" s="88"/>
      <c r="Y14" s="119">
        <f>+E14+I14+M14+Q14</f>
        <v>6593404</v>
      </c>
      <c r="Z14" s="69"/>
      <c r="AC14" s="69" t="s">
        <v>410</v>
      </c>
      <c r="AD14" s="67"/>
      <c r="AE14" s="67"/>
      <c r="AF14" s="67">
        <v>1352834</v>
      </c>
      <c r="AG14" s="67"/>
      <c r="AH14" s="67"/>
      <c r="AI14" s="67"/>
      <c r="AJ14" s="67">
        <v>1261792</v>
      </c>
      <c r="AK14" s="67"/>
      <c r="AL14" s="67"/>
      <c r="AM14" s="67"/>
      <c r="AN14" s="67">
        <v>1288580</v>
      </c>
      <c r="AO14" s="67"/>
      <c r="AP14" s="67"/>
      <c r="AQ14" s="67"/>
      <c r="AR14" s="67">
        <v>1342309</v>
      </c>
      <c r="AS14" s="67"/>
      <c r="AT14" s="67"/>
      <c r="AU14" s="67"/>
      <c r="AV14" s="67">
        <v>1347889</v>
      </c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  <c r="BV14" s="67"/>
      <c r="BW14" s="67"/>
      <c r="BX14" s="67"/>
      <c r="BY14" s="67"/>
      <c r="BZ14" s="91">
        <f>AVERAGE(AD14:BY14)</f>
        <v>1318680.8</v>
      </c>
    </row>
    <row r="15" spans="2:78" x14ac:dyDescent="0.3">
      <c r="B15" s="69" t="s">
        <v>407</v>
      </c>
      <c r="E15" s="88">
        <f>6194971+6194971+6189629</f>
        <v>18579571</v>
      </c>
      <c r="I15" s="88">
        <f>SUM(AR15,AV15,AZ15)</f>
        <v>12371643.932</v>
      </c>
      <c r="M15" s="88"/>
      <c r="Q15" s="88"/>
      <c r="U15" s="88"/>
      <c r="Y15" s="119">
        <f>+E15+I15+M15+Q15</f>
        <v>30951214.932</v>
      </c>
      <c r="Z15" s="114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>
        <v>6189628.966</v>
      </c>
      <c r="AO15" s="67"/>
      <c r="AP15" s="67"/>
      <c r="AQ15" s="67"/>
      <c r="AR15" s="67">
        <v>6187132.966</v>
      </c>
      <c r="AS15" s="67"/>
      <c r="AT15" s="67"/>
      <c r="AU15" s="67"/>
      <c r="AV15" s="67">
        <v>6184510.966</v>
      </c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91"/>
    </row>
    <row r="16" spans="2:78" ht="14.5" thickBot="1" x14ac:dyDescent="0.35">
      <c r="B16" s="69"/>
      <c r="E16" s="87"/>
      <c r="I16" s="87"/>
      <c r="M16" s="87"/>
      <c r="AD16" s="73"/>
      <c r="AF16" s="73"/>
      <c r="AH16" s="73"/>
      <c r="AJ16" s="73"/>
      <c r="AM16" s="73"/>
      <c r="AN16" s="73"/>
      <c r="AO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C16" s="73"/>
      <c r="BD16" s="73"/>
      <c r="BE16" s="73"/>
      <c r="BG16" s="73"/>
      <c r="BH16" s="73"/>
      <c r="BI16" s="73"/>
      <c r="BK16" s="73"/>
      <c r="BL16" s="73"/>
      <c r="BM16" s="73"/>
      <c r="BN16" s="73"/>
      <c r="BP16" s="73"/>
      <c r="BR16" s="73"/>
      <c r="BT16" s="73"/>
      <c r="BV16" s="73"/>
      <c r="BX16" s="73"/>
    </row>
    <row r="17" spans="2:77" ht="14.5" thickBot="1" x14ac:dyDescent="0.35">
      <c r="D17" s="12"/>
      <c r="E17"/>
      <c r="F17" s="87"/>
      <c r="I17" s="87"/>
      <c r="M17" s="87"/>
      <c r="O17" t="s">
        <v>430</v>
      </c>
      <c r="Z17" t="s">
        <v>87</v>
      </c>
      <c r="AF17" s="113">
        <f>SUM(AF11:AF14)</f>
        <v>37502641.082899995</v>
      </c>
      <c r="AJ17" s="113">
        <f>SUM(AJ11,AJ13:AJ14)</f>
        <v>35761561.105350003</v>
      </c>
      <c r="AN17" s="113">
        <f>SUM(AN11,AN13:AN14)</f>
        <v>36502734.060850002</v>
      </c>
      <c r="AR17" s="113">
        <f>SUM(AR11:AR14)</f>
        <v>37459751.189638831</v>
      </c>
      <c r="AV17" s="113">
        <f>SUM(AV11:AV14)</f>
        <v>36839167.506632641</v>
      </c>
      <c r="AZ17" s="113">
        <f>SUM(AZ11:AZ14)</f>
        <v>-1</v>
      </c>
      <c r="BD17" s="113" t="e">
        <f>SUM(BD11:BD14)</f>
        <v>#DIV/0!</v>
      </c>
      <c r="BH17" s="113" t="e">
        <f>SUM(BH11:BH14)</f>
        <v>#DIV/0!</v>
      </c>
      <c r="BL17" s="113" t="e">
        <f>SUM(BL11:BL14)</f>
        <v>#DIV/0!</v>
      </c>
      <c r="BP17" s="113" t="e">
        <f>SUM(BP11:BP14)</f>
        <v>#DIV/0!</v>
      </c>
      <c r="BT17" s="113" t="e">
        <f>SUM(BT11:BT14)</f>
        <v>#DIV/0!</v>
      </c>
      <c r="BX17" s="113" t="e">
        <f>SUM(BX11:BX14)</f>
        <v>#DIV/0!</v>
      </c>
    </row>
    <row r="18" spans="2:77" x14ac:dyDescent="0.3">
      <c r="E18"/>
      <c r="I18" s="87"/>
      <c r="M18" s="87"/>
    </row>
    <row r="19" spans="2:77" x14ac:dyDescent="0.3">
      <c r="B19" s="69" t="s">
        <v>412</v>
      </c>
      <c r="E19" s="117">
        <f>+AF19+AJ19+AN19</f>
        <v>27779984.941886</v>
      </c>
      <c r="F19" s="115">
        <f>+E19/E22</f>
        <v>0.26917103680287402</v>
      </c>
      <c r="I19" s="117">
        <f>+AR19+AV19+AZ19</f>
        <v>16579308</v>
      </c>
      <c r="J19" s="115">
        <f>+I19/I22</f>
        <v>0.2401972673585436</v>
      </c>
      <c r="M19" s="117">
        <f>SUM(BD19,BH19,BL19)</f>
        <v>0</v>
      </c>
      <c r="N19" s="115" t="e">
        <f>+M19/M22</f>
        <v>#DIV/0!</v>
      </c>
      <c r="Q19" s="117">
        <f>+BP19+BT19+BX19</f>
        <v>0</v>
      </c>
      <c r="R19" s="115" t="e">
        <f>+Q19/Q22</f>
        <v>#DIV/0!</v>
      </c>
      <c r="S19" s="115"/>
      <c r="T19" s="115"/>
      <c r="U19" s="115"/>
      <c r="V19" s="115"/>
      <c r="W19" s="115"/>
      <c r="X19" s="115"/>
      <c r="Y19" s="119">
        <f>+E19+I19+M19+Q19</f>
        <v>44359292.941886</v>
      </c>
      <c r="Z19" s="73"/>
      <c r="AC19" s="69" t="s">
        <v>412</v>
      </c>
      <c r="AF19" s="67">
        <v>10045110.247386001</v>
      </c>
      <c r="AG19" s="116">
        <f>+AF19/AF11</f>
        <v>0.34888425830372988</v>
      </c>
      <c r="AJ19" s="67">
        <v>8535493.6944999993</v>
      </c>
      <c r="AK19" s="116">
        <f>+AJ19/AJ11</f>
        <v>0.30483275124253262</v>
      </c>
      <c r="AN19" s="67">
        <v>9199381</v>
      </c>
      <c r="AO19" s="116">
        <f>+AN19/AN11</f>
        <v>0.33051531112463511</v>
      </c>
      <c r="AR19" s="67">
        <v>9255850</v>
      </c>
      <c r="AS19" s="116">
        <f>+AR19/AR11</f>
        <v>0.32438936013119163</v>
      </c>
      <c r="AV19" s="67">
        <v>7323458</v>
      </c>
      <c r="AW19" s="116">
        <f>+AV19/AV11</f>
        <v>0.26044589219900627</v>
      </c>
      <c r="AZ19" s="67"/>
      <c r="BA19" s="116" t="e">
        <f>+AZ19/AZ11</f>
        <v>#DIV/0!</v>
      </c>
      <c r="BD19" s="67"/>
      <c r="BE19" s="116" t="e">
        <f>+BD19/BD11</f>
        <v>#DIV/0!</v>
      </c>
      <c r="BH19" s="67"/>
      <c r="BI19" s="116" t="e">
        <f>+BH19/BH11</f>
        <v>#DIV/0!</v>
      </c>
      <c r="BL19" s="67"/>
      <c r="BM19" s="116" t="e">
        <f>+BL19/BL11</f>
        <v>#DIV/0!</v>
      </c>
      <c r="BP19" s="67"/>
      <c r="BQ19" s="116" t="e">
        <f>+BP19/BP11</f>
        <v>#DIV/0!</v>
      </c>
      <c r="BT19" s="67"/>
      <c r="BU19" s="116" t="e">
        <f>+BT19/BT11</f>
        <v>#DIV/0!</v>
      </c>
      <c r="BX19" s="67"/>
      <c r="BY19" s="116" t="e">
        <f>+BX19/BX11</f>
        <v>#DIV/0!</v>
      </c>
    </row>
    <row r="20" spans="2:77" x14ac:dyDescent="0.3">
      <c r="B20" s="69" t="s">
        <v>411</v>
      </c>
      <c r="E20" s="117">
        <f>+AF20+AJ20+AN20+E15</f>
        <v>75425713.828114003</v>
      </c>
      <c r="F20" s="115">
        <f>+E20/E22</f>
        <v>0.73082896319712598</v>
      </c>
      <c r="I20" s="117">
        <f>+AR20+AV20+AZ20+I15</f>
        <v>52444408.141000003</v>
      </c>
      <c r="J20" s="115">
        <f>+I20/I22</f>
        <v>0.75980273264145637</v>
      </c>
      <c r="M20" s="117">
        <f>SUM(BD20,BH20,BL20)+M15</f>
        <v>0</v>
      </c>
      <c r="N20" s="115" t="e">
        <f>+M20/M22</f>
        <v>#DIV/0!</v>
      </c>
      <c r="Q20" s="117">
        <f>+BP20+BT20+BX20+Q15</f>
        <v>0</v>
      </c>
      <c r="R20" s="115" t="e">
        <f>+Q20/Q22</f>
        <v>#DIV/0!</v>
      </c>
      <c r="S20" s="115"/>
      <c r="T20" s="115"/>
      <c r="U20" s="115"/>
      <c r="V20" s="115"/>
      <c r="W20" s="115"/>
      <c r="X20" s="115"/>
      <c r="Y20" s="119">
        <f>+E20+I20+M20+Q20</f>
        <v>127870121.96911401</v>
      </c>
      <c r="Z20" s="73">
        <f>+Y15/Y20</f>
        <v>0.24205197004094525</v>
      </c>
      <c r="AC20" s="69" t="s">
        <v>411</v>
      </c>
      <c r="AF20" s="67">
        <f>+AF11-AF19</f>
        <v>18746989.161813997</v>
      </c>
      <c r="AG20" s="116">
        <f>+AF20/AF11</f>
        <v>0.65111574169627007</v>
      </c>
      <c r="AJ20" s="67">
        <f>+AJ11-AJ19</f>
        <v>19465085.835450001</v>
      </c>
      <c r="AK20" s="116">
        <f>+AJ20/AJ11</f>
        <v>0.69516724875746738</v>
      </c>
      <c r="AN20" s="67">
        <f>+AN11-AN19</f>
        <v>18634067.830850001</v>
      </c>
      <c r="AO20" s="116">
        <f>+AN20/AN11</f>
        <v>0.66948468887536483</v>
      </c>
      <c r="AR20" s="67">
        <f>+AR11-AR19</f>
        <v>19277299.164500002</v>
      </c>
      <c r="AS20" s="116">
        <f>+AR20/AR11</f>
        <v>0.67561063986880843</v>
      </c>
      <c r="AV20" s="67">
        <f>+AV11-AV19</f>
        <v>20795465.044500001</v>
      </c>
      <c r="AW20" s="116">
        <f>+AV20/AV11</f>
        <v>0.73955410780099373</v>
      </c>
      <c r="AZ20" s="67">
        <f>+AZ11-AZ19</f>
        <v>0</v>
      </c>
      <c r="BA20" s="116" t="e">
        <f>+AZ20/AZ11</f>
        <v>#DIV/0!</v>
      </c>
      <c r="BD20" s="67">
        <f>+BD11-BD19</f>
        <v>0</v>
      </c>
      <c r="BE20" s="116" t="e">
        <f>+BD20/BD11</f>
        <v>#DIV/0!</v>
      </c>
      <c r="BH20" s="67">
        <f>+BH11-BH19</f>
        <v>0</v>
      </c>
      <c r="BI20" s="116" t="e">
        <f>+BH20/BH11</f>
        <v>#DIV/0!</v>
      </c>
      <c r="BL20" s="67">
        <f>+BL11-BL19</f>
        <v>0</v>
      </c>
      <c r="BM20" s="116" t="e">
        <f>+BL20/BL11</f>
        <v>#DIV/0!</v>
      </c>
      <c r="BP20" s="67">
        <f>+BP11-BP19</f>
        <v>0</v>
      </c>
      <c r="BQ20" s="116" t="e">
        <f>+BP20/BP11</f>
        <v>#DIV/0!</v>
      </c>
      <c r="BT20" s="67">
        <f>+BT11-BT19</f>
        <v>0</v>
      </c>
      <c r="BU20" s="116" t="e">
        <f>+BT20/BT11</f>
        <v>#DIV/0!</v>
      </c>
      <c r="BX20" s="67">
        <f>+BX11-BX19</f>
        <v>0</v>
      </c>
      <c r="BY20" s="116" t="e">
        <f>+BX20/BX11</f>
        <v>#DIV/0!</v>
      </c>
    </row>
    <row r="21" spans="2:77" ht="18.649999999999999" customHeight="1" thickBot="1" x14ac:dyDescent="0.35">
      <c r="B21" s="69"/>
      <c r="E21"/>
      <c r="I21"/>
      <c r="M21"/>
    </row>
    <row r="22" spans="2:77" ht="14.5" thickBot="1" x14ac:dyDescent="0.35">
      <c r="B22" s="69" t="s">
        <v>416</v>
      </c>
      <c r="E22" s="118">
        <f>+E8+E15</f>
        <v>103205698.77000001</v>
      </c>
      <c r="I22" s="118">
        <f>+I8+I15</f>
        <v>69023716.141000003</v>
      </c>
      <c r="M22" s="118">
        <f>+M8+M15</f>
        <v>0</v>
      </c>
      <c r="Q22" s="118">
        <f>+Q8+Q15</f>
        <v>0</v>
      </c>
      <c r="Y22" s="119">
        <f>+E22+I22+M22+Q22</f>
        <v>172229414.91100001</v>
      </c>
      <c r="Z22" s="64">
        <f>+Y20-Y15</f>
        <v>96918907.037114009</v>
      </c>
      <c r="AF22" s="91"/>
      <c r="BL22" s="72"/>
      <c r="BX22" s="72"/>
    </row>
    <row r="23" spans="2:77" x14ac:dyDescent="0.3">
      <c r="Z23" s="73">
        <f>+Z22/Y20</f>
        <v>0.75794802995905475</v>
      </c>
    </row>
    <row r="24" spans="2:77" x14ac:dyDescent="0.3">
      <c r="Z24" s="73"/>
      <c r="AN24" s="64" t="e">
        <f>+AN19-GETPIVOTDATA("TOTAL
REMUNERACIONES",[4]Hoja1!$A$3,"NOMBRE","Adolfo Raul  Quintana Giannoni")-GETPIVOTDATA("TOTAL
REMUNERACIONES",[4]Hoja1!$A$3,"NOMBRE","Austerlitz Eduardo Capriles Rodriguez")-GETPIVOTDATA("TOTAL
REMUNERACIONES",[4]Hoja1!$A$3,"NOMBRE","Teresa Espinoza Cerón")</f>
        <v>#REF!</v>
      </c>
      <c r="AR24" s="64"/>
      <c r="AV24" t="s">
        <v>430</v>
      </c>
    </row>
    <row r="25" spans="2:77" x14ac:dyDescent="0.3">
      <c r="AW25" t="s">
        <v>87</v>
      </c>
    </row>
    <row r="28" spans="2:77" ht="6.65" customHeight="1" x14ac:dyDescent="0.3"/>
    <row r="30" spans="2:77" ht="8" customHeight="1" x14ac:dyDescent="0.3"/>
    <row r="38" spans="3:27" x14ac:dyDescent="0.3">
      <c r="C38" t="s">
        <v>414</v>
      </c>
      <c r="K38" t="s">
        <v>413</v>
      </c>
    </row>
    <row r="39" spans="3:27" x14ac:dyDescent="0.3">
      <c r="E39" s="130"/>
      <c r="I39" s="125"/>
    </row>
    <row r="40" spans="3:27" x14ac:dyDescent="0.3">
      <c r="E40" s="130"/>
      <c r="I40" s="125"/>
      <c r="Z40" s="67">
        <v>4520000</v>
      </c>
      <c r="AA40" t="s">
        <v>198</v>
      </c>
    </row>
    <row r="41" spans="3:27" x14ac:dyDescent="0.3">
      <c r="Z41" s="67">
        <v>4400000</v>
      </c>
      <c r="AA41" t="s">
        <v>224</v>
      </c>
    </row>
    <row r="42" spans="3:27" x14ac:dyDescent="0.3">
      <c r="M42" s="1" t="s">
        <v>421</v>
      </c>
      <c r="Z42" s="137">
        <v>1990000</v>
      </c>
      <c r="AA42" s="8" t="s">
        <v>222</v>
      </c>
    </row>
    <row r="43" spans="3:27" x14ac:dyDescent="0.3">
      <c r="M43" s="90">
        <f>+BZ11+BZ13+BZ14+6000000</f>
        <v>26330714.322733335</v>
      </c>
      <c r="Z43" s="67">
        <v>1480000</v>
      </c>
      <c r="AA43" t="s">
        <v>195</v>
      </c>
    </row>
    <row r="44" spans="3:27" x14ac:dyDescent="0.3">
      <c r="Z44" s="137">
        <v>1200000</v>
      </c>
      <c r="AA44" s="8" t="s">
        <v>236</v>
      </c>
    </row>
    <row r="45" spans="3:27" x14ac:dyDescent="0.3">
      <c r="L45" s="120" t="s">
        <v>417</v>
      </c>
      <c r="M45"/>
      <c r="Z45" s="67">
        <v>1010000</v>
      </c>
      <c r="AA45" t="s">
        <v>197</v>
      </c>
    </row>
    <row r="46" spans="3:27" x14ac:dyDescent="0.3">
      <c r="I46" s="134"/>
      <c r="J46" s="108"/>
      <c r="K46" s="108"/>
      <c r="L46" s="121" t="s">
        <v>412</v>
      </c>
      <c r="M46" s="122">
        <f>+Y19</f>
        <v>44359292.941886</v>
      </c>
      <c r="N46" s="73">
        <f>+M46/Y$11</f>
        <v>1.1609708981555928E-2</v>
      </c>
      <c r="Z46" s="67">
        <v>950000</v>
      </c>
      <c r="AA46" t="s">
        <v>200</v>
      </c>
    </row>
    <row r="47" spans="3:27" x14ac:dyDescent="0.3">
      <c r="I47" s="135"/>
      <c r="L47" s="123" t="s">
        <v>422</v>
      </c>
      <c r="M47" s="124">
        <f>+Y20</f>
        <v>127870121.96911401</v>
      </c>
      <c r="N47" s="73">
        <f>+M47/Y$11</f>
        <v>3.3466153426798907E-2</v>
      </c>
      <c r="Z47" s="67">
        <v>920000</v>
      </c>
      <c r="AA47" t="s">
        <v>226</v>
      </c>
    </row>
    <row r="48" spans="3:27" x14ac:dyDescent="0.3">
      <c r="I48" s="135"/>
      <c r="L48" s="123" t="s">
        <v>441</v>
      </c>
      <c r="M48" s="127">
        <f>SUM(M46:M47)</f>
        <v>172229414.91100001</v>
      </c>
      <c r="N48" s="73">
        <f>+M48/Y$11</f>
        <v>4.5075862408354844E-2</v>
      </c>
      <c r="Z48" s="67">
        <v>810000</v>
      </c>
      <c r="AA48" t="s">
        <v>425</v>
      </c>
    </row>
    <row r="49" spans="2:29" x14ac:dyDescent="0.3">
      <c r="I49" s="135"/>
      <c r="L49" s="125"/>
      <c r="M49" s="109"/>
      <c r="Z49" s="67">
        <v>800000</v>
      </c>
      <c r="AA49" t="s">
        <v>221</v>
      </c>
    </row>
    <row r="50" spans="2:29" x14ac:dyDescent="0.3">
      <c r="I50" s="135"/>
      <c r="L50" s="123" t="s">
        <v>418</v>
      </c>
      <c r="M50" s="129">
        <f>+Y13</f>
        <v>36194250.955750003</v>
      </c>
      <c r="N50" s="73">
        <f>+M50/Y$11</f>
        <v>9.472755144049742E-3</v>
      </c>
      <c r="Z50" s="67">
        <v>770000</v>
      </c>
      <c r="AA50" t="s">
        <v>225</v>
      </c>
    </row>
    <row r="51" spans="2:29" x14ac:dyDescent="0.3">
      <c r="I51" s="135"/>
      <c r="L51" s="123" t="s">
        <v>419</v>
      </c>
      <c r="M51" s="129">
        <f>+Y14</f>
        <v>6593404</v>
      </c>
      <c r="N51" s="73">
        <f>+M51/Y$11</f>
        <v>1.7256249268470026E-3</v>
      </c>
      <c r="Z51" s="137">
        <v>750000</v>
      </c>
      <c r="AA51" s="8" t="s">
        <v>230</v>
      </c>
    </row>
    <row r="52" spans="2:29" x14ac:dyDescent="0.3">
      <c r="I52" s="136"/>
      <c r="J52" s="110"/>
      <c r="K52" s="110"/>
      <c r="L52" s="126"/>
      <c r="M52" s="128">
        <f>SUM(M50:M51)</f>
        <v>42787654.955750003</v>
      </c>
      <c r="N52" s="73">
        <f>+M52/Y$11</f>
        <v>1.1198380070896746E-2</v>
      </c>
      <c r="Z52" s="67">
        <v>700000</v>
      </c>
      <c r="AA52" t="s">
        <v>227</v>
      </c>
    </row>
    <row r="53" spans="2:29" ht="14.5" thickBot="1" x14ac:dyDescent="0.35">
      <c r="I53" s="131"/>
      <c r="J53" s="131"/>
      <c r="K53" s="131"/>
      <c r="L53" s="132" t="s">
        <v>420</v>
      </c>
      <c r="M53" s="133">
        <f>+M48+M52</f>
        <v>215017069.86675</v>
      </c>
      <c r="N53" s="73">
        <f>+M53/Y$11</f>
        <v>5.6274242479251585E-2</v>
      </c>
      <c r="Z53" s="137">
        <v>700000</v>
      </c>
      <c r="AA53" s="8" t="s">
        <v>235</v>
      </c>
    </row>
    <row r="54" spans="2:29" ht="14.5" thickTop="1" x14ac:dyDescent="0.3">
      <c r="C54" t="s">
        <v>415</v>
      </c>
      <c r="I54" s="71" t="s">
        <v>423</v>
      </c>
      <c r="J54" s="71"/>
      <c r="L54" s="72"/>
      <c r="M54"/>
      <c r="Z54" s="137">
        <v>700000</v>
      </c>
      <c r="AA54" s="8" t="s">
        <v>237</v>
      </c>
    </row>
    <row r="55" spans="2:29" x14ac:dyDescent="0.3">
      <c r="I55" s="71"/>
      <c r="J55" s="71"/>
      <c r="L55" s="72"/>
      <c r="M55"/>
      <c r="Z55" s="137">
        <v>700000</v>
      </c>
      <c r="AA55" s="8" t="s">
        <v>241</v>
      </c>
    </row>
    <row r="56" spans="2:29" x14ac:dyDescent="0.3">
      <c r="I56" s="71"/>
      <c r="J56" s="71"/>
      <c r="L56" s="72"/>
      <c r="M56"/>
      <c r="Z56" s="137">
        <v>700000</v>
      </c>
      <c r="AA56" s="8" t="s">
        <v>243</v>
      </c>
    </row>
    <row r="57" spans="2:29" x14ac:dyDescent="0.3">
      <c r="C57" t="s">
        <v>443</v>
      </c>
      <c r="E57"/>
      <c r="Z57" s="137">
        <v>700000</v>
      </c>
      <c r="AA57" s="8" t="s">
        <v>382</v>
      </c>
    </row>
    <row r="58" spans="2:29" x14ac:dyDescent="0.3">
      <c r="Z58" s="137">
        <v>670000</v>
      </c>
      <c r="AA58" s="8" t="s">
        <v>238</v>
      </c>
      <c r="AC58" s="67"/>
    </row>
    <row r="59" spans="2:29" x14ac:dyDescent="0.3">
      <c r="B59" s="67"/>
      <c r="C59" t="s">
        <v>221</v>
      </c>
      <c r="L59" s="69" t="s">
        <v>230</v>
      </c>
      <c r="M59" s="137"/>
      <c r="Z59" s="67">
        <v>650000</v>
      </c>
      <c r="AA59" t="s">
        <v>194</v>
      </c>
      <c r="AC59" s="67"/>
    </row>
    <row r="60" spans="2:29" x14ac:dyDescent="0.3">
      <c r="B60" s="67"/>
      <c r="C60" t="s">
        <v>224</v>
      </c>
      <c r="L60" s="69" t="s">
        <v>235</v>
      </c>
      <c r="M60" s="137"/>
      <c r="Z60" s="137">
        <v>650000</v>
      </c>
      <c r="AA60" s="8" t="s">
        <v>387</v>
      </c>
    </row>
    <row r="61" spans="2:29" x14ac:dyDescent="0.3">
      <c r="B61" s="67"/>
      <c r="C61" t="s">
        <v>194</v>
      </c>
      <c r="E61"/>
      <c r="L61" s="69" t="s">
        <v>236</v>
      </c>
      <c r="M61" s="137"/>
      <c r="Z61" s="67">
        <v>600000</v>
      </c>
      <c r="AA61" t="s">
        <v>228</v>
      </c>
      <c r="AC61" s="67"/>
    </row>
    <row r="62" spans="2:29" x14ac:dyDescent="0.3">
      <c r="B62" s="67"/>
      <c r="C62" t="s">
        <v>225</v>
      </c>
      <c r="L62" s="69" t="s">
        <v>237</v>
      </c>
      <c r="M62" s="137"/>
      <c r="Z62" s="137">
        <v>600000</v>
      </c>
      <c r="AA62" s="8" t="s">
        <v>244</v>
      </c>
    </row>
    <row r="63" spans="2:29" x14ac:dyDescent="0.3">
      <c r="B63" s="67"/>
      <c r="C63" t="s">
        <v>195</v>
      </c>
      <c r="L63" s="69" t="s">
        <v>238</v>
      </c>
      <c r="M63" s="137"/>
      <c r="AC63" s="67"/>
    </row>
    <row r="64" spans="2:29" x14ac:dyDescent="0.3">
      <c r="B64" s="67"/>
      <c r="C64" t="s">
        <v>425</v>
      </c>
      <c r="L64" s="69" t="s">
        <v>241</v>
      </c>
      <c r="M64" s="137"/>
      <c r="AC64" s="67"/>
    </row>
    <row r="65" spans="2:29" x14ac:dyDescent="0.3">
      <c r="B65" s="67"/>
      <c r="C65" t="s">
        <v>197</v>
      </c>
      <c r="L65" s="69" t="s">
        <v>243</v>
      </c>
      <c r="M65" s="137"/>
      <c r="AC65" s="67"/>
    </row>
    <row r="66" spans="2:29" x14ac:dyDescent="0.3">
      <c r="B66" s="67"/>
      <c r="C66" t="s">
        <v>226</v>
      </c>
      <c r="L66" s="69" t="s">
        <v>244</v>
      </c>
      <c r="M66" s="137"/>
      <c r="AC66" s="67"/>
    </row>
    <row r="67" spans="2:29" x14ac:dyDescent="0.3">
      <c r="B67" s="67"/>
      <c r="C67" t="s">
        <v>227</v>
      </c>
      <c r="L67" s="69" t="s">
        <v>222</v>
      </c>
      <c r="M67" s="137"/>
      <c r="AC67" s="67"/>
    </row>
    <row r="68" spans="2:29" x14ac:dyDescent="0.3">
      <c r="B68" s="67"/>
      <c r="C68" t="s">
        <v>228</v>
      </c>
      <c r="L68" s="69" t="s">
        <v>387</v>
      </c>
      <c r="M68" s="137"/>
      <c r="AC68" s="67"/>
    </row>
    <row r="69" spans="2:29" x14ac:dyDescent="0.3">
      <c r="B69" s="67"/>
      <c r="C69" t="s">
        <v>198</v>
      </c>
      <c r="L69" s="69" t="s">
        <v>382</v>
      </c>
      <c r="M69" s="137"/>
    </row>
    <row r="70" spans="2:29" x14ac:dyDescent="0.3">
      <c r="B70" s="67"/>
      <c r="C70" t="s">
        <v>442</v>
      </c>
      <c r="AC70" s="67"/>
    </row>
    <row r="79" spans="2:29" x14ac:dyDescent="0.3">
      <c r="AC79" s="67"/>
    </row>
  </sheetData>
  <mergeCells count="17">
    <mergeCell ref="BB2:BE2"/>
    <mergeCell ref="C2:F2"/>
    <mergeCell ref="G2:J2"/>
    <mergeCell ref="K2:N2"/>
    <mergeCell ref="O2:R2"/>
    <mergeCell ref="S2:V2"/>
    <mergeCell ref="AD2:AG2"/>
    <mergeCell ref="AH2:AK2"/>
    <mergeCell ref="AL2:AO2"/>
    <mergeCell ref="AP2:AS2"/>
    <mergeCell ref="AT2:AW2"/>
    <mergeCell ref="AX2:BA2"/>
    <mergeCell ref="BF2:BI2"/>
    <mergeCell ref="BJ2:BM2"/>
    <mergeCell ref="BN2:BQ2"/>
    <mergeCell ref="BR2:BU2"/>
    <mergeCell ref="BV2:BY2"/>
  </mergeCells>
  <conditionalFormatting sqref="D3:D7">
    <cfRule type="dataBar" priority="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{010B5ED1-A2FE-4A83-8665-D0CA1E8DC3CE}</x14:id>
        </ext>
      </extLst>
    </cfRule>
  </conditionalFormatting>
  <conditionalFormatting sqref="H3:H7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{BD55DD83-75A3-4446-A1D2-1D0C0D78CD1C}</x14:id>
        </ext>
      </extLst>
    </cfRule>
  </conditionalFormatting>
  <conditionalFormatting sqref="L3:L7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{EC31D0D5-BBF0-460C-833E-9D397556BB4F}</x14:id>
        </ext>
      </extLst>
    </cfRule>
  </conditionalFormatting>
  <conditionalFormatting sqref="M9"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P3:P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{26796782-9B59-4525-B1C9-E4B99654B90E}</x14:id>
        </ext>
      </extLst>
    </cfRule>
  </conditionalFormatting>
  <conditionalFormatting sqref="Q9">
    <cfRule type="iconSet" priority="19">
      <iconSet iconSet="3Arrows">
        <cfvo type="percent" val="0"/>
        <cfvo type="percent" val="33"/>
        <cfvo type="percent" val="67"/>
      </iconSet>
    </cfRule>
  </conditionalFormatting>
  <conditionalFormatting sqref="T3:T7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{CFAB1DFB-73B5-4EC4-B11D-B3847760AB01}</x14:id>
        </ext>
      </extLst>
    </cfRule>
  </conditionalFormatting>
  <conditionalFormatting sqref="U9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AR12">
    <cfRule type="iconSet" priority="14">
      <iconSet iconSet="3Arrows">
        <cfvo type="percent" val="0"/>
        <cfvo type="percent" val="33"/>
        <cfvo type="percent" val="67"/>
      </iconSet>
    </cfRule>
  </conditionalFormatting>
  <conditionalFormatting sqref="AZ1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BD12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BL12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BP12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BT1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BX12">
    <cfRule type="iconSet" priority="2">
      <iconSet iconSet="3Arrows">
        <cfvo type="percent" val="0"/>
        <cfvo type="percent" val="33"/>
        <cfvo type="percent" val="67"/>
      </iconSet>
    </cfRule>
  </conditionalFormatting>
  <pageMargins left="0.25" right="0.25" top="0.75" bottom="0.75" header="0.3" footer="0.3"/>
  <pageSetup scale="74" fitToHeight="0" orientation="landscape" r:id="rId1"/>
  <headerFooter>
    <oddHeader xml:space="preserve">&amp;CSueldos y Salarios </oddHeader>
    <oddFooter>&amp;LCountry: Chile&amp;RDS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0B5ED1-A2FE-4A83-8665-D0CA1E8DC3C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D3:D7</xm:sqref>
        </x14:conditionalFormatting>
        <x14:conditionalFormatting xmlns:xm="http://schemas.microsoft.com/office/excel/2006/main">
          <x14:cfRule type="dataBar" id="{BD55DD83-75A3-4446-A1D2-1D0C0D78CD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H3:H7</xm:sqref>
        </x14:conditionalFormatting>
        <x14:conditionalFormatting xmlns:xm="http://schemas.microsoft.com/office/excel/2006/main">
          <x14:cfRule type="dataBar" id="{EC31D0D5-BBF0-460C-833E-9D397556BB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L3:L7</xm:sqref>
        </x14:conditionalFormatting>
        <x14:conditionalFormatting xmlns:xm="http://schemas.microsoft.com/office/excel/2006/main">
          <x14:cfRule type="dataBar" id="{26796782-9B59-4525-B1C9-E4B99654B9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P3:P7</xm:sqref>
        </x14:conditionalFormatting>
        <x14:conditionalFormatting xmlns:xm="http://schemas.microsoft.com/office/excel/2006/main">
          <x14:cfRule type="dataBar" id="{CFAB1DFB-73B5-4EC4-B11D-B3847760AB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T3:T7</xm:sqref>
        </x14:conditionalFormatting>
        <x14:conditionalFormatting xmlns:xm="http://schemas.microsoft.com/office/excel/2006/main">
          <x14:cfRule type="iconSet" priority="13" id="{36B5CF95-6F2E-4E32-9086-49EC1CE5B4CB}">
            <x14:iconSet iconSet="3Symbols2" custom="1">
              <x14:cfvo type="percent">
                <xm:f>0</xm:f>
              </x14:cfvo>
              <x14:cfvo type="percent" gte="0">
                <xm:f>0</xm:f>
              </x14:cfvo>
              <x14:cfvo type="percent">
                <xm:f>0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AR12</xm:sqref>
        </x14:conditionalFormatting>
        <x14:conditionalFormatting xmlns:xm="http://schemas.microsoft.com/office/excel/2006/main">
          <x14:cfRule type="iconSet" priority="11" id="{1F72D4C4-59CD-4F10-A103-685578116F6D}">
            <x14:iconSet iconSet="3Symbols2" custom="1">
              <x14:cfvo type="percent">
                <xm:f>0</xm:f>
              </x14:cfvo>
              <x14:cfvo type="percent" gte="0">
                <xm:f>0</xm:f>
              </x14:cfvo>
              <x14:cfvo type="percent">
                <xm:f>0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AZ12</xm:sqref>
        </x14:conditionalFormatting>
        <x14:conditionalFormatting xmlns:xm="http://schemas.microsoft.com/office/excel/2006/main">
          <x14:cfRule type="iconSet" priority="9" id="{D2C8C909-9C46-4FCD-90D6-EDF4DF18D1ED}">
            <x14:iconSet iconSet="3Symbols2" custom="1">
              <x14:cfvo type="percent">
                <xm:f>0</xm:f>
              </x14:cfvo>
              <x14:cfvo type="percent" gte="0">
                <xm:f>0</xm:f>
              </x14:cfvo>
              <x14:cfvo type="percent">
                <xm:f>0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BD12</xm:sqref>
        </x14:conditionalFormatting>
        <x14:conditionalFormatting xmlns:xm="http://schemas.microsoft.com/office/excel/2006/main">
          <x14:cfRule type="iconSet" priority="7" id="{B1E867AA-BCDA-49CC-A4FA-85E21972449F}">
            <x14:iconSet iconSet="3Symbols2" custom="1">
              <x14:cfvo type="percent">
                <xm:f>0</xm:f>
              </x14:cfvo>
              <x14:cfvo type="percent" gte="0">
                <xm:f>0</xm:f>
              </x14:cfvo>
              <x14:cfvo type="percent">
                <xm:f>0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BL12</xm:sqref>
        </x14:conditionalFormatting>
        <x14:conditionalFormatting xmlns:xm="http://schemas.microsoft.com/office/excel/2006/main">
          <x14:cfRule type="iconSet" priority="5" id="{BA1E88B9-564A-4F1F-9787-58F1A1B4D2E3}">
            <x14:iconSet iconSet="3Symbols2" custom="1">
              <x14:cfvo type="percent">
                <xm:f>0</xm:f>
              </x14:cfvo>
              <x14:cfvo type="percent" gte="0">
                <xm:f>0</xm:f>
              </x14:cfvo>
              <x14:cfvo type="percent">
                <xm:f>0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BP12</xm:sqref>
        </x14:conditionalFormatting>
        <x14:conditionalFormatting xmlns:xm="http://schemas.microsoft.com/office/excel/2006/main">
          <x14:cfRule type="iconSet" priority="3" id="{93ABFED4-9685-4F07-A23A-6C6C8CD995F9}">
            <x14:iconSet iconSet="3Symbols2" custom="1">
              <x14:cfvo type="percent">
                <xm:f>0</xm:f>
              </x14:cfvo>
              <x14:cfvo type="percent" gte="0">
                <xm:f>0</xm:f>
              </x14:cfvo>
              <x14:cfvo type="percent">
                <xm:f>0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BT12</xm:sqref>
        </x14:conditionalFormatting>
        <x14:conditionalFormatting xmlns:xm="http://schemas.microsoft.com/office/excel/2006/main">
          <x14:cfRule type="iconSet" priority="1" id="{D83FFF2E-A882-4C65-9A54-5F573FE4267A}">
            <x14:iconSet iconSet="3Symbols2" custom="1">
              <x14:cfvo type="percent">
                <xm:f>0</xm:f>
              </x14:cfvo>
              <x14:cfvo type="percent" gte="0">
                <xm:f>0</xm:f>
              </x14:cfvo>
              <x14:cfvo type="percent">
                <xm:f>0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BX12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CCF80E-BB58-46DB-B9AB-3BCFA64E91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4</vt:i4>
      </vt:variant>
    </vt:vector>
  </HeadingPairs>
  <TitlesOfParts>
    <vt:vector size="18" baseType="lpstr">
      <vt:lpstr>Proyeccion 2025</vt:lpstr>
      <vt:lpstr>Reporte </vt:lpstr>
      <vt:lpstr>Dashboard</vt:lpstr>
      <vt:lpstr>Bancos </vt:lpstr>
      <vt:lpstr>HGI</vt:lpstr>
      <vt:lpstr>Rendiciones</vt:lpstr>
      <vt:lpstr>Listas</vt:lpstr>
      <vt:lpstr>2024 &amp; 2023 &amp; 2022</vt:lpstr>
      <vt:lpstr>2024&amp;2023&amp; 2022 G. Extra</vt:lpstr>
      <vt:lpstr>Detalle anual Gastos </vt:lpstr>
      <vt:lpstr>Gastos Generales</vt:lpstr>
      <vt:lpstr>Gastos Generales 2022</vt:lpstr>
      <vt:lpstr>Sueldos y Salarios 2023</vt:lpstr>
      <vt:lpstr>Sueldos y Salarios 2024</vt:lpstr>
      <vt:lpstr>'2024 &amp; 2023 &amp; 2022'!Área_de_impresión</vt:lpstr>
      <vt:lpstr>'2024&amp;2023&amp; 2022 G. Extra'!Área_de_impresión</vt:lpstr>
      <vt:lpstr>'Sueldos y Salarios 2023'!Área_de_impresión</vt:lpstr>
      <vt:lpstr>'Sueldos y Salarios 2024'!Área_de_impresión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 Hecaglobal</dc:creator>
  <cp:lastModifiedBy>Contabilidad Hecaglobal</cp:lastModifiedBy>
  <cp:lastPrinted>2026-06-08T17:11:32Z</cp:lastPrinted>
  <dcterms:created xsi:type="dcterms:W3CDTF">2015-06-05T18:17:20Z</dcterms:created>
  <dcterms:modified xsi:type="dcterms:W3CDTF">2026-10-16T12:49:19Z</dcterms:modified>
</cp:coreProperties>
</file>