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ngh_kislay\Desktop\Portfolio\Excel\"/>
    </mc:Choice>
  </mc:AlternateContent>
  <bookViews>
    <workbookView xWindow="-120" yWindow="-120" windowWidth="19440" windowHeight="10590" tabRatio="569"/>
  </bookViews>
  <sheets>
    <sheet name="Advanced Formulas" sheetId="2" r:id="rId1"/>
    <sheet name="Test Sheet 1" sheetId="1" r:id="rId2"/>
    <sheet name="Test Sheet 2" sheetId="3" r:id="rId3"/>
    <sheet name="Test Sheet 3" sheetId="4" r:id="rId4"/>
  </sheets>
  <definedNames>
    <definedName name="_xlnm._FilterDatabase" localSheetId="0" hidden="1">'Advanced Formulas'!$A$2:$D$78</definedName>
    <definedName name="_xlnm._FilterDatabase" localSheetId="1" hidden="1">'Test Sheet 1'!$H$145:$H$153</definedName>
    <definedName name="_xlnm._FilterDatabase" localSheetId="2" hidden="1">'Test Sheet 2'!$A$1:$A$7</definedName>
    <definedName name="Sheets">'Test Sheet 1'!$I$70:$I$71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4" i="1" l="1"/>
  <c r="I153" i="1"/>
  <c r="I152" i="1"/>
  <c r="I151" i="1"/>
  <c r="I150" i="1"/>
  <c r="J167" i="1"/>
  <c r="J168" i="1"/>
  <c r="J169" i="1"/>
  <c r="J170" i="1"/>
  <c r="J166" i="1"/>
  <c r="I167" i="1"/>
  <c r="I168" i="1"/>
  <c r="I169" i="1"/>
  <c r="I170" i="1"/>
  <c r="H166" i="1"/>
  <c r="I142" i="1"/>
  <c r="H142" i="1"/>
  <c r="J165" i="1"/>
  <c r="G132" i="1"/>
  <c r="F166" i="1"/>
  <c r="F167" i="1"/>
  <c r="F168" i="1"/>
  <c r="F169" i="1"/>
  <c r="F170" i="1"/>
  <c r="F171" i="1"/>
  <c r="F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65" i="1" a="1"/>
  <c r="E165" i="1"/>
  <c r="C166" i="1"/>
  <c r="C167" i="1"/>
  <c r="C168" i="1"/>
  <c r="C169" i="1"/>
  <c r="C170" i="1"/>
  <c r="C171" i="1"/>
  <c r="C165" i="1"/>
  <c r="L157" i="1"/>
  <c r="L158" i="1"/>
  <c r="L159" i="1"/>
  <c r="L160" i="1"/>
  <c r="L161" i="1"/>
  <c r="L162" i="1"/>
  <c r="L156" i="1"/>
  <c r="D165" i="1"/>
  <c r="J157" i="1"/>
  <c r="J158" i="1"/>
  <c r="J159" i="1"/>
  <c r="J160" i="1"/>
  <c r="J161" i="1"/>
  <c r="J162" i="1"/>
  <c r="J156" i="1"/>
  <c r="I156" i="1"/>
  <c r="I161" i="1"/>
  <c r="I160" i="1"/>
  <c r="I159" i="1"/>
  <c r="I158" i="1"/>
  <c r="I157" i="1"/>
  <c r="I162" i="1"/>
  <c r="G153" i="1"/>
  <c r="G154" i="1"/>
  <c r="G155" i="1"/>
  <c r="G156" i="1"/>
  <c r="G157" i="1"/>
  <c r="G158" i="1"/>
  <c r="G159" i="1"/>
  <c r="G160" i="1"/>
  <c r="G161" i="1"/>
  <c r="G162" i="1"/>
  <c r="G163" i="1"/>
  <c r="G152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C162" i="1" a="1"/>
  <c r="C162" i="1"/>
  <c r="C161" i="1" a="1"/>
  <c r="C161" i="1"/>
  <c r="C160" i="1" a="1"/>
  <c r="C160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3" i="1" a="1"/>
  <c r="C163" i="1"/>
  <c r="C152" i="1" a="1"/>
  <c r="C152" i="1"/>
  <c r="J146" i="1" a="1"/>
  <c r="J146" i="1"/>
  <c r="J147" i="1" a="1"/>
  <c r="J147" i="1"/>
  <c r="J148" i="1" a="1"/>
  <c r="J148" i="1"/>
  <c r="J149" i="1" a="1"/>
  <c r="J149" i="1"/>
  <c r="J150" i="1" a="1"/>
  <c r="J150" i="1"/>
  <c r="J151" i="1" a="1"/>
  <c r="J151" i="1"/>
  <c r="J152" i="1" a="1"/>
  <c r="J152" i="1"/>
  <c r="J153" i="1" a="1"/>
  <c r="J153" i="1"/>
  <c r="I149" i="1" a="1"/>
  <c r="I149" i="1"/>
  <c r="F112" i="1"/>
  <c r="D108" i="1"/>
  <c r="D109" i="1"/>
  <c r="I147" i="1" a="1"/>
  <c r="I147" i="1"/>
  <c r="G151" i="1"/>
  <c r="G148" i="1"/>
  <c r="G149" i="1"/>
  <c r="G150" i="1" a="1"/>
  <c r="G150" i="1"/>
  <c r="G147" i="1"/>
  <c r="F147" i="1" a="1"/>
  <c r="F147" i="1"/>
  <c r="F104" i="1"/>
  <c r="F141" i="1"/>
  <c r="D143" i="1" a="1"/>
  <c r="D143" i="1"/>
  <c r="D142" i="1" a="1"/>
  <c r="D142" i="1"/>
  <c r="E141" i="1" a="1"/>
  <c r="E141" i="1"/>
  <c r="D141" i="1" a="1"/>
  <c r="D141" i="1"/>
  <c r="C141" i="1" a="1"/>
  <c r="C141" i="1"/>
  <c r="G143" i="1"/>
  <c r="J143" i="1"/>
  <c r="I144" i="1" a="1"/>
  <c r="I144" i="1"/>
  <c r="G127" i="1" a="1"/>
  <c r="G127" i="1" s="1"/>
  <c r="H98" i="1" a="1"/>
  <c r="H98" i="1" s="1"/>
  <c r="G101" i="1"/>
  <c r="F140" i="1"/>
  <c r="E140" i="1" a="1"/>
  <c r="E140" i="1"/>
  <c r="K139" i="1" a="1"/>
  <c r="K139" i="1"/>
  <c r="K141" i="1" a="1"/>
  <c r="K141" i="1"/>
  <c r="K137" i="1"/>
  <c r="L137" i="1"/>
  <c r="L135" i="1"/>
  <c r="K135" i="1" a="1"/>
  <c r="K135" i="1"/>
  <c r="G138" i="1"/>
  <c r="N117" i="1" a="1"/>
  <c r="N117" i="1"/>
  <c r="K113" i="1" a="1"/>
  <c r="K113" i="1"/>
  <c r="H124" i="1" a="1"/>
  <c r="H124" i="1"/>
  <c r="H123" i="1" a="1"/>
  <c r="H123" i="1"/>
  <c r="K108" i="1"/>
  <c r="J133" i="1"/>
  <c r="K116" i="1"/>
  <c r="K104" i="1"/>
  <c r="H133" i="1"/>
  <c r="I133" i="1"/>
  <c r="G134" i="1" a="1"/>
  <c r="G134" i="1"/>
  <c r="G135" i="1" a="1"/>
  <c r="G135" i="1"/>
  <c r="G136" i="1" a="1"/>
  <c r="G136" i="1"/>
  <c r="G133" i="1" a="1"/>
  <c r="G133" i="1"/>
  <c r="E134" i="1"/>
  <c r="E135" i="1"/>
  <c r="E136" i="1"/>
  <c r="E133" i="1"/>
  <c r="B131" i="1" a="1"/>
  <c r="B131" i="1"/>
  <c r="B111" i="1" a="1"/>
  <c r="B111" i="1"/>
  <c r="F124" i="1"/>
  <c r="F123" i="1"/>
  <c r="F125" i="1"/>
  <c r="F126" i="1"/>
  <c r="F127" i="1"/>
  <c r="F128" i="1"/>
  <c r="F129" i="1"/>
  <c r="F130" i="1"/>
  <c r="F131" i="1"/>
  <c r="F132" i="1"/>
  <c r="O100" i="1"/>
  <c r="Q95" i="1"/>
  <c r="Q96" i="1"/>
  <c r="Q93" i="1"/>
  <c r="Q94" i="1"/>
  <c r="Q92" i="1"/>
  <c r="O98" i="1" a="1"/>
  <c r="O98" i="1"/>
  <c r="C122" i="1" a="1"/>
  <c r="C122" i="1"/>
  <c r="C121" i="1"/>
  <c r="C120" i="1" a="1"/>
  <c r="C120" i="1"/>
  <c r="C119" i="1"/>
  <c r="E116" i="1" a="1"/>
  <c r="E116" i="1"/>
  <c r="L105" i="1"/>
  <c r="L106" i="1"/>
  <c r="L107" i="1"/>
  <c r="L108" i="1"/>
  <c r="L109" i="1"/>
  <c r="L110" i="1"/>
  <c r="L111" i="1"/>
  <c r="L112" i="1"/>
  <c r="L104" i="1"/>
  <c r="C111" i="1" a="1"/>
  <c r="C111" i="1"/>
  <c r="G89" i="1"/>
  <c r="E24" i="1" a="1"/>
  <c r="E24" i="1"/>
  <c r="K9" i="1"/>
  <c r="D114" i="1" a="1"/>
  <c r="D114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G84" i="1"/>
  <c r="A86" i="1" a="1"/>
  <c r="A86" i="1"/>
  <c r="A85" i="1"/>
  <c r="A84" i="1"/>
  <c r="A83" i="1" a="1"/>
  <c r="A83" i="1"/>
  <c r="F83" i="1" a="1"/>
  <c r="F83" i="1"/>
  <c r="C53" i="1"/>
  <c r="C52" i="1"/>
  <c r="B53" i="1" a="1"/>
  <c r="B53" i="1"/>
  <c r="B52" i="1"/>
  <c r="G54" i="1" a="1"/>
  <c r="G54" i="1"/>
  <c r="I54" i="1" a="1"/>
  <c r="I54" i="1"/>
  <c r="F81" i="1" a="1"/>
  <c r="F81" i="1"/>
  <c r="F84" i="1" a="1"/>
  <c r="F84" i="1"/>
  <c r="G81" i="1" a="1"/>
  <c r="G81" i="1"/>
  <c r="J115" i="1" a="1"/>
  <c r="J115" i="1"/>
  <c r="J114" i="1"/>
  <c r="D113" i="1"/>
  <c r="D112" i="1"/>
  <c r="D111" i="1"/>
  <c r="E113" i="1"/>
  <c r="F64" i="1"/>
  <c r="B71" i="1" a="1"/>
  <c r="B71" i="1"/>
  <c r="A39" i="1" a="1"/>
  <c r="A39" i="1"/>
  <c r="F51" i="1"/>
  <c r="G40" i="1"/>
  <c r="G42" i="1"/>
  <c r="E53" i="1"/>
  <c r="H53" i="1"/>
  <c r="G49" i="1"/>
  <c r="G48" i="1"/>
  <c r="H3" i="1"/>
  <c r="H6" i="1"/>
  <c r="H9" i="1"/>
  <c r="L22" i="1" s="1"/>
  <c r="G7" i="1"/>
  <c r="F4" i="1"/>
  <c r="F2" i="1"/>
  <c r="F5" i="1"/>
  <c r="G4" i="1"/>
  <c r="G5" i="1"/>
  <c r="I113" i="1" a="1"/>
  <c r="I113" i="1"/>
  <c r="M113" i="1" a="1"/>
  <c r="M113" i="1"/>
  <c r="M110" i="1"/>
  <c r="M108" i="1"/>
  <c r="M107" i="1"/>
  <c r="M104" i="1"/>
  <c r="M105" i="1"/>
  <c r="G103" i="1" a="1"/>
  <c r="G103" i="1"/>
  <c r="F111" i="1" a="1"/>
  <c r="F111" i="1"/>
  <c r="F109" i="1" a="1"/>
  <c r="F109" i="1"/>
  <c r="K105" i="1" a="1"/>
  <c r="K105" i="1"/>
  <c r="K106" i="1" a="1"/>
  <c r="K106" i="1"/>
  <c r="H111" i="1" a="1"/>
  <c r="H111" i="1"/>
  <c r="H106" i="1" a="1"/>
  <c r="H106" i="1"/>
  <c r="H107" i="1" a="1"/>
  <c r="H107" i="1"/>
  <c r="H104" i="1"/>
  <c r="H105" i="1"/>
  <c r="H108" i="1"/>
  <c r="H109" i="1"/>
  <c r="H110" i="1"/>
  <c r="H112" i="1"/>
  <c r="H113" i="1"/>
  <c r="H114" i="1"/>
  <c r="H115" i="1"/>
  <c r="H116" i="1"/>
  <c r="H117" i="1"/>
  <c r="H10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73" i="1"/>
  <c r="F107" i="1"/>
  <c r="F106" i="1"/>
  <c r="G100" i="1"/>
  <c r="N92" i="1"/>
  <c r="J102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73" i="1"/>
  <c r="M76" i="1"/>
  <c r="N74" i="1"/>
  <c r="N73" i="1"/>
  <c r="N75" i="1"/>
  <c r="N76" i="1"/>
  <c r="N77" i="1"/>
  <c r="N78" i="1"/>
  <c r="N79" i="1"/>
  <c r="N80" i="1"/>
  <c r="N81" i="1"/>
  <c r="N82" i="1"/>
  <c r="N83" i="1"/>
  <c r="N84" i="1"/>
  <c r="N85" i="1"/>
  <c r="N86" i="1"/>
  <c r="C103" i="1"/>
  <c r="B65" i="1"/>
  <c r="B63" i="1"/>
  <c r="B62" i="1"/>
  <c r="B61" i="1"/>
  <c r="N2" i="1"/>
  <c r="O15" i="1"/>
  <c r="O4" i="1" a="1"/>
  <c r="O4" i="1"/>
  <c r="O2" i="1" a="1"/>
  <c r="O2" i="1"/>
  <c r="O3" i="1" a="1"/>
  <c r="O3" i="1"/>
  <c r="C78" i="1"/>
  <c r="C79" i="1"/>
  <c r="C80" i="1"/>
  <c r="C81" i="1"/>
  <c r="C82" i="1"/>
  <c r="C83" i="1"/>
  <c r="C84" i="1"/>
  <c r="C85" i="1"/>
  <c r="C86" i="1"/>
  <c r="C87" i="1"/>
  <c r="C88" i="1"/>
  <c r="C89" i="1"/>
  <c r="M93" i="1"/>
  <c r="M94" i="1"/>
  <c r="M95" i="1"/>
  <c r="M96" i="1"/>
  <c r="M97" i="1"/>
  <c r="M98" i="1"/>
  <c r="M99" i="1"/>
  <c r="M100" i="1"/>
  <c r="M92" i="1"/>
  <c r="D106" i="1"/>
  <c r="L92" i="1"/>
  <c r="L93" i="1"/>
  <c r="L94" i="1"/>
  <c r="L95" i="1"/>
  <c r="L96" i="1"/>
  <c r="L97" i="1"/>
  <c r="L98" i="1"/>
  <c r="L99" i="1"/>
  <c r="L100" i="1"/>
  <c r="I96" i="1" a="1"/>
  <c r="I96" i="1"/>
  <c r="I92" i="1" a="1"/>
  <c r="I92" i="1"/>
  <c r="I95" i="1" a="1"/>
  <c r="I95" i="1"/>
  <c r="I91" i="1" a="1"/>
  <c r="I91" i="1"/>
  <c r="I99" i="1" a="1"/>
  <c r="I99" i="1"/>
  <c r="I93" i="1" a="1"/>
  <c r="I93" i="1"/>
  <c r="I94" i="1" a="1"/>
  <c r="I94" i="1"/>
  <c r="I97" i="1" a="1"/>
  <c r="I97" i="1"/>
  <c r="I98" i="1" a="1"/>
  <c r="I98" i="1"/>
  <c r="I100" i="1" a="1"/>
  <c r="I100" i="1"/>
  <c r="I101" i="1" a="1"/>
  <c r="I101" i="1"/>
  <c r="I102" i="1" a="1"/>
  <c r="I102" i="1"/>
  <c r="N58" i="1"/>
  <c r="N57" i="1"/>
  <c r="Q51" i="1"/>
  <c r="Q50" i="1"/>
  <c r="P57" i="1"/>
  <c r="O58" i="1"/>
  <c r="O57" i="1"/>
  <c r="P55" i="1" a="1"/>
  <c r="P55" i="1"/>
  <c r="Q61" i="1" a="1"/>
  <c r="Q61" i="1"/>
  <c r="Q62" i="1"/>
  <c r="Q59" i="1" a="1"/>
  <c r="Q59" i="1"/>
  <c r="P53" i="1"/>
  <c r="P52" i="1" a="1"/>
  <c r="P52" i="1"/>
  <c r="O52" i="1" a="1"/>
  <c r="O52" i="1"/>
  <c r="O55" i="1" a="1"/>
  <c r="O55" i="1"/>
  <c r="P60" i="1"/>
  <c r="H52" i="1"/>
  <c r="A101" i="1"/>
  <c r="C49" i="1"/>
  <c r="C48" i="1"/>
  <c r="C50" i="1"/>
  <c r="C51" i="1"/>
  <c r="N56" i="1" a="1"/>
  <c r="N56" i="1"/>
  <c r="L55" i="1" a="1"/>
  <c r="L55" i="1"/>
  <c r="M56" i="1" a="1"/>
  <c r="M56" i="1"/>
  <c r="M55" i="1"/>
  <c r="N55" i="1" a="1"/>
  <c r="N55" i="1"/>
  <c r="M57" i="1" a="1"/>
  <c r="M57" i="1"/>
  <c r="L57" i="1"/>
  <c r="K57" i="1" a="1"/>
  <c r="K57" i="1"/>
  <c r="O54" i="1"/>
  <c r="A103" i="1" a="1"/>
  <c r="A103" i="1"/>
  <c r="A104" i="1" a="1"/>
  <c r="A104" i="1"/>
  <c r="F48" i="1"/>
  <c r="E44" i="1"/>
  <c r="H44" i="1"/>
  <c r="F98" i="1" a="1"/>
  <c r="F98" i="1"/>
  <c r="F97" i="1" a="1"/>
  <c r="F97" i="1"/>
  <c r="E96" i="1"/>
  <c r="E98" i="1" a="1"/>
  <c r="E98" i="1"/>
  <c r="F99" i="1"/>
  <c r="F74" i="1"/>
  <c r="F73" i="1"/>
  <c r="E76" i="1"/>
  <c r="E102" i="1" a="1"/>
  <c r="E102" i="1"/>
  <c r="H94" i="1" a="1"/>
  <c r="H94" i="1"/>
  <c r="H96" i="1" a="1"/>
  <c r="H96" i="1"/>
  <c r="I88" i="1" a="1"/>
  <c r="I88" i="1"/>
  <c r="G96" i="1" a="1"/>
  <c r="G96" i="1"/>
  <c r="G95" i="1" a="1"/>
  <c r="G95" i="1"/>
  <c r="T7" i="1" a="1"/>
  <c r="T7" i="1"/>
  <c r="H91" i="1"/>
  <c r="G91" i="1"/>
  <c r="F91" i="1"/>
  <c r="F70" i="1"/>
  <c r="E70" i="1" a="1"/>
  <c r="E70" i="1"/>
  <c r="E69" i="1" a="1"/>
  <c r="E69" i="1"/>
  <c r="E68" i="1" a="1"/>
  <c r="E68" i="1"/>
  <c r="B75" i="1"/>
  <c r="B76" i="1"/>
  <c r="B77" i="1"/>
  <c r="B60" i="1" a="1"/>
  <c r="B60" i="1"/>
  <c r="E92" i="1"/>
  <c r="E93" i="1"/>
  <c r="E94" i="1"/>
  <c r="E95" i="1"/>
  <c r="E97" i="1"/>
  <c r="E99" i="1"/>
  <c r="E100" i="1"/>
  <c r="E101" i="1"/>
  <c r="E91" i="1"/>
  <c r="A29" i="1" a="1"/>
  <c r="A29" i="1"/>
  <c r="B29" i="1" a="1"/>
  <c r="B29" i="1"/>
  <c r="D93" i="1"/>
  <c r="D94" i="1"/>
  <c r="D97" i="1"/>
  <c r="D98" i="1"/>
  <c r="D101" i="1"/>
  <c r="D102" i="1"/>
  <c r="B78" i="1"/>
  <c r="B79" i="1"/>
  <c r="B80" i="1"/>
  <c r="F79" i="1"/>
  <c r="F78" i="1" a="1"/>
  <c r="F78" i="1"/>
  <c r="M86" i="1"/>
  <c r="M85" i="1"/>
  <c r="M84" i="1"/>
  <c r="M83" i="1"/>
  <c r="M74" i="1"/>
  <c r="M75" i="1"/>
  <c r="M77" i="1"/>
  <c r="M78" i="1"/>
  <c r="M79" i="1"/>
  <c r="M80" i="1"/>
  <c r="M81" i="1"/>
  <c r="M82" i="1"/>
  <c r="M73" i="1"/>
  <c r="L76" i="1"/>
  <c r="L75" i="1"/>
  <c r="L74" i="1"/>
  <c r="L73" i="1"/>
  <c r="A92" i="1"/>
  <c r="G87" i="1"/>
  <c r="G88" i="1"/>
  <c r="G83" i="1" a="1"/>
  <c r="G83" i="1"/>
  <c r="F80" i="1" a="1"/>
  <c r="F80" i="1"/>
  <c r="E79" i="1"/>
  <c r="E80" i="1"/>
  <c r="E81" i="1"/>
  <c r="E82" i="1"/>
  <c r="E83" i="1"/>
  <c r="E84" i="1"/>
  <c r="E85" i="1"/>
  <c r="E86" i="1"/>
  <c r="E87" i="1"/>
  <c r="E88" i="1"/>
  <c r="E89" i="1"/>
  <c r="E78" i="1"/>
  <c r="L78" i="1"/>
  <c r="L77" i="1"/>
  <c r="L79" i="1"/>
  <c r="L80" i="1"/>
  <c r="L81" i="1"/>
  <c r="L82" i="1"/>
  <c r="L83" i="1"/>
  <c r="L84" i="1"/>
  <c r="L85" i="1"/>
  <c r="L86" i="1"/>
  <c r="J73" i="1"/>
  <c r="J86" i="1"/>
  <c r="J85" i="1"/>
  <c r="J77" i="1"/>
  <c r="J76" i="1"/>
  <c r="J75" i="1"/>
  <c r="J74" i="1"/>
  <c r="J78" i="1"/>
  <c r="J79" i="1"/>
  <c r="J80" i="1"/>
  <c r="J81" i="1"/>
  <c r="J82" i="1"/>
  <c r="J83" i="1"/>
  <c r="J84" i="1"/>
  <c r="H73" i="1" a="1"/>
  <c r="H73" i="1"/>
  <c r="G73" i="1" a="1"/>
  <c r="G73" i="1"/>
  <c r="F71" i="1" a="1"/>
  <c r="F71" i="1"/>
  <c r="J13" i="1" a="1"/>
  <c r="J13" i="1"/>
  <c r="H69" i="1"/>
  <c r="I29" i="1" a="1"/>
  <c r="I29" i="1"/>
  <c r="I68" i="1"/>
  <c r="M63" i="1" a="1"/>
  <c r="M63" i="1"/>
  <c r="I66" i="1"/>
  <c r="H66" i="1" a="1"/>
  <c r="H66" i="1"/>
  <c r="J66" i="1"/>
  <c r="G66" i="1"/>
  <c r="G68" i="1"/>
  <c r="L64" i="1"/>
  <c r="M62" i="1" a="1"/>
  <c r="M62" i="1"/>
  <c r="V30" i="1"/>
  <c r="V29" i="1"/>
  <c r="V28" i="1"/>
  <c r="U29" i="1"/>
  <c r="U28" i="1"/>
  <c r="U30" i="1"/>
  <c r="Q21" i="1"/>
  <c r="Q20" i="1"/>
  <c r="Q19" i="1"/>
  <c r="Q18" i="1"/>
  <c r="H67" i="1" a="1"/>
  <c r="H67" i="1"/>
  <c r="K62" i="1"/>
  <c r="M61" i="1" a="1"/>
  <c r="M61" i="1"/>
  <c r="M59" i="1" a="1"/>
  <c r="M59" i="1"/>
  <c r="H58" i="1" a="1"/>
  <c r="H58" i="1"/>
  <c r="M60" i="1" a="1"/>
  <c r="M60" i="1"/>
  <c r="J58" i="1" a="1"/>
  <c r="J58" i="1"/>
  <c r="I58" i="1" a="1"/>
  <c r="I58" i="1"/>
  <c r="K60" i="1"/>
  <c r="K61" i="1"/>
  <c r="K59" i="1"/>
  <c r="F52" i="1"/>
  <c r="E56" i="1"/>
  <c r="C58" i="1"/>
  <c r="D57" i="1"/>
  <c r="G60" i="1"/>
  <c r="G72" i="1" a="1"/>
  <c r="G72" i="1"/>
  <c r="G71" i="1"/>
  <c r="K67" i="1" a="1"/>
  <c r="K67" i="1"/>
  <c r="K63" i="1"/>
  <c r="K64" i="1"/>
  <c r="F9" i="1"/>
  <c r="L23" i="1"/>
  <c r="K22" i="1"/>
  <c r="L20" i="1"/>
  <c r="H22" i="1"/>
  <c r="J19" i="1"/>
  <c r="F18" i="1"/>
  <c r="F19" i="1"/>
  <c r="E18" i="1"/>
  <c r="G18" i="1"/>
  <c r="H16" i="1" s="1"/>
  <c r="G17" i="1"/>
  <c r="F16" i="1"/>
  <c r="F15" i="1"/>
  <c r="L17" i="1"/>
  <c r="L18" i="1"/>
  <c r="L19" i="1"/>
  <c r="L16" i="1"/>
  <c r="K16" i="1"/>
  <c r="P6" i="1"/>
  <c r="O8" i="1"/>
  <c r="D54" i="1"/>
  <c r="J56" i="1"/>
  <c r="K55" i="1"/>
  <c r="H55" i="1"/>
  <c r="G55" i="1"/>
  <c r="G29" i="1"/>
  <c r="G27" i="1"/>
  <c r="G28" i="1"/>
  <c r="H27" i="1"/>
  <c r="H26" i="1"/>
  <c r="E29" i="1"/>
  <c r="F29" i="1"/>
  <c r="D29" i="1"/>
  <c r="B32" i="1" a="1"/>
  <c r="B32" i="1" s="1"/>
  <c r="D25" i="1" a="1"/>
  <c r="D25" i="1"/>
  <c r="C25" i="1"/>
  <c r="D24" i="1"/>
  <c r="O29" i="1"/>
  <c r="B28" i="1"/>
  <c r="D28" i="1"/>
  <c r="A28" i="1" a="1"/>
  <c r="A28" i="1"/>
  <c r="C28" i="1"/>
  <c r="T11" i="1"/>
  <c r="L5" i="1"/>
  <c r="L3" i="1"/>
  <c r="L4" i="1"/>
  <c r="L6" i="1"/>
  <c r="L2" i="1"/>
  <c r="Q9" i="1" a="1"/>
  <c r="Q9" i="1"/>
  <c r="M45" i="1"/>
  <c r="K4" i="1"/>
  <c r="K5" i="1"/>
  <c r="K6" i="1"/>
  <c r="M44" i="1" a="1"/>
  <c r="M44" i="1"/>
  <c r="M43" i="1" a="1"/>
  <c r="M43" i="1"/>
  <c r="J44" i="1"/>
  <c r="J45" i="1"/>
  <c r="J46" i="1"/>
  <c r="J47" i="1"/>
  <c r="J48" i="1"/>
  <c r="J49" i="1"/>
  <c r="J50" i="1"/>
  <c r="J51" i="1"/>
  <c r="J43" i="1"/>
  <c r="E43" i="1"/>
  <c r="H43" i="1"/>
  <c r="E45" i="1"/>
  <c r="H45" i="1"/>
  <c r="E46" i="1"/>
  <c r="H46" i="1"/>
  <c r="E47" i="1"/>
  <c r="H47" i="1"/>
  <c r="E48" i="1"/>
  <c r="H48" i="1"/>
  <c r="E49" i="1"/>
  <c r="H49" i="1"/>
  <c r="E50" i="1"/>
  <c r="H50" i="1"/>
  <c r="E51" i="1"/>
  <c r="H51" i="1"/>
  <c r="E20" i="1"/>
  <c r="L37" i="1" a="1"/>
  <c r="L37" i="1"/>
  <c r="L39" i="1"/>
  <c r="K38" i="1"/>
  <c r="H41" i="1"/>
  <c r="Q30" i="1"/>
  <c r="B26" i="1"/>
  <c r="B25" i="1"/>
  <c r="J21" i="1"/>
  <c r="J8" i="1"/>
  <c r="T6" i="1"/>
  <c r="K18" i="1"/>
  <c r="B11" i="1"/>
  <c r="S7" i="1"/>
  <c r="S6" i="1"/>
  <c r="D15" i="1"/>
  <c r="C15" i="1"/>
  <c r="M15" i="1"/>
  <c r="L14" i="1"/>
  <c r="L15" i="1"/>
  <c r="A24" i="1"/>
  <c r="D20" i="1"/>
  <c r="M25" i="1"/>
  <c r="D35" i="1"/>
  <c r="D34" i="1"/>
  <c r="D36" i="1"/>
  <c r="D37" i="1"/>
  <c r="N21" i="1"/>
  <c r="N20" i="1"/>
  <c r="N19" i="1"/>
  <c r="N18" i="1"/>
  <c r="D7" i="1"/>
  <c r="Q24" i="1"/>
  <c r="Q23" i="1"/>
  <c r="Q22" i="1"/>
  <c r="Q25" i="1"/>
  <c r="I18" i="1"/>
  <c r="U18" i="1" a="1"/>
  <c r="U18" i="1"/>
  <c r="C18" i="1"/>
  <c r="B18" i="1"/>
  <c r="H17" i="1"/>
  <c r="K10" i="1"/>
  <c r="F13" i="1"/>
  <c r="G13" i="1"/>
  <c r="B17" i="1"/>
  <c r="A18" i="1"/>
  <c r="C13" i="1"/>
  <c r="D13" i="1"/>
  <c r="U25" i="1"/>
  <c r="U23" i="1"/>
  <c r="U21" i="1"/>
  <c r="U19" i="1"/>
  <c r="U26" i="1"/>
  <c r="U24" i="1"/>
  <c r="U22" i="1"/>
  <c r="U20" i="1"/>
  <c r="D12" i="1"/>
  <c r="E13" i="1"/>
  <c r="D11" i="1"/>
  <c r="A9" i="1"/>
  <c r="D17" i="1"/>
  <c r="C17" i="1"/>
  <c r="G3" i="1"/>
  <c r="D4" i="1"/>
  <c r="B9" i="1"/>
  <c r="G2" i="1"/>
  <c r="G1" i="1"/>
  <c r="E8" i="1"/>
  <c r="E11" i="1"/>
  <c r="F1" i="1"/>
  <c r="E1" i="1"/>
  <c r="E17" i="1"/>
  <c r="H14" i="1"/>
  <c r="G14" i="1"/>
  <c r="E7" i="1"/>
  <c r="K39" i="1"/>
  <c r="M34" i="1"/>
  <c r="K30" i="1"/>
  <c r="F39" i="1"/>
  <c r="E39" i="1"/>
  <c r="D39" i="1"/>
  <c r="B38" i="1"/>
  <c r="I26" i="1" a="1"/>
  <c r="I26" i="1"/>
  <c r="I28" i="1"/>
  <c r="H23" i="1"/>
  <c r="E25" i="1"/>
  <c r="G15" i="1"/>
  <c r="G8" i="1"/>
  <c r="F11" i="1"/>
  <c r="C11" i="1"/>
  <c r="C9" i="1"/>
  <c r="C8" i="1"/>
  <c r="C30" i="1"/>
  <c r="F24" i="1"/>
  <c r="G21" i="1"/>
  <c r="A16" i="1"/>
  <c r="L7" i="1"/>
  <c r="Q34" i="1"/>
  <c r="I34" i="1"/>
  <c r="O32" i="1" a="1"/>
  <c r="O32" i="1"/>
  <c r="J33" i="1"/>
  <c r="G35" i="1"/>
  <c r="G37" i="1"/>
  <c r="D40" i="1"/>
  <c r="H36" i="1"/>
  <c r="L40" i="1" a="1"/>
  <c r="M40" i="1" s="1"/>
  <c r="H37" i="1"/>
  <c r="I41" i="1"/>
  <c r="A34" i="1" a="1"/>
  <c r="A34" i="1" s="1"/>
  <c r="I38" i="1"/>
  <c r="D32" i="1"/>
  <c r="K35" i="1"/>
  <c r="Q7" i="1"/>
  <c r="U2" i="1"/>
  <c r="F7" i="1" a="1"/>
  <c r="F7" i="1"/>
  <c r="M28" i="1"/>
  <c r="A6" i="3"/>
  <c r="A8" i="3"/>
  <c r="J29" i="1"/>
  <c r="K20" i="1"/>
  <c r="M20" i="1"/>
  <c r="H20" i="1"/>
  <c r="H21" i="1"/>
  <c r="E16" i="1"/>
  <c r="R20" i="1"/>
  <c r="S20" i="1"/>
  <c r="R17" i="1"/>
  <c r="R19" i="1"/>
  <c r="R18" i="1"/>
  <c r="M5" i="1"/>
  <c r="E21" i="1"/>
  <c r="H7" i="1"/>
  <c r="E22" i="1"/>
  <c r="E23" i="1"/>
  <c r="A17" i="1"/>
  <c r="F17" i="1"/>
  <c r="D9" i="1"/>
  <c r="A31" i="1"/>
  <c r="A30" i="1"/>
  <c r="C27" i="1"/>
  <c r="D16" i="1"/>
  <c r="C12" i="1"/>
  <c r="D14" i="1"/>
  <c r="D10" i="1"/>
  <c r="H31" i="1"/>
  <c r="G12" i="1"/>
  <c r="D27" i="1"/>
  <c r="J23" i="1"/>
  <c r="I23" i="1"/>
  <c r="N22" i="1"/>
  <c r="M24" i="1"/>
  <c r="M22" i="1"/>
  <c r="I20" i="1"/>
  <c r="I17" i="1"/>
  <c r="K25" i="1"/>
  <c r="G19" i="1"/>
  <c r="E19" i="1"/>
  <c r="G6" i="1"/>
  <c r="I27" i="1"/>
  <c r="I25" i="1"/>
  <c r="I24" i="1"/>
  <c r="K24" i="1"/>
  <c r="G24" i="1"/>
  <c r="F27" i="1"/>
  <c r="E27" i="1"/>
  <c r="E26" i="1"/>
  <c r="A27" i="1"/>
  <c r="J16" i="1"/>
  <c r="N10" i="1"/>
  <c r="A10" i="1"/>
  <c r="B8" i="1"/>
  <c r="O10" i="1"/>
  <c r="N11" i="1"/>
  <c r="I16" i="1"/>
  <c r="K12" i="1"/>
  <c r="M4" i="1"/>
  <c r="K3" i="1"/>
  <c r="E5" i="1"/>
  <c r="G11" i="1"/>
  <c r="G10" i="1"/>
  <c r="G9" i="1"/>
  <c r="B6" i="1"/>
  <c r="B4" i="1"/>
  <c r="C3" i="1"/>
  <c r="B1" i="1"/>
  <c r="E30" i="1"/>
  <c r="R13" i="1" a="1"/>
  <c r="R13" i="1"/>
  <c r="I15" i="1"/>
  <c r="K27" i="1"/>
  <c r="B81" i="1"/>
  <c r="D96" i="1"/>
  <c r="D100" i="1"/>
  <c r="D92" i="1"/>
  <c r="F69" i="1" a="1"/>
  <c r="H24" i="1"/>
  <c r="T13" i="1"/>
  <c r="I52" i="1" a="1"/>
  <c r="G53" i="1" a="1"/>
  <c r="I53" i="1" a="1"/>
  <c r="T20" i="1"/>
  <c r="K11" i="1"/>
  <c r="B16" i="1"/>
  <c r="H18" i="1" l="1"/>
  <c r="H19" i="1" s="1"/>
  <c r="I19" i="1" s="1"/>
  <c r="B34" i="1"/>
  <c r="C32" i="1"/>
  <c r="B36" i="1"/>
  <c r="A36" i="1"/>
  <c r="A35" i="1"/>
  <c r="L40" i="1"/>
  <c r="C33" i="1"/>
  <c r="C36" i="1"/>
  <c r="M41" i="1"/>
  <c r="I53" i="1"/>
  <c r="F69" i="1"/>
  <c r="I52" i="1"/>
  <c r="G53" i="1"/>
  <c r="F21" i="1"/>
  <c r="F23" i="1"/>
  <c r="C35" i="1"/>
  <c r="C34" i="1"/>
  <c r="L41" i="1"/>
  <c r="B33" i="1"/>
  <c r="B35" i="1"/>
  <c r="F20" i="1" s="1"/>
  <c r="D95" i="1" l="1"/>
  <c r="F22" i="1"/>
  <c r="D99" i="1"/>
  <c r="D91" i="1"/>
  <c r="H128" i="1"/>
  <c r="G128" i="1"/>
  <c r="H127" i="1"/>
  <c r="N114" i="1"/>
  <c r="M114" i="1"/>
  <c r="N113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H99" i="1"/>
  <c r="B40" i="1"/>
  <c r="A40" i="1"/>
  <c r="B39" i="1"/>
</calcChain>
</file>

<file path=xl/comments1.xml><?xml version="1.0" encoding="utf-8"?>
<comments xmlns="http://schemas.openxmlformats.org/spreadsheetml/2006/main">
  <authors>
    <author>Kislay</author>
    <author>ksingh2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 xml:space="preserve">Asterisk (*) </t>
        </r>
        <r>
          <rPr>
            <sz val="9"/>
            <color indexed="81"/>
            <rFont val="Tahoma"/>
            <family val="2"/>
          </rPr>
          <t xml:space="preserve">- zero or more characters
</t>
        </r>
        <r>
          <rPr>
            <b/>
            <sz val="9"/>
            <color indexed="81"/>
            <rFont val="Tahoma"/>
            <family val="2"/>
          </rPr>
          <t xml:space="preserve">Question mark (?) </t>
        </r>
        <r>
          <rPr>
            <sz val="9"/>
            <color indexed="81"/>
            <rFont val="Tahoma"/>
            <family val="2"/>
          </rPr>
          <t xml:space="preserve">- any one character
</t>
        </r>
        <r>
          <rPr>
            <b/>
            <sz val="9"/>
            <color indexed="81"/>
            <rFont val="Tahoma"/>
            <family val="2"/>
          </rPr>
          <t xml:space="preserve">Tilde (~) </t>
        </r>
        <r>
          <rPr>
            <sz val="9"/>
            <color indexed="81"/>
            <rFont val="Tahoma"/>
            <family val="2"/>
          </rPr>
          <t>- escape for literal character (~*) a literal question mark (~?), or a literal tilde (~~).</t>
        </r>
      </text>
    </comment>
    <comment ref="C9" authorId="1" shapeId="0">
      <text>
        <r>
          <rPr>
            <b/>
            <sz val="9"/>
            <color indexed="81"/>
            <rFont val="Tahoma"/>
            <charset val="1"/>
          </rPr>
          <t>Changed formula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This formula can be replaced by UNIQUE function but it is available from Excel 2021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Another formula added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Added by Kislay
This formula can be used for largest n values using LARGE function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</rPr>
          <t>This can be done using in-built Conditional Formatting option
This formula can be used to highlight top n values using LARGE function with &gt;= operator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</rPr>
          <t>SEARCH is not case sensitive
FIND is case sensitive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</rPr>
          <t>SEARCH is not case sensitive
FIND is case sensitive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COUNTIF option is not case sensitive
EXACT option is case sensitive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This can be done using in-built Conditional Formatting option
In this formula date1 &amp; date2 can be provided using DATE function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Alternative formula used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</rPr>
          <t>COUNTIF option is not case sensitive
EXACT option is case sensitive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<sst xmlns="http://schemas.openxmlformats.org/spreadsheetml/2006/main" count="569" uniqueCount="297">
  <si>
    <t>Source</t>
  </si>
  <si>
    <t>https://exceljet.net/formulas</t>
  </si>
  <si>
    <t>Sr. No.</t>
  </si>
  <si>
    <t>Description</t>
  </si>
  <si>
    <t>Category</t>
  </si>
  <si>
    <t>Generic Formula</t>
  </si>
  <si>
    <t>Count cells equal to case sensitive</t>
  </si>
  <si>
    <t>Count</t>
  </si>
  <si>
    <t>SUMPRODUCT((--EXACT(value,range)))</t>
  </si>
  <si>
    <t>Count cells equal to one of many things</t>
  </si>
  <si>
    <t>SUMPRODUCT(COUNTIF(rng,things))</t>
  </si>
  <si>
    <t>Count cells not equal to many things</t>
  </si>
  <si>
    <t>COUNTA(range)-SUMPRODUCT(COUNTIF(range,things))</t>
  </si>
  <si>
    <t>Count cells over 100 characters</t>
  </si>
  <si>
    <t>SUMPRODUCT(--(LEN(range)&gt;100))</t>
  </si>
  <si>
    <t>Count cells that contain errors</t>
  </si>
  <si>
    <t>SUMPRODUCT(--ISERR(rng))</t>
  </si>
  <si>
    <t>Count cells that contain five characters</t>
  </si>
  <si>
    <t>COUNTIF(rng,"?????")</t>
  </si>
  <si>
    <t>Count cells that does not contain numbers</t>
  </si>
  <si>
    <t>COUNTA(rng)-COUNT(rng)</t>
  </si>
  <si>
    <t>Count cells that contain odd numbers</t>
  </si>
  <si>
    <t>SUMPRODUCT(--(MOD(rng,2)=1))</t>
  </si>
  <si>
    <t>Count cells that contain specific number</t>
  </si>
  <si>
    <t>SUMPRODUCT(--(ISNUMBER(FIND(text,rng))))</t>
  </si>
  <si>
    <t>Count cells that contain text</t>
  </si>
  <si>
    <t>COUNTIF(rng,"*"), COUNTIFS(range,"*",range,"&lt;&gt; "), SUMPRODUCT(--ISTEXT(rng))</t>
  </si>
  <si>
    <t>Count cells that do not contain</t>
  </si>
  <si>
    <t>COUNTIF(rng,"&lt;&gt;*txt*"), COUNTIF(rng,"&lt;&gt;*"&amp;a1&amp;"*"), COUNTIFS(range,"&lt;&gt;*a*",range,"?*")</t>
  </si>
  <si>
    <t>Count dates by day of week</t>
  </si>
  <si>
    <t>SUMPRODUCT(--(WEEKDAY(dates)=day_num)*(dates&lt;&gt;""))</t>
  </si>
  <si>
    <t>Count if row meets internal criteria</t>
  </si>
  <si>
    <t>SUMPRODUCT(--(logical_expression)), Eg. SUMPRODUCT(--(C5:C10&gt;D5:D10))</t>
  </si>
  <si>
    <t>Count if row meets multiple internal criteria</t>
  </si>
  <si>
    <t>SUMPRODUCT((logical1)*(logical2))</t>
  </si>
  <si>
    <t>Count long numbers without COUNTIF</t>
  </si>
  <si>
    <t>SUMPRODUCT(--(A:A=A1))</t>
  </si>
  <si>
    <t>Count numbers that begin with</t>
  </si>
  <si>
    <t>SUMPRODUCT(--(LEFT(range,chars)="xx"))</t>
  </si>
  <si>
    <t>Count occurrences in entire workbook</t>
  </si>
  <si>
    <t>SUMPRODUCT(COUNTIF(INDIRECT("'"&amp;sheets&amp;"'!"&amp;rng),criteria))</t>
  </si>
  <si>
    <t>Count unique numeric values in a range</t>
  </si>
  <si>
    <t>SUM(--(FREQUENCY(data,data)&gt;0))</t>
  </si>
  <si>
    <t>Count unique numeric or text values in a range</t>
  </si>
  <si>
    <t>SUMPRODUCT((data&lt;&gt;"")/COUNTIF(data,data&amp;""))</t>
  </si>
  <si>
    <t>Count visible rows in a filtered list</t>
  </si>
  <si>
    <t>SUBTOTAL(3,range)</t>
  </si>
  <si>
    <t>COUNTIFS with multiple criteria and OR logic</t>
  </si>
  <si>
    <t>SUM(COUNTIFS(range,{"red","blue","green"}))</t>
  </si>
  <si>
    <t>Running count of occurrence in list</t>
  </si>
  <si>
    <t>COUNTIF($A$1:A1,A1)</t>
  </si>
  <si>
    <t>Count missing values</t>
  </si>
  <si>
    <t>SUMPRODUCT(--(COUNTIF(list1,list2)=0))</t>
  </si>
  <si>
    <t>3D sum multiple worksheets</t>
  </si>
  <si>
    <t>Sum</t>
  </si>
  <si>
    <t>SUM(Sheet1:Sheet3!A1)</t>
  </si>
  <si>
    <t>Calculate running total</t>
  </si>
  <si>
    <t>SUM($A$1:A1)</t>
  </si>
  <si>
    <t>Sum by criteria</t>
  </si>
  <si>
    <t>SUMIF(range,criteria,sum range)</t>
  </si>
  <si>
    <t>Subtotal by invoice number</t>
  </si>
  <si>
    <t>IF(A2=A1,"",SUMIF(range,criteria,sum range)) OR IF(COUNTIF(range,criteria)=1,SUMIF(range,criteria,sumrange),"")</t>
  </si>
  <si>
    <t>Sum 2d range with multiple criteria</t>
  </si>
  <si>
    <t>SUMPRODUCT(data*(range1=criteria1)*(range2=criteria2))</t>
  </si>
  <si>
    <t>Sum top n values</t>
  </si>
  <si>
    <t>SUMPRODUCT(LARGE(rng,{1,2,n}))</t>
  </si>
  <si>
    <t>Sum top n values with criteria</t>
  </si>
  <si>
    <t>SUMPRODUCT(LARGE((range=criteria)*(values),{1,2,3,N}))</t>
  </si>
  <si>
    <t>Sum smallest n values with criteria in same column</t>
  </si>
  <si>
    <t>SUMPRODUCT(SMALL(IF((range&gt;criteria value)*(range)=0,"",range),{1,2,3,N})</t>
  </si>
  <si>
    <t>Sum by month</t>
  </si>
  <si>
    <t>SUMIFS(values,date_range,"&gt;="&amp;A1,date_range,"&lt;="&amp;EOMONTH(A1,0))</t>
  </si>
  <si>
    <t>Sum by month ignore year</t>
  </si>
  <si>
    <t>SUMPRODUCT((MONTH(dates)=Month(lookup cell))*amounts)</t>
  </si>
  <si>
    <t>Sum by week</t>
  </si>
  <si>
    <t>SUMIFS(value,date,"&gt;="&amp;A1,date,"&lt;"&amp;A1+7)</t>
  </si>
  <si>
    <t>Sum if between</t>
  </si>
  <si>
    <t>SUMIFS(sum_range,criteria_range,"&gt;500",criteria_range,"&lt;1000")</t>
  </si>
  <si>
    <t>Sum if by year</t>
  </si>
  <si>
    <t>SUMIFS(sum_range,date,"&gt;="&amp;DATE(year),date,"&lt;="&amp;DATE(year,12,31))</t>
  </si>
  <si>
    <t>Sum if cell contains text in another cell</t>
  </si>
  <si>
    <t>SUMIF(range,"*"&amp;A1&amp;"*",sum_range)</t>
  </si>
  <si>
    <t>Sum if cells contain an asterisk</t>
  </si>
  <si>
    <t>SUMIF(range,"*~**",sum_range)</t>
  </si>
  <si>
    <t>Sum if cells contain either x or y</t>
  </si>
  <si>
    <t>SUMPRODUCT(--((ISNUMBER(SEARCH("cat",rng1)) + ISNUMBER(SEARCH("rat",rng1)))&gt;0),rng2)</t>
  </si>
  <si>
    <t>Sum if equal to one of many things</t>
  </si>
  <si>
    <t>SUMPRODUCT(SUMIF(range,things,values))</t>
  </si>
  <si>
    <t>Sum sales in last 30 days by ID</t>
  </si>
  <si>
    <t>SUMIFS(amounts,dates,"&gt;="&amp;TODAY()-30,range,criteria)</t>
  </si>
  <si>
    <t>Sum visible rows in a filtered list</t>
  </si>
  <si>
    <t>SUBTOTAL(9,range)</t>
  </si>
  <si>
    <t>SUMIFS with multiple criteria and OR logic</t>
  </si>
  <si>
    <t>SUM(SUMIFS(sum_range,criteria_range,{"red","blue"}))</t>
  </si>
  <si>
    <t>Average last n values</t>
  </si>
  <si>
    <t>Average</t>
  </si>
  <si>
    <t>AVERAGE(OFFSET(A1,COUNT(A:A),0,-N))</t>
  </si>
  <si>
    <t>Average top n values</t>
  </si>
  <si>
    <t>AVERAGE(LARGE(range,{1,2,n}))</t>
  </si>
  <si>
    <t>Large with criteria</t>
  </si>
  <si>
    <t>Min &amp; Max</t>
  </si>
  <si>
    <t>{=LARGE(IF(range=criteria,values),n)}</t>
  </si>
  <si>
    <t>Basic INDEX MATCH exact(Vlookup Alternative)</t>
  </si>
  <si>
    <t>Lookup</t>
  </si>
  <si>
    <t>INDEX(data,MATCH(value,lookup_column,FALSE),column)</t>
  </si>
  <si>
    <t>First match in range with wildcard</t>
  </si>
  <si>
    <t>INDEX(data,MATCH(val&amp;"*",range,0))</t>
  </si>
  <si>
    <t>Calculate grades with VLOOKUP(Approx.)</t>
  </si>
  <si>
    <t>VLOOKUP(score,key,2,TRUE)</t>
  </si>
  <si>
    <t>Case-sensitive lookup with INDEX and MATCH</t>
  </si>
  <si>
    <t>{=INDEX(data,MATCH(TRUE,EXACT(val,lookup_col),0),col_num)}</t>
  </si>
  <si>
    <t>Find longest string in column</t>
  </si>
  <si>
    <t>{=INDEX(range,MATCH(MAX(LEN(range)),LEN(range),0))}</t>
  </si>
  <si>
    <t>Find missing values</t>
  </si>
  <si>
    <t>IF(COUNTIF(list,value),"OK","Missing")</t>
  </si>
  <si>
    <t>Get information corresponding to max value</t>
  </si>
  <si>
    <t>INDEX(range1,MATCH(MAX(range2),range2,0)</t>
  </si>
  <si>
    <t>INDEX and MATCH with multiple criteria</t>
  </si>
  <si>
    <t>{=INDEX(range1,MATCH(1,(A1=range2)*(B1=range3)*(C1=range4),0))}</t>
  </si>
  <si>
    <t>Lookup lowest value</t>
  </si>
  <si>
    <t>INDEX(range,MATCH(MIN(vals),vals,0))</t>
  </si>
  <si>
    <t>Max if criteria match</t>
  </si>
  <si>
    <t>{=MAX(IF(criteria_range=criteria,value_range))}</t>
  </si>
  <si>
    <t>Two-way lookup with INDEX and MATCH</t>
  </si>
  <si>
    <t>INDEX(data,MATCH(val,rows,1),MATCH(val,columns,1))</t>
  </si>
  <si>
    <t>VLOOKUP with 2 lookup tables</t>
  </si>
  <si>
    <t>VLOOKUP(value,IF(test,table1,table2),col,match)</t>
  </si>
  <si>
    <t>VLOOKUP with numbers stored as text</t>
  </si>
  <si>
    <t>VLOOKUP(val&amp;"",table,col,0)</t>
  </si>
  <si>
    <t>Highlight 3 smallest values with criteria</t>
  </si>
  <si>
    <t>Conditional formatting</t>
  </si>
  <si>
    <t>AND(A1=criteria,B1&lt;=SMALL(IF(criteria,values),3))</t>
  </si>
  <si>
    <t>Conditional formatting highlight target percentage</t>
  </si>
  <si>
    <t>multiple conditional formatting rules, with each rule targeting a different threshold</t>
  </si>
  <si>
    <t>Find duplicate values in two columns</t>
  </si>
  <si>
    <t>AND(COUNTIF(range1,A1),COUNTIF(range2,A1))</t>
  </si>
  <si>
    <t>Highlight bottom N values</t>
  </si>
  <si>
    <t>A1&lt;=SMALL(range,N)</t>
  </si>
  <si>
    <t>Highlight cells that begin with</t>
  </si>
  <si>
    <t>SEARCH("substring",A1)=1 OR FIND("substring",A1)=1</t>
  </si>
  <si>
    <t>Highlight cells that contain</t>
  </si>
  <si>
    <t>ISNUMBER(SEARCH(substring,A1)) OR ISNUMBER(FIND(substring,A1))</t>
  </si>
  <si>
    <t>Highlight cells that end with</t>
  </si>
  <si>
    <t>COUNTIF(A1,"*text") OR EXACT(RIGHT(A1,LEN(substring)),substring)</t>
  </si>
  <si>
    <t>Highlight dates between</t>
  </si>
  <si>
    <t>AND(A1&gt;=date1,A1&lt;=date2)</t>
  </si>
  <si>
    <t>Highlight dates in same month and year</t>
  </si>
  <si>
    <t>MONTH(A1)&amp;YEAR(A1)=MONTH(date)&amp;YEAR(date)</t>
  </si>
  <si>
    <t>Highlight dates in the next N days</t>
  </si>
  <si>
    <t>AND(A1&gt;TODAY(),A1&lt;=(TODAY()+days))</t>
  </si>
  <si>
    <t>Highlight dates that are weekends</t>
  </si>
  <si>
    <t>OR(WEEKDAY(A1)=7,WEEKDAY(A1)=1)</t>
  </si>
  <si>
    <t>Highlight values that occur N number of times</t>
  </si>
  <si>
    <t>COUNTIF(data,A1)&gt;N</t>
  </si>
  <si>
    <t>Highlight integers only</t>
  </si>
  <si>
    <t>MOD(A1,1)=0</t>
  </si>
  <si>
    <t>Highlight column differences</t>
  </si>
  <si>
    <t>NOT(EXACT($B2,$C2))</t>
  </si>
  <si>
    <t>Highlight missing values</t>
  </si>
  <si>
    <t>COUNTIF(list,A1)=0 OR SUMPRODUCT((--EXACT(A1,list)))=0</t>
  </si>
  <si>
    <t>Highlight every other row</t>
  </si>
  <si>
    <t>ISEVEN(ROW())</t>
  </si>
  <si>
    <t>Shade alternating groups of n rows</t>
  </si>
  <si>
    <t>ISEVEN(CEILING(ROW()-offset position,n)/n)</t>
  </si>
  <si>
    <t>James</t>
  </si>
  <si>
    <t>List 1</t>
  </si>
  <si>
    <t>List 2</t>
  </si>
  <si>
    <t>Missing in List 1</t>
  </si>
  <si>
    <t>jamaS</t>
  </si>
  <si>
    <t>K</t>
  </si>
  <si>
    <t>Z</t>
  </si>
  <si>
    <t>23 ink</t>
  </si>
  <si>
    <t>ISERROR(MATCH(J2,$I$2:$I$9,0))</t>
  </si>
  <si>
    <t>t</t>
  </si>
  <si>
    <t>Kislay, cat, rat</t>
  </si>
  <si>
    <t>a</t>
  </si>
  <si>
    <t>I</t>
  </si>
  <si>
    <t>CONCATENATE(Transpose)</t>
  </si>
  <si>
    <t>cat</t>
  </si>
  <si>
    <t>Sumit, cat,bat,sat</t>
  </si>
  <si>
    <t>S</t>
  </si>
  <si>
    <t>T</t>
  </si>
  <si>
    <t>M</t>
  </si>
  <si>
    <t>mat</t>
  </si>
  <si>
    <t>Riju,rat</t>
  </si>
  <si>
    <t>R</t>
  </si>
  <si>
    <t>P</t>
  </si>
  <si>
    <t>A</t>
  </si>
  <si>
    <t>Kaju, mat</t>
  </si>
  <si>
    <t>Ka</t>
  </si>
  <si>
    <t>abc</t>
  </si>
  <si>
    <t>Q</t>
  </si>
  <si>
    <t>B</t>
  </si>
  <si>
    <t>D</t>
  </si>
  <si>
    <t>L</t>
  </si>
  <si>
    <t>123456789012345678</t>
  </si>
  <si>
    <t>b</t>
  </si>
  <si>
    <t>bio 200</t>
  </si>
  <si>
    <t>calc 100</t>
  </si>
  <si>
    <t>calc</t>
  </si>
  <si>
    <t>123456789012345679</t>
  </si>
  <si>
    <t>c</t>
  </si>
  <si>
    <t>chem 600</t>
  </si>
  <si>
    <t>math 200</t>
  </si>
  <si>
    <t>bio</t>
  </si>
  <si>
    <t>=INDEX(B5:D5,MATCH(E5&amp;"*",B5:D5,0))</t>
  </si>
  <si>
    <t>123456789012345677</t>
  </si>
  <si>
    <t>d</t>
  </si>
  <si>
    <t>a,b,c,d,e</t>
  </si>
  <si>
    <t>phy 300</t>
  </si>
  <si>
    <t>phy</t>
  </si>
  <si>
    <t>e</t>
  </si>
  <si>
    <t>sat</t>
  </si>
  <si>
    <t>Scores</t>
  </si>
  <si>
    <t>Bins</t>
  </si>
  <si>
    <t>Product</t>
  </si>
  <si>
    <t>Price</t>
  </si>
  <si>
    <t>Amount</t>
  </si>
  <si>
    <t>Price=Amount</t>
  </si>
  <si>
    <t>he</t>
  </si>
  <si>
    <t xml:space="preserve"> </t>
  </si>
  <si>
    <t>E</t>
  </si>
  <si>
    <t>thlo</t>
  </si>
  <si>
    <t>IFS</t>
  </si>
  <si>
    <t>hell</t>
  </si>
  <si>
    <t>Jan</t>
  </si>
  <si>
    <t>Feb</t>
  </si>
  <si>
    <t>Month</t>
  </si>
  <si>
    <t>Value</t>
  </si>
  <si>
    <t>C</t>
  </si>
  <si>
    <t>F</t>
  </si>
  <si>
    <t>Kislay</t>
  </si>
  <si>
    <t>KISLAY</t>
  </si>
  <si>
    <t>Sumit</t>
  </si>
  <si>
    <t>SUMIT</t>
  </si>
  <si>
    <t>Apple</t>
  </si>
  <si>
    <t>raja</t>
  </si>
  <si>
    <t>RRedd</t>
  </si>
  <si>
    <t>Red</t>
  </si>
  <si>
    <t>Lowest Price</t>
  </si>
  <si>
    <t>black</t>
  </si>
  <si>
    <t>Product Name</t>
  </si>
  <si>
    <t>Blue</t>
  </si>
  <si>
    <t>Cancel</t>
  </si>
  <si>
    <t>Test Sheet 2</t>
  </si>
  <si>
    <t>Test Sheet 3</t>
  </si>
  <si>
    <t>apple</t>
  </si>
  <si>
    <t>kiwi</t>
  </si>
  <si>
    <t>red</t>
  </si>
  <si>
    <t>grape</t>
  </si>
  <si>
    <t>blue</t>
  </si>
  <si>
    <t>APPle</t>
  </si>
  <si>
    <t>green</t>
  </si>
  <si>
    <t>101T</t>
  </si>
  <si>
    <t>mango</t>
  </si>
  <si>
    <t>squash</t>
  </si>
  <si>
    <t>Colour</t>
  </si>
  <si>
    <t>GREEN</t>
  </si>
  <si>
    <t>bluack</t>
  </si>
  <si>
    <t>yellow</t>
  </si>
  <si>
    <t>APPLE</t>
  </si>
  <si>
    <t>KIWIW</t>
  </si>
  <si>
    <t>KIWI</t>
  </si>
  <si>
    <t>Monday</t>
  </si>
  <si>
    <t>Date</t>
  </si>
  <si>
    <t>Name</t>
  </si>
  <si>
    <t>Mar</t>
  </si>
  <si>
    <t>Apr</t>
  </si>
  <si>
    <t>guava</t>
  </si>
  <si>
    <t>beat</t>
  </si>
  <si>
    <t>orange</t>
  </si>
  <si>
    <t>banana</t>
  </si>
  <si>
    <t>header</t>
  </si>
  <si>
    <t>Quantity</t>
  </si>
  <si>
    <t>QUantity</t>
  </si>
  <si>
    <t>Smallest</t>
  </si>
  <si>
    <t>Color</t>
  </si>
  <si>
    <t>Green</t>
  </si>
  <si>
    <t>bc</t>
  </si>
  <si>
    <t>BC</t>
  </si>
  <si>
    <t>aBC</t>
  </si>
  <si>
    <t>abcd</t>
  </si>
  <si>
    <t>ab</t>
  </si>
  <si>
    <t>cdebc</t>
  </si>
  <si>
    <t>frg</t>
  </si>
  <si>
    <t>frgBC</t>
  </si>
  <si>
    <t>ghf</t>
  </si>
  <si>
    <t>jk</t>
  </si>
  <si>
    <t>abcdefghijk</t>
  </si>
  <si>
    <t>ABC</t>
  </si>
  <si>
    <t>Greater than 1</t>
  </si>
  <si>
    <t>MY</t>
  </si>
  <si>
    <t>my</t>
  </si>
  <si>
    <t>your</t>
  </si>
  <si>
    <t>Black</t>
  </si>
  <si>
    <t>Title</t>
  </si>
  <si>
    <t>Excel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</si>
</sst>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/d/yy\ h:mm\ AM/PM;@"/>
    <numFmt numFmtId="165" formatCode="d\ &quot;day&quot;\ h:mm:ss"/>
    <numFmt numFmtId="166" formatCode="d\ &quot;Days&quot;\ h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15" fontId="0" fillId="0" borderId="0" xfId="0" applyNumberFormat="1"/>
    <xf numFmtId="20" fontId="0" fillId="0" borderId="0" xfId="0" applyNumberFormat="1"/>
    <xf numFmtId="22" fontId="0" fillId="0" borderId="0" xfId="0" applyNumberFormat="1"/>
    <xf numFmtId="18" fontId="0" fillId="0" borderId="0" xfId="0" applyNumberFormat="1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46" fontId="0" fillId="0" borderId="0" xfId="0" applyNumberFormat="1"/>
    <xf numFmtId="166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/>
    <xf numFmtId="0" fontId="0" fillId="0" borderId="1" xfId="0" applyBorder="1"/>
    <xf numFmtId="0" fontId="1" fillId="2" borderId="1" xfId="0" applyFont="1" applyFill="1" applyBorder="1"/>
    <xf numFmtId="0" fontId="4" fillId="0" borderId="0" xfId="0" applyFont="1"/>
    <xf numFmtId="2" fontId="0" fillId="0" borderId="0" xfId="0" applyNumberFormat="1"/>
    <xf numFmtId="0" fontId="1" fillId="3" borderId="0" xfId="0" applyFont="1" applyFill="1"/>
    <xf numFmtId="49" fontId="0" fillId="0" borderId="0" xfId="0" applyNumberFormat="1"/>
    <xf numFmtId="17" fontId="0" fillId="0" borderId="0" xfId="0" applyNumberFormat="1"/>
    <xf numFmtId="0" fontId="0" fillId="0" borderId="0" xfId="0" quotePrefix="1"/>
    <xf numFmtId="14" fontId="1" fillId="0" borderId="0" xfId="0" applyNumberFormat="1" applyFont="1"/>
    <xf numFmtId="0" fontId="7" fillId="0" borderId="0" xfId="0" applyFont="1"/>
    <xf numFmtId="0" fontId="9" fillId="0" borderId="0" xfId="1" applyFont="1" applyAlignment="1" applyProtection="1"/>
    <xf numFmtId="0" fontId="8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3" tint="0.39994506668294322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30BD3C4-839B-46E9-A5D0-F3E1E94D1730}">
  <we:reference id="WA104100404" version="1.0.0.0" store="en-US" storeType="omex"/>
  <we:alternateReferences>
    <we:reference id="WA104100404" version="1.0.0.0" store="omex" storeType="omex"/>
  </we:alternateReferences>
  <we:properties>
    <we:property name="UniqueID" value="&quot;20222291648529524503&quot;"/>
    <we:property name="fyQL" value="&quot;&quot;"/>
  </we:properties>
  <we:bindings>
    <we:binding id="refEdit" type="matrix" appref="{03A2ED0A-676D-41F1-A9C0-7778119F7B5F}"/>
    <we:binding id="Worker" type="matrix" appref="{7F151C2D-BFFA-408C-8D04-07AB0487DB8D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</we:extLst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xceljet.net/formula/subtotal-by-invoice-number" TargetMode="External"/><Relationship Id="rId21" Type="http://schemas.openxmlformats.org/officeDocument/2006/relationships/hyperlink" Target="https://exceljet.net/formula/count-dates-by-day-of-week" TargetMode="External"/><Relationship Id="rId42" Type="http://schemas.openxmlformats.org/officeDocument/2006/relationships/hyperlink" Target="https://exceljet.net/formula/basic-index-match-exact" TargetMode="External"/><Relationship Id="rId47" Type="http://schemas.openxmlformats.org/officeDocument/2006/relationships/hyperlink" Target="https://exceljet.net/formula/find-missing-values" TargetMode="External"/><Relationship Id="rId63" Type="http://schemas.openxmlformats.org/officeDocument/2006/relationships/hyperlink" Target="https://exceljet.net/formula/highlight-cells-that-contain" TargetMode="External"/><Relationship Id="rId68" Type="http://schemas.openxmlformats.org/officeDocument/2006/relationships/hyperlink" Target="https://exceljet.net/formula/highlight-dates-in-the-next-n-days" TargetMode="External"/><Relationship Id="rId16" Type="http://schemas.openxmlformats.org/officeDocument/2006/relationships/hyperlink" Target="https://exceljet.net/formula/count-occurrences-in-entire-workbook" TargetMode="External"/><Relationship Id="rId11" Type="http://schemas.openxmlformats.org/officeDocument/2006/relationships/hyperlink" Target="https://exceljet.net/formula/count-cells-that-contain-text" TargetMode="External"/><Relationship Id="rId24" Type="http://schemas.openxmlformats.org/officeDocument/2006/relationships/hyperlink" Target="https://exceljet.net/formula/calculate-running-total" TargetMode="External"/><Relationship Id="rId32" Type="http://schemas.openxmlformats.org/officeDocument/2006/relationships/hyperlink" Target="https://exceljet.net/formula/sum-if-by-year" TargetMode="External"/><Relationship Id="rId37" Type="http://schemas.openxmlformats.org/officeDocument/2006/relationships/hyperlink" Target="https://exceljet.net/formula/sum-sales-in-last-30-days-by-id" TargetMode="External"/><Relationship Id="rId40" Type="http://schemas.openxmlformats.org/officeDocument/2006/relationships/hyperlink" Target="https://exceljet.net/formula/sum-visible-rows-in-a-filtered-list" TargetMode="External"/><Relationship Id="rId45" Type="http://schemas.openxmlformats.org/officeDocument/2006/relationships/hyperlink" Target="https://exceljet.net/formula/case-sensitive-index-and-match" TargetMode="External"/><Relationship Id="rId53" Type="http://schemas.openxmlformats.org/officeDocument/2006/relationships/hyperlink" Target="https://exceljet.net/formula/two-way-lookup-with-index-and-match" TargetMode="External"/><Relationship Id="rId58" Type="http://schemas.openxmlformats.org/officeDocument/2006/relationships/hyperlink" Target="https://exceljet.net/formula/highlight-3-smallest-values-with-criteria" TargetMode="External"/><Relationship Id="rId66" Type="http://schemas.openxmlformats.org/officeDocument/2006/relationships/hyperlink" Target="https://exceljet.net/formula/highlight-dates-between" TargetMode="External"/><Relationship Id="rId74" Type="http://schemas.openxmlformats.org/officeDocument/2006/relationships/hyperlink" Target="https://exceljet.net/formula/shade-alternating-groups-of-n-rows" TargetMode="External"/><Relationship Id="rId79" Type="http://schemas.openxmlformats.org/officeDocument/2006/relationships/comments" Target="../comments1.xml"/><Relationship Id="rId5" Type="http://schemas.openxmlformats.org/officeDocument/2006/relationships/hyperlink" Target="https://exceljet.net/formula/count-cells-over-100-characters" TargetMode="External"/><Relationship Id="rId61" Type="http://schemas.openxmlformats.org/officeDocument/2006/relationships/hyperlink" Target="https://exceljet.net/formula/highlight-bottom-values" TargetMode="External"/><Relationship Id="rId19" Type="http://schemas.openxmlformats.org/officeDocument/2006/relationships/hyperlink" Target="https://exceljet.net/formula/countifs-with-multiple-criteria-and-or-logic" TargetMode="External"/><Relationship Id="rId14" Type="http://schemas.openxmlformats.org/officeDocument/2006/relationships/hyperlink" Target="https://exceljet.net/formula/count-long-numbers-without-countif" TargetMode="External"/><Relationship Id="rId22" Type="http://schemas.openxmlformats.org/officeDocument/2006/relationships/hyperlink" Target="https://exceljet.net/formula/count-if-row-meets-multiple-internal-criteria" TargetMode="External"/><Relationship Id="rId27" Type="http://schemas.openxmlformats.org/officeDocument/2006/relationships/hyperlink" Target="https://exceljet.net/formula/sum-2d-range-with-multiple-criteria" TargetMode="External"/><Relationship Id="rId30" Type="http://schemas.openxmlformats.org/officeDocument/2006/relationships/hyperlink" Target="https://exceljet.net/formula/sum-by-month-ignore-year" TargetMode="External"/><Relationship Id="rId35" Type="http://schemas.openxmlformats.org/officeDocument/2006/relationships/hyperlink" Target="https://exceljet.net/formula/sum-if-cells-contain-either-x-or-y" TargetMode="External"/><Relationship Id="rId43" Type="http://schemas.openxmlformats.org/officeDocument/2006/relationships/hyperlink" Target="https://exceljet.net/formula/calculate-grades-with-vlookup" TargetMode="External"/><Relationship Id="rId48" Type="http://schemas.openxmlformats.org/officeDocument/2006/relationships/hyperlink" Target="https://exceljet.net/formula/first-match-in-range-with-wildcard" TargetMode="External"/><Relationship Id="rId56" Type="http://schemas.openxmlformats.org/officeDocument/2006/relationships/hyperlink" Target="https://exceljet.net/formula/average-last-5-values" TargetMode="External"/><Relationship Id="rId64" Type="http://schemas.openxmlformats.org/officeDocument/2006/relationships/hyperlink" Target="https://exceljet.net/formula/highlight-cells-that-end-with" TargetMode="External"/><Relationship Id="rId69" Type="http://schemas.openxmlformats.org/officeDocument/2006/relationships/hyperlink" Target="https://exceljet.net/formula/highlight-dates-that-are-weekend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exceljet.net/formula/count-cells-that-contain-numbers" TargetMode="External"/><Relationship Id="rId51" Type="http://schemas.openxmlformats.org/officeDocument/2006/relationships/hyperlink" Target="https://exceljet.net/formula/lookup-lowest-value" TargetMode="External"/><Relationship Id="rId72" Type="http://schemas.openxmlformats.org/officeDocument/2006/relationships/hyperlink" Target="https://exceljet.net/formula/highlight-integers-only" TargetMode="External"/><Relationship Id="rId3" Type="http://schemas.openxmlformats.org/officeDocument/2006/relationships/hyperlink" Target="https://exceljet.net/formula/count-cells-equal-to-case-sensitive" TargetMode="External"/><Relationship Id="rId12" Type="http://schemas.openxmlformats.org/officeDocument/2006/relationships/hyperlink" Target="https://exceljet.net/formula/count-cells-that-do-not-contain" TargetMode="External"/><Relationship Id="rId17" Type="http://schemas.openxmlformats.org/officeDocument/2006/relationships/hyperlink" Target="https://exceljet.net/formula/count-unique-numeric-values-in-a-range" TargetMode="External"/><Relationship Id="rId25" Type="http://schemas.openxmlformats.org/officeDocument/2006/relationships/hyperlink" Target="https://exceljet.net/formula/subtotal-by-color" TargetMode="External"/><Relationship Id="rId33" Type="http://schemas.openxmlformats.org/officeDocument/2006/relationships/hyperlink" Target="https://exceljet.net/formula/sum-if-cell-contains-text-in-another-cell" TargetMode="External"/><Relationship Id="rId38" Type="http://schemas.openxmlformats.org/officeDocument/2006/relationships/hyperlink" Target="https://exceljet.net/formula/sum-top-n-values" TargetMode="External"/><Relationship Id="rId46" Type="http://schemas.openxmlformats.org/officeDocument/2006/relationships/hyperlink" Target="https://exceljet.net/formula/find-longest-string-in-column" TargetMode="External"/><Relationship Id="rId59" Type="http://schemas.openxmlformats.org/officeDocument/2006/relationships/hyperlink" Target="https://exceljet.net/formula/conditional-formatting-highlight-target-percentage" TargetMode="External"/><Relationship Id="rId67" Type="http://schemas.openxmlformats.org/officeDocument/2006/relationships/hyperlink" Target="https://exceljet.net/formula/highlight-dates-in-same-month-and-year" TargetMode="External"/><Relationship Id="rId20" Type="http://schemas.openxmlformats.org/officeDocument/2006/relationships/hyperlink" Target="https://exceljet.net/formula/running-count-of-occurrence-in-list" TargetMode="External"/><Relationship Id="rId41" Type="http://schemas.openxmlformats.org/officeDocument/2006/relationships/hyperlink" Target="https://exceljet.net/formula/sumifs-with-multiple-criteria-and-or-logic" TargetMode="External"/><Relationship Id="rId54" Type="http://schemas.openxmlformats.org/officeDocument/2006/relationships/hyperlink" Target="https://exceljet.net/formula/vlookup-with-2-lookup-tables" TargetMode="External"/><Relationship Id="rId62" Type="http://schemas.openxmlformats.org/officeDocument/2006/relationships/hyperlink" Target="https://exceljet.net/formula/highlight-cells-that-begin-with" TargetMode="External"/><Relationship Id="rId70" Type="http://schemas.openxmlformats.org/officeDocument/2006/relationships/hyperlink" Target="https://exceljet.net/formula/highlight-duplicate-values" TargetMode="External"/><Relationship Id="rId75" Type="http://schemas.openxmlformats.org/officeDocument/2006/relationships/hyperlink" Target="https://exceljet.net/formula/count-unique-values-in-a-range-with-countif" TargetMode="External"/><Relationship Id="rId1" Type="http://schemas.openxmlformats.org/officeDocument/2006/relationships/hyperlink" Target="https://exceljet.net/formulas" TargetMode="External"/><Relationship Id="rId6" Type="http://schemas.openxmlformats.org/officeDocument/2006/relationships/hyperlink" Target="https://exceljet.net/formula/count-cells-that-contain-errors" TargetMode="External"/><Relationship Id="rId15" Type="http://schemas.openxmlformats.org/officeDocument/2006/relationships/hyperlink" Target="https://exceljet.net/formula/count-numbers-that-begin-with" TargetMode="External"/><Relationship Id="rId23" Type="http://schemas.openxmlformats.org/officeDocument/2006/relationships/hyperlink" Target="https://exceljet.net/formula/3d-sum-multiple-worksheets" TargetMode="External"/><Relationship Id="rId28" Type="http://schemas.openxmlformats.org/officeDocument/2006/relationships/hyperlink" Target="https://exceljet.net/formula/sum-by-month" TargetMode="External"/><Relationship Id="rId36" Type="http://schemas.openxmlformats.org/officeDocument/2006/relationships/hyperlink" Target="https://exceljet.net/formula/sum-if-equal-to-one-of-many-things" TargetMode="External"/><Relationship Id="rId49" Type="http://schemas.openxmlformats.org/officeDocument/2006/relationships/hyperlink" Target="https://exceljet.net/formula/get-information-corresponding-to-max-value" TargetMode="External"/><Relationship Id="rId57" Type="http://schemas.openxmlformats.org/officeDocument/2006/relationships/hyperlink" Target="https://exceljet.net/formula/large-with-criteria" TargetMode="External"/><Relationship Id="rId10" Type="http://schemas.openxmlformats.org/officeDocument/2006/relationships/hyperlink" Target="https://exceljet.net/formula/count-cells-that-contain-specific-text" TargetMode="External"/><Relationship Id="rId31" Type="http://schemas.openxmlformats.org/officeDocument/2006/relationships/hyperlink" Target="https://exceljet.net/formula/sum-if-between" TargetMode="External"/><Relationship Id="rId44" Type="http://schemas.openxmlformats.org/officeDocument/2006/relationships/hyperlink" Target="https://exceljet.net/formula/count-missing-values" TargetMode="External"/><Relationship Id="rId52" Type="http://schemas.openxmlformats.org/officeDocument/2006/relationships/hyperlink" Target="https://exceljet.net/formula/max-if-criteria-match" TargetMode="External"/><Relationship Id="rId60" Type="http://schemas.openxmlformats.org/officeDocument/2006/relationships/hyperlink" Target="https://exceljet.net/formula/find-duplicate-values-in-two-columns" TargetMode="External"/><Relationship Id="rId65" Type="http://schemas.openxmlformats.org/officeDocument/2006/relationships/hyperlink" Target="https://exceljet.net/formula/highlight-column-differences" TargetMode="External"/><Relationship Id="rId73" Type="http://schemas.openxmlformats.org/officeDocument/2006/relationships/hyperlink" Target="https://exceljet.net/formula/highlight-missing-values" TargetMode="External"/><Relationship Id="rId78" Type="http://schemas.openxmlformats.org/officeDocument/2006/relationships/vmlDrawing" Target="../drawings/vmlDrawing1.vml"/><Relationship Id="rId4" Type="http://schemas.openxmlformats.org/officeDocument/2006/relationships/hyperlink" Target="https://exceljet.net/formula/count-cells-not-equal-to-many-things" TargetMode="External"/><Relationship Id="rId9" Type="http://schemas.openxmlformats.org/officeDocument/2006/relationships/hyperlink" Target="https://exceljet.net/formula/count-cells-that-contain-odd-numbers" TargetMode="External"/><Relationship Id="rId13" Type="http://schemas.openxmlformats.org/officeDocument/2006/relationships/hyperlink" Target="https://exceljet.net/formula/count-if-row-meets-internal-criteria" TargetMode="External"/><Relationship Id="rId18" Type="http://schemas.openxmlformats.org/officeDocument/2006/relationships/hyperlink" Target="https://exceljet.net/formula/count-visible-rows-in-a-filtered-list" TargetMode="External"/><Relationship Id="rId39" Type="http://schemas.openxmlformats.org/officeDocument/2006/relationships/hyperlink" Target="https://exceljet.net/formula/sum-top-n-values-with-criteria" TargetMode="External"/><Relationship Id="rId34" Type="http://schemas.openxmlformats.org/officeDocument/2006/relationships/hyperlink" Target="https://exceljet.net/formula/sum-if-cells-contain-an-asterisk" TargetMode="External"/><Relationship Id="rId50" Type="http://schemas.openxmlformats.org/officeDocument/2006/relationships/hyperlink" Target="https://exceljet.net/formula/index-and-match-with-multiple-criteria" TargetMode="External"/><Relationship Id="rId55" Type="http://schemas.openxmlformats.org/officeDocument/2006/relationships/hyperlink" Target="https://exceljet.net/formula/vlookup-with-numbers-and-text" TargetMode="External"/><Relationship Id="rId76" Type="http://schemas.openxmlformats.org/officeDocument/2006/relationships/hyperlink" Target="https://exceljet.net/formula/average-top-3-scores" TargetMode="External"/><Relationship Id="rId7" Type="http://schemas.openxmlformats.org/officeDocument/2006/relationships/hyperlink" Target="https://exceljet.net/formula/count-cells-that-contain-five-characters" TargetMode="External"/><Relationship Id="rId71" Type="http://schemas.openxmlformats.org/officeDocument/2006/relationships/hyperlink" Target="https://exceljet.net/formula/highlight-every-other-row" TargetMode="External"/><Relationship Id="rId2" Type="http://schemas.openxmlformats.org/officeDocument/2006/relationships/hyperlink" Target="https://exceljet.net/formula/count-cells-equal-to-one-of-many-things" TargetMode="External"/><Relationship Id="rId29" Type="http://schemas.openxmlformats.org/officeDocument/2006/relationships/hyperlink" Target="https://exceljet.net/formula/sum-by-wee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78"/>
  <sheetViews>
    <sheetView tabSelected="1" zoomScaleNormal="100" workbookViewId="0">
      <pane ySplit="2" topLeftCell="A3" activePane="bottomLeft" state="frozen"/>
      <selection activeCell="D1" sqref="D1"/>
      <selection pane="bottomLeft" activeCell="A3" sqref="A3"/>
    </sheetView>
  </sheetViews>
  <sheetFormatPr defaultRowHeight="15" x14ac:dyDescent="0.25"/>
  <cols>
    <col min="1" max="1" width="7" style="13" bestFit="1" customWidth="1"/>
    <col min="2" max="2" width="47.140625" bestFit="1" customWidth="1"/>
    <col min="3" max="3" width="21.5703125" bestFit="1" customWidth="1"/>
    <col min="4" max="4" width="99" customWidth="1"/>
  </cols>
  <sheetData>
    <row r="1" spans="1:4" x14ac:dyDescent="0.25">
      <c r="A1" s="14" t="s">
        <v>0</v>
      </c>
      <c r="B1" s="15" t="s">
        <v>1</v>
      </c>
      <c r="C1" s="16"/>
    </row>
    <row r="2" spans="1:4" x14ac:dyDescent="0.25">
      <c r="A2" s="14" t="s">
        <v>2</v>
      </c>
      <c r="B2" s="17" t="s">
        <v>3</v>
      </c>
      <c r="C2" s="17" t="s">
        <v>4</v>
      </c>
      <c r="D2" s="17" t="s">
        <v>5</v>
      </c>
    </row>
    <row r="3" spans="1:4" x14ac:dyDescent="0.25">
      <c r="A3" s="13">
        <v>1</v>
      </c>
      <c r="B3" s="10" t="s">
        <v>6</v>
      </c>
      <c r="C3" s="26" t="s">
        <v>7</v>
      </c>
      <c r="D3" t="s">
        <v>8</v>
      </c>
    </row>
    <row r="4" spans="1:4" x14ac:dyDescent="0.25">
      <c r="A4" s="13">
        <v>2</v>
      </c>
      <c r="B4" t="s">
        <v>9</v>
      </c>
      <c r="C4" s="26" t="s">
        <v>7</v>
      </c>
      <c r="D4" t="s">
        <v>10</v>
      </c>
    </row>
    <row r="5" spans="1:4" x14ac:dyDescent="0.25">
      <c r="A5" s="13">
        <v>3</v>
      </c>
      <c r="B5" s="10" t="s">
        <v>11</v>
      </c>
      <c r="C5" s="26" t="s">
        <v>7</v>
      </c>
      <c r="D5" t="s">
        <v>12</v>
      </c>
    </row>
    <row r="6" spans="1:4" x14ac:dyDescent="0.25">
      <c r="A6" s="13">
        <v>4</v>
      </c>
      <c r="B6" t="s">
        <v>13</v>
      </c>
      <c r="C6" s="26" t="s">
        <v>7</v>
      </c>
      <c r="D6" t="s">
        <v>14</v>
      </c>
    </row>
    <row r="7" spans="1:4" x14ac:dyDescent="0.25">
      <c r="A7" s="13">
        <v>5</v>
      </c>
      <c r="B7" t="s">
        <v>15</v>
      </c>
      <c r="C7" s="26" t="s">
        <v>7</v>
      </c>
      <c r="D7" t="s">
        <v>16</v>
      </c>
    </row>
    <row r="8" spans="1:4" x14ac:dyDescent="0.25">
      <c r="A8" s="13">
        <v>6</v>
      </c>
      <c r="B8" t="s">
        <v>17</v>
      </c>
      <c r="C8" s="26" t="s">
        <v>7</v>
      </c>
      <c r="D8" t="s">
        <v>18</v>
      </c>
    </row>
    <row r="9" spans="1:4" x14ac:dyDescent="0.25">
      <c r="A9" s="13">
        <v>7</v>
      </c>
      <c r="B9" s="10" t="s">
        <v>19</v>
      </c>
      <c r="C9" s="26" t="s">
        <v>7</v>
      </c>
      <c r="D9" t="s">
        <v>20</v>
      </c>
    </row>
    <row r="10" spans="1:4" x14ac:dyDescent="0.25">
      <c r="A10" s="13">
        <v>8</v>
      </c>
      <c r="B10" t="s">
        <v>21</v>
      </c>
      <c r="C10" s="26" t="s">
        <v>7</v>
      </c>
      <c r="D10" t="s">
        <v>22</v>
      </c>
    </row>
    <row r="11" spans="1:4" x14ac:dyDescent="0.25">
      <c r="A11" s="13">
        <v>9</v>
      </c>
      <c r="B11" t="s">
        <v>23</v>
      </c>
      <c r="C11" s="26" t="s">
        <v>7</v>
      </c>
      <c r="D11" t="s">
        <v>24</v>
      </c>
    </row>
    <row r="12" spans="1:4" x14ac:dyDescent="0.25">
      <c r="A12" s="13">
        <v>10</v>
      </c>
      <c r="B12" s="10" t="s">
        <v>25</v>
      </c>
      <c r="C12" s="26" t="s">
        <v>7</v>
      </c>
      <c r="D12" t="s">
        <v>26</v>
      </c>
    </row>
    <row r="13" spans="1:4" x14ac:dyDescent="0.25">
      <c r="A13" s="13">
        <v>11</v>
      </c>
      <c r="B13" t="s">
        <v>27</v>
      </c>
      <c r="C13" s="26" t="s">
        <v>7</v>
      </c>
      <c r="D13" t="s">
        <v>28</v>
      </c>
    </row>
    <row r="14" spans="1:4" x14ac:dyDescent="0.25">
      <c r="A14" s="13">
        <v>12</v>
      </c>
      <c r="B14" s="18" t="s">
        <v>29</v>
      </c>
      <c r="C14" s="26" t="s">
        <v>7</v>
      </c>
      <c r="D14" t="s">
        <v>30</v>
      </c>
    </row>
    <row r="15" spans="1:4" x14ac:dyDescent="0.25">
      <c r="A15" s="13">
        <v>13</v>
      </c>
      <c r="B15" t="s">
        <v>31</v>
      </c>
      <c r="C15" s="26" t="s">
        <v>7</v>
      </c>
      <c r="D15" t="s">
        <v>32</v>
      </c>
    </row>
    <row r="16" spans="1:4" x14ac:dyDescent="0.25">
      <c r="A16" s="13">
        <v>14</v>
      </c>
      <c r="B16" s="25" t="s">
        <v>33</v>
      </c>
      <c r="C16" s="26" t="s">
        <v>7</v>
      </c>
      <c r="D16" t="s">
        <v>34</v>
      </c>
    </row>
    <row r="17" spans="1:4" x14ac:dyDescent="0.25">
      <c r="A17" s="13">
        <v>15</v>
      </c>
      <c r="B17" t="s">
        <v>35</v>
      </c>
      <c r="C17" s="26" t="s">
        <v>7</v>
      </c>
      <c r="D17" t="s">
        <v>36</v>
      </c>
    </row>
    <row r="18" spans="1:4" x14ac:dyDescent="0.25">
      <c r="A18" s="13">
        <v>16</v>
      </c>
      <c r="B18" t="s">
        <v>37</v>
      </c>
      <c r="C18" s="26" t="s">
        <v>7</v>
      </c>
      <c r="D18" t="s">
        <v>38</v>
      </c>
    </row>
    <row r="19" spans="1:4" x14ac:dyDescent="0.25">
      <c r="A19" s="13">
        <v>17</v>
      </c>
      <c r="B19" t="s">
        <v>39</v>
      </c>
      <c r="C19" s="26" t="s">
        <v>7</v>
      </c>
      <c r="D19" t="s">
        <v>40</v>
      </c>
    </row>
    <row r="20" spans="1:4" x14ac:dyDescent="0.25">
      <c r="A20" s="13">
        <v>18</v>
      </c>
      <c r="B20" s="10" t="s">
        <v>41</v>
      </c>
      <c r="C20" s="26" t="s">
        <v>7</v>
      </c>
      <c r="D20" t="s">
        <v>42</v>
      </c>
    </row>
    <row r="21" spans="1:4" x14ac:dyDescent="0.25">
      <c r="A21" s="13">
        <v>19</v>
      </c>
      <c r="B21" t="s">
        <v>43</v>
      </c>
      <c r="C21" s="26" t="s">
        <v>7</v>
      </c>
      <c r="D21" t="s">
        <v>44</v>
      </c>
    </row>
    <row r="22" spans="1:4" x14ac:dyDescent="0.25">
      <c r="A22" s="13">
        <v>20</v>
      </c>
      <c r="B22" s="10" t="s">
        <v>45</v>
      </c>
      <c r="C22" s="26" t="s">
        <v>7</v>
      </c>
      <c r="D22" t="s">
        <v>46</v>
      </c>
    </row>
    <row r="23" spans="1:4" x14ac:dyDescent="0.25">
      <c r="A23" s="13">
        <v>21</v>
      </c>
      <c r="B23" s="10" t="s">
        <v>47</v>
      </c>
      <c r="C23" s="26" t="s">
        <v>7</v>
      </c>
      <c r="D23" t="s">
        <v>48</v>
      </c>
    </row>
    <row r="24" spans="1:4" x14ac:dyDescent="0.25">
      <c r="A24" s="13">
        <v>22</v>
      </c>
      <c r="B24" t="s">
        <v>49</v>
      </c>
      <c r="C24" s="26" t="s">
        <v>7</v>
      </c>
      <c r="D24" t="s">
        <v>50</v>
      </c>
    </row>
    <row r="25" spans="1:4" x14ac:dyDescent="0.25">
      <c r="A25" s="13">
        <v>23</v>
      </c>
      <c r="B25" t="s">
        <v>51</v>
      </c>
      <c r="C25" s="26" t="s">
        <v>7</v>
      </c>
      <c r="D25" t="s">
        <v>52</v>
      </c>
    </row>
    <row r="26" spans="1:4" x14ac:dyDescent="0.25">
      <c r="A26" s="13">
        <v>24</v>
      </c>
      <c r="B26" t="s">
        <v>53</v>
      </c>
      <c r="C26" s="26" t="s">
        <v>54</v>
      </c>
      <c r="D26" t="s">
        <v>55</v>
      </c>
    </row>
    <row r="27" spans="1:4" x14ac:dyDescent="0.25">
      <c r="A27" s="13">
        <v>25</v>
      </c>
      <c r="B27" t="s">
        <v>56</v>
      </c>
      <c r="C27" s="26" t="s">
        <v>54</v>
      </c>
      <c r="D27" t="s">
        <v>57</v>
      </c>
    </row>
    <row r="28" spans="1:4" x14ac:dyDescent="0.25">
      <c r="A28" s="13">
        <v>26</v>
      </c>
      <c r="B28" t="s">
        <v>58</v>
      </c>
      <c r="C28" s="26" t="s">
        <v>54</v>
      </c>
      <c r="D28" t="s">
        <v>59</v>
      </c>
    </row>
    <row r="29" spans="1:4" x14ac:dyDescent="0.25">
      <c r="A29" s="13">
        <v>27</v>
      </c>
      <c r="B29" t="s">
        <v>60</v>
      </c>
      <c r="C29" s="26" t="s">
        <v>54</v>
      </c>
      <c r="D29" t="s">
        <v>61</v>
      </c>
    </row>
    <row r="30" spans="1:4" x14ac:dyDescent="0.25">
      <c r="A30" s="13">
        <v>28</v>
      </c>
      <c r="B30" s="10" t="s">
        <v>62</v>
      </c>
      <c r="C30" s="26" t="s">
        <v>54</v>
      </c>
      <c r="D30" t="s">
        <v>63</v>
      </c>
    </row>
    <row r="31" spans="1:4" x14ac:dyDescent="0.25">
      <c r="A31" s="13">
        <v>29</v>
      </c>
      <c r="B31" t="s">
        <v>64</v>
      </c>
      <c r="C31" s="26" t="s">
        <v>54</v>
      </c>
      <c r="D31" t="s">
        <v>65</v>
      </c>
    </row>
    <row r="32" spans="1:4" x14ac:dyDescent="0.25">
      <c r="A32" s="13">
        <v>30</v>
      </c>
      <c r="B32" s="10" t="s">
        <v>66</v>
      </c>
      <c r="C32" s="26" t="s">
        <v>54</v>
      </c>
      <c r="D32" t="s">
        <v>67</v>
      </c>
    </row>
    <row r="33" spans="1:4" x14ac:dyDescent="0.25">
      <c r="A33" s="13">
        <v>31</v>
      </c>
      <c r="B33" s="10" t="s">
        <v>68</v>
      </c>
      <c r="C33" s="27" t="s">
        <v>54</v>
      </c>
      <c r="D33" t="s">
        <v>69</v>
      </c>
    </row>
    <row r="34" spans="1:4" x14ac:dyDescent="0.25">
      <c r="A34" s="13">
        <v>32</v>
      </c>
      <c r="B34" s="10" t="s">
        <v>70</v>
      </c>
      <c r="C34" s="26" t="s">
        <v>54</v>
      </c>
      <c r="D34" t="s">
        <v>71</v>
      </c>
    </row>
    <row r="35" spans="1:4" x14ac:dyDescent="0.25">
      <c r="A35" s="13">
        <v>33</v>
      </c>
      <c r="B35" t="s">
        <v>72</v>
      </c>
      <c r="C35" s="26" t="s">
        <v>54</v>
      </c>
      <c r="D35" t="s">
        <v>73</v>
      </c>
    </row>
    <row r="36" spans="1:4" x14ac:dyDescent="0.25">
      <c r="A36" s="13">
        <v>34</v>
      </c>
      <c r="B36" t="s">
        <v>74</v>
      </c>
      <c r="C36" s="26" t="s">
        <v>54</v>
      </c>
      <c r="D36" t="s">
        <v>75</v>
      </c>
    </row>
    <row r="37" spans="1:4" x14ac:dyDescent="0.25">
      <c r="A37" s="13">
        <v>35</v>
      </c>
      <c r="B37" t="s">
        <v>76</v>
      </c>
      <c r="C37" s="26" t="s">
        <v>54</v>
      </c>
      <c r="D37" t="s">
        <v>77</v>
      </c>
    </row>
    <row r="38" spans="1:4" x14ac:dyDescent="0.25">
      <c r="A38" s="13">
        <v>36</v>
      </c>
      <c r="B38" s="10" t="s">
        <v>78</v>
      </c>
      <c r="C38" s="26" t="s">
        <v>54</v>
      </c>
      <c r="D38" t="s">
        <v>79</v>
      </c>
    </row>
    <row r="39" spans="1:4" x14ac:dyDescent="0.25">
      <c r="A39" s="13">
        <v>37</v>
      </c>
      <c r="B39" t="s">
        <v>80</v>
      </c>
      <c r="C39" s="26" t="s">
        <v>54</v>
      </c>
      <c r="D39" t="s">
        <v>81</v>
      </c>
    </row>
    <row r="40" spans="1:4" x14ac:dyDescent="0.25">
      <c r="A40" s="13">
        <v>38</v>
      </c>
      <c r="B40" t="s">
        <v>82</v>
      </c>
      <c r="C40" s="26" t="s">
        <v>54</v>
      </c>
      <c r="D40" t="s">
        <v>83</v>
      </c>
    </row>
    <row r="41" spans="1:4" x14ac:dyDescent="0.25">
      <c r="A41" s="13">
        <v>39</v>
      </c>
      <c r="B41" t="s">
        <v>84</v>
      </c>
      <c r="C41" s="26" t="s">
        <v>54</v>
      </c>
      <c r="D41" t="s">
        <v>85</v>
      </c>
    </row>
    <row r="42" spans="1:4" x14ac:dyDescent="0.25">
      <c r="A42" s="13">
        <v>40</v>
      </c>
      <c r="B42" t="s">
        <v>86</v>
      </c>
      <c r="C42" s="26" t="s">
        <v>54</v>
      </c>
      <c r="D42" s="12" t="s">
        <v>87</v>
      </c>
    </row>
    <row r="43" spans="1:4" x14ac:dyDescent="0.25">
      <c r="A43" s="13">
        <v>41</v>
      </c>
      <c r="B43" t="s">
        <v>88</v>
      </c>
      <c r="C43" s="26" t="s">
        <v>54</v>
      </c>
      <c r="D43" t="s">
        <v>89</v>
      </c>
    </row>
    <row r="44" spans="1:4" x14ac:dyDescent="0.25">
      <c r="A44" s="13">
        <v>42</v>
      </c>
      <c r="B44" s="10" t="s">
        <v>90</v>
      </c>
      <c r="C44" s="26" t="s">
        <v>54</v>
      </c>
      <c r="D44" t="s">
        <v>91</v>
      </c>
    </row>
    <row r="45" spans="1:4" x14ac:dyDescent="0.25">
      <c r="A45" s="13">
        <v>43</v>
      </c>
      <c r="B45" s="10" t="s">
        <v>92</v>
      </c>
      <c r="C45" s="26" t="s">
        <v>54</v>
      </c>
      <c r="D45" t="s">
        <v>93</v>
      </c>
    </row>
    <row r="46" spans="1:4" x14ac:dyDescent="0.25">
      <c r="A46" s="13">
        <v>44</v>
      </c>
      <c r="B46" s="10" t="s">
        <v>94</v>
      </c>
      <c r="C46" s="26" t="s">
        <v>95</v>
      </c>
      <c r="D46" t="s">
        <v>96</v>
      </c>
    </row>
    <row r="47" spans="1:4" x14ac:dyDescent="0.25">
      <c r="A47" s="13">
        <v>45</v>
      </c>
      <c r="B47" t="s">
        <v>97</v>
      </c>
      <c r="C47" s="26" t="s">
        <v>95</v>
      </c>
      <c r="D47" t="s">
        <v>98</v>
      </c>
    </row>
    <row r="48" spans="1:4" x14ac:dyDescent="0.25">
      <c r="A48" s="13">
        <v>46</v>
      </c>
      <c r="B48" t="s">
        <v>99</v>
      </c>
      <c r="C48" s="26" t="s">
        <v>100</v>
      </c>
      <c r="D48" t="s">
        <v>101</v>
      </c>
    </row>
    <row r="49" spans="1:4" x14ac:dyDescent="0.25">
      <c r="A49" s="13">
        <v>47</v>
      </c>
      <c r="B49" s="10" t="s">
        <v>102</v>
      </c>
      <c r="C49" s="26" t="s">
        <v>103</v>
      </c>
      <c r="D49" t="s">
        <v>104</v>
      </c>
    </row>
    <row r="50" spans="1:4" x14ac:dyDescent="0.25">
      <c r="A50" s="13">
        <v>48</v>
      </c>
      <c r="B50" s="10" t="s">
        <v>105</v>
      </c>
      <c r="C50" s="26" t="s">
        <v>103</v>
      </c>
      <c r="D50" t="s">
        <v>106</v>
      </c>
    </row>
    <row r="51" spans="1:4" x14ac:dyDescent="0.25">
      <c r="A51" s="13">
        <v>49</v>
      </c>
      <c r="B51" s="10" t="s">
        <v>107</v>
      </c>
      <c r="C51" s="26" t="s">
        <v>103</v>
      </c>
      <c r="D51" t="s">
        <v>108</v>
      </c>
    </row>
    <row r="52" spans="1:4" x14ac:dyDescent="0.25">
      <c r="A52" s="13">
        <v>50</v>
      </c>
      <c r="B52" s="10" t="s">
        <v>109</v>
      </c>
      <c r="C52" s="26" t="s">
        <v>103</v>
      </c>
      <c r="D52" t="s">
        <v>110</v>
      </c>
    </row>
    <row r="53" spans="1:4" x14ac:dyDescent="0.25">
      <c r="A53" s="13">
        <v>51</v>
      </c>
      <c r="B53" t="s">
        <v>111</v>
      </c>
      <c r="C53" s="26" t="s">
        <v>103</v>
      </c>
      <c r="D53" t="s">
        <v>112</v>
      </c>
    </row>
    <row r="54" spans="1:4" x14ac:dyDescent="0.25">
      <c r="A54" s="13">
        <v>52</v>
      </c>
      <c r="B54" t="s">
        <v>113</v>
      </c>
      <c r="C54" s="26" t="s">
        <v>103</v>
      </c>
      <c r="D54" t="s">
        <v>114</v>
      </c>
    </row>
    <row r="55" spans="1:4" x14ac:dyDescent="0.25">
      <c r="A55" s="13">
        <v>53</v>
      </c>
      <c r="B55" t="s">
        <v>115</v>
      </c>
      <c r="C55" s="26" t="s">
        <v>103</v>
      </c>
      <c r="D55" t="s">
        <v>116</v>
      </c>
    </row>
    <row r="56" spans="1:4" x14ac:dyDescent="0.25">
      <c r="A56" s="13">
        <v>54</v>
      </c>
      <c r="B56" s="10" t="s">
        <v>117</v>
      </c>
      <c r="C56" s="26" t="s">
        <v>103</v>
      </c>
      <c r="D56" t="s">
        <v>118</v>
      </c>
    </row>
    <row r="57" spans="1:4" x14ac:dyDescent="0.25">
      <c r="A57" s="13">
        <v>55</v>
      </c>
      <c r="B57" t="s">
        <v>119</v>
      </c>
      <c r="C57" s="26" t="s">
        <v>103</v>
      </c>
      <c r="D57" t="s">
        <v>120</v>
      </c>
    </row>
    <row r="58" spans="1:4" x14ac:dyDescent="0.25">
      <c r="A58" s="13">
        <v>56</v>
      </c>
      <c r="B58" s="12" t="s">
        <v>121</v>
      </c>
      <c r="C58" s="26" t="s">
        <v>103</v>
      </c>
      <c r="D58" t="s">
        <v>122</v>
      </c>
    </row>
    <row r="59" spans="1:4" x14ac:dyDescent="0.25">
      <c r="A59" s="13">
        <v>57</v>
      </c>
      <c r="B59" t="s">
        <v>123</v>
      </c>
      <c r="C59" s="26" t="s">
        <v>103</v>
      </c>
      <c r="D59" t="s">
        <v>124</v>
      </c>
    </row>
    <row r="60" spans="1:4" x14ac:dyDescent="0.25">
      <c r="A60" s="13">
        <v>58</v>
      </c>
      <c r="B60" t="s">
        <v>125</v>
      </c>
      <c r="C60" s="26" t="s">
        <v>103</v>
      </c>
      <c r="D60" t="s">
        <v>126</v>
      </c>
    </row>
    <row r="61" spans="1:4" x14ac:dyDescent="0.25">
      <c r="A61" s="13">
        <v>59</v>
      </c>
      <c r="B61" t="s">
        <v>127</v>
      </c>
      <c r="C61" s="26" t="s">
        <v>103</v>
      </c>
      <c r="D61" t="s">
        <v>128</v>
      </c>
    </row>
    <row r="62" spans="1:4" x14ac:dyDescent="0.25">
      <c r="A62" s="13">
        <v>60</v>
      </c>
      <c r="B62" t="s">
        <v>129</v>
      </c>
      <c r="C62" s="26" t="s">
        <v>130</v>
      </c>
      <c r="D62" t="s">
        <v>131</v>
      </c>
    </row>
    <row r="63" spans="1:4" x14ac:dyDescent="0.25">
      <c r="A63" s="13">
        <v>61</v>
      </c>
      <c r="B63" s="18" t="s">
        <v>132</v>
      </c>
      <c r="C63" s="26" t="s">
        <v>130</v>
      </c>
      <c r="D63" t="s">
        <v>133</v>
      </c>
    </row>
    <row r="64" spans="1:4" x14ac:dyDescent="0.25">
      <c r="A64" s="13">
        <v>62</v>
      </c>
      <c r="B64" s="12" t="s">
        <v>134</v>
      </c>
      <c r="C64" s="26" t="s">
        <v>130</v>
      </c>
      <c r="D64" t="s">
        <v>135</v>
      </c>
    </row>
    <row r="65" spans="1:4" x14ac:dyDescent="0.25">
      <c r="A65" s="13">
        <v>63</v>
      </c>
      <c r="B65" s="10" t="s">
        <v>136</v>
      </c>
      <c r="C65" s="26" t="s">
        <v>130</v>
      </c>
      <c r="D65" t="s">
        <v>137</v>
      </c>
    </row>
    <row r="66" spans="1:4" x14ac:dyDescent="0.25">
      <c r="A66" s="13">
        <v>64</v>
      </c>
      <c r="B66" t="s">
        <v>138</v>
      </c>
      <c r="C66" s="26" t="s">
        <v>130</v>
      </c>
      <c r="D66" t="s">
        <v>139</v>
      </c>
    </row>
    <row r="67" spans="1:4" x14ac:dyDescent="0.25">
      <c r="A67" s="13">
        <v>65</v>
      </c>
      <c r="B67" t="s">
        <v>140</v>
      </c>
      <c r="C67" s="26" t="s">
        <v>130</v>
      </c>
      <c r="D67" t="s">
        <v>141</v>
      </c>
    </row>
    <row r="68" spans="1:4" x14ac:dyDescent="0.25">
      <c r="A68" s="13">
        <v>66</v>
      </c>
      <c r="B68" t="s">
        <v>142</v>
      </c>
      <c r="C68" s="26" t="s">
        <v>130</v>
      </c>
      <c r="D68" t="s">
        <v>143</v>
      </c>
    </row>
    <row r="69" spans="1:4" x14ac:dyDescent="0.25">
      <c r="A69" s="13">
        <v>67</v>
      </c>
      <c r="B69" t="s">
        <v>144</v>
      </c>
      <c r="C69" s="26" t="s">
        <v>130</v>
      </c>
      <c r="D69" t="s">
        <v>145</v>
      </c>
    </row>
    <row r="70" spans="1:4" x14ac:dyDescent="0.25">
      <c r="A70" s="13">
        <v>68</v>
      </c>
      <c r="B70" t="s">
        <v>146</v>
      </c>
      <c r="C70" s="26" t="s">
        <v>130</v>
      </c>
      <c r="D70" t="s">
        <v>147</v>
      </c>
    </row>
    <row r="71" spans="1:4" x14ac:dyDescent="0.25">
      <c r="A71" s="13">
        <v>69</v>
      </c>
      <c r="B71" t="s">
        <v>148</v>
      </c>
      <c r="C71" s="26" t="s">
        <v>130</v>
      </c>
      <c r="D71" t="s">
        <v>149</v>
      </c>
    </row>
    <row r="72" spans="1:4" x14ac:dyDescent="0.25">
      <c r="A72" s="13">
        <v>70</v>
      </c>
      <c r="B72" t="s">
        <v>150</v>
      </c>
      <c r="C72" s="26" t="s">
        <v>130</v>
      </c>
      <c r="D72" t="s">
        <v>151</v>
      </c>
    </row>
    <row r="73" spans="1:4" x14ac:dyDescent="0.25">
      <c r="A73" s="13">
        <v>71</v>
      </c>
      <c r="B73" t="s">
        <v>152</v>
      </c>
      <c r="C73" s="26" t="s">
        <v>130</v>
      </c>
      <c r="D73" t="s">
        <v>153</v>
      </c>
    </row>
    <row r="74" spans="1:4" x14ac:dyDescent="0.25">
      <c r="A74" s="13">
        <v>72</v>
      </c>
      <c r="B74" s="12" t="s">
        <v>154</v>
      </c>
      <c r="C74" s="26" t="s">
        <v>130</v>
      </c>
      <c r="D74" t="s">
        <v>155</v>
      </c>
    </row>
    <row r="75" spans="1:4" s="18" customFormat="1" x14ac:dyDescent="0.25">
      <c r="A75" s="13">
        <v>73</v>
      </c>
      <c r="B75" s="28" t="s">
        <v>156</v>
      </c>
      <c r="C75" s="26" t="s">
        <v>130</v>
      </c>
      <c r="D75" s="18" t="s">
        <v>157</v>
      </c>
    </row>
    <row r="76" spans="1:4" s="18" customFormat="1" x14ac:dyDescent="0.25">
      <c r="A76" s="13">
        <v>74</v>
      </c>
      <c r="B76" s="29" t="s">
        <v>158</v>
      </c>
      <c r="C76" s="26" t="s">
        <v>130</v>
      </c>
      <c r="D76" s="18" t="s">
        <v>159</v>
      </c>
    </row>
    <row r="77" spans="1:4" x14ac:dyDescent="0.25">
      <c r="A77" s="13">
        <v>75</v>
      </c>
      <c r="B77" s="10" t="s">
        <v>160</v>
      </c>
      <c r="C77" s="26" t="s">
        <v>130</v>
      </c>
      <c r="D77" t="s">
        <v>161</v>
      </c>
    </row>
    <row r="78" spans="1:4" x14ac:dyDescent="0.25">
      <c r="A78" s="13">
        <v>76</v>
      </c>
      <c r="B78" s="10" t="s">
        <v>162</v>
      </c>
      <c r="C78" s="26" t="s">
        <v>130</v>
      </c>
      <c r="D78" t="s">
        <v>163</v>
      </c>
    </row>
  </sheetData>
  <hyperlinks>
    <hyperlink ref="B1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7" r:id="rId14"/>
    <hyperlink ref="C18" r:id="rId15"/>
    <hyperlink ref="C19" r:id="rId16"/>
    <hyperlink ref="C20" r:id="rId17"/>
    <hyperlink ref="C22" r:id="rId18"/>
    <hyperlink ref="C23" r:id="rId19"/>
    <hyperlink ref="C24" r:id="rId20"/>
    <hyperlink ref="C14" r:id="rId21"/>
    <hyperlink ref="C16" r:id="rId22"/>
    <hyperlink ref="C26" r:id="rId23" display="Count"/>
    <hyperlink ref="C27" r:id="rId24" display="Count"/>
    <hyperlink ref="C28" r:id="rId25" display="Count"/>
    <hyperlink ref="C29" r:id="rId26" display="Count"/>
    <hyperlink ref="C30" r:id="rId27" display="Count"/>
    <hyperlink ref="C34" r:id="rId28"/>
    <hyperlink ref="C36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31" r:id="rId38"/>
    <hyperlink ref="C32" r:id="rId39"/>
    <hyperlink ref="C44" r:id="rId40"/>
    <hyperlink ref="C45" r:id="rId41"/>
    <hyperlink ref="C49" r:id="rId42"/>
    <hyperlink ref="C51" r:id="rId43"/>
    <hyperlink ref="C25" r:id="rId44" display="Lookup"/>
    <hyperlink ref="C52" r:id="rId45"/>
    <hyperlink ref="C53" r:id="rId46"/>
    <hyperlink ref="C54" r:id="rId47"/>
    <hyperlink ref="C50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46" r:id="rId56"/>
    <hyperlink ref="C48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75" r:id="rId65"/>
    <hyperlink ref="C69" r:id="rId66"/>
    <hyperlink ref="C70" r:id="rId67"/>
    <hyperlink ref="C71" r:id="rId68"/>
    <hyperlink ref="C72" r:id="rId69"/>
    <hyperlink ref="C73" r:id="rId70"/>
    <hyperlink ref="C77" r:id="rId71"/>
    <hyperlink ref="C74" r:id="rId72"/>
    <hyperlink ref="C76" r:id="rId73"/>
    <hyperlink ref="C78" r:id="rId74"/>
    <hyperlink ref="C21" r:id="rId75"/>
    <hyperlink ref="C47" r:id="rId76"/>
  </hyperlinks>
  <pageMargins left="0.7" right="0.7" top="0.75" bottom="0.75" header="0.3" footer="0.3"/>
  <pageSetup orientation="portrait" r:id="rId77"/>
  <legacyDrawing r:id="rId78"/>
  <extLst>
    <ext xmlns:x15="http://schemas.microsoft.com/office/spreadsheetml/2010/11/main" uri="{F7C9EE02-42E1-4005-9D12-6889AFFD525C}">
      <x15:webExtensions xmlns:xm="http://schemas.microsoft.com/office/excel/2006/main">
        <x15:webExtension appRef="{03A2ED0A-676D-41F1-A9C0-7778119F7B5F}">
          <xm:f>'Advanced Formulas'!1:1048576</xm:f>
        </x15:webExtension>
        <x15:webExtension appRef="{7F151C2D-BFFA-408C-8D04-07AB0487DB8D}">
          <xm:f>'Advanced Formulas'!XFD1048540:XFD1048576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73"/>
  <sheetViews>
    <sheetView workbookViewId="0"/>
  </sheetViews>
  <sheetFormatPr defaultRowHeight="15" x14ac:dyDescent="0.25"/>
  <cols>
    <col min="1" max="1" width="14.5703125" bestFit="1" customWidth="1"/>
    <col min="2" max="2" width="12" bestFit="1" customWidth="1"/>
    <col min="3" max="3" width="8.42578125" bestFit="1" customWidth="1"/>
    <col min="4" max="4" width="13.7109375" bestFit="1" customWidth="1"/>
    <col min="5" max="5" width="9.42578125" bestFit="1" customWidth="1"/>
    <col min="6" max="6" width="8.5703125" customWidth="1"/>
    <col min="7" max="7" width="25.5703125" bestFit="1" customWidth="1"/>
    <col min="8" max="8" width="14.7109375" bestFit="1" customWidth="1"/>
    <col min="9" max="9" width="19.28515625" bestFit="1" customWidth="1"/>
    <col min="10" max="10" width="8.42578125" bestFit="1" customWidth="1"/>
    <col min="11" max="11" width="15" bestFit="1" customWidth="1"/>
    <col min="12" max="12" width="8.42578125" bestFit="1" customWidth="1"/>
    <col min="13" max="13" width="30" bestFit="1" customWidth="1"/>
    <col min="15" max="15" width="13.7109375" bestFit="1" customWidth="1"/>
    <col min="16" max="16" width="9.28515625" bestFit="1" customWidth="1"/>
    <col min="17" max="17" width="16.42578125" bestFit="1" customWidth="1"/>
    <col min="18" max="18" width="4" bestFit="1" customWidth="1"/>
    <col min="19" max="19" width="10.28515625" bestFit="1" customWidth="1"/>
    <col min="20" max="20" width="41.85546875" bestFit="1" customWidth="1"/>
    <col min="21" max="21" width="5.5703125" bestFit="1" customWidth="1"/>
    <col min="22" max="22" width="2" bestFit="1" customWidth="1"/>
  </cols>
  <sheetData>
    <row r="1" spans="1:21" x14ac:dyDescent="0.25">
      <c r="A1" s="1">
        <v>42768</v>
      </c>
      <c r="B1">
        <f>DAYS360(A1,A2,)</f>
        <v>-41954</v>
      </c>
      <c r="D1" t="s">
        <v>164</v>
      </c>
      <c r="E1" t="e">
        <f>SUMPRODUCT(--(EXACT(E2,D1:D6)))</f>
        <v>#N/A</v>
      </c>
      <c r="F1">
        <f>COUNTA(D1:D6)-(SUMPRODUCT(COUNTIF(D1:D6,E2)))</f>
        <v>5</v>
      </c>
      <c r="G1">
        <f>SUMPRODUCT(--(ISERROR(D1:D6)))</f>
        <v>1</v>
      </c>
      <c r="I1" s="10" t="s">
        <v>165</v>
      </c>
      <c r="J1" s="10" t="s">
        <v>166</v>
      </c>
      <c r="K1" s="10" t="s">
        <v>167</v>
      </c>
    </row>
    <row r="2" spans="1:21" x14ac:dyDescent="0.25">
      <c r="A2">
        <v>200</v>
      </c>
      <c r="D2" t="s">
        <v>168</v>
      </c>
      <c r="E2" t="s">
        <v>164</v>
      </c>
      <c r="F2" t="str">
        <f>REPT("Hello ",2)</f>
        <v xml:space="preserve">Hello Hello </v>
      </c>
      <c r="G2">
        <f>COUNTIF(D1:D6,"?a?")</f>
        <v>0</v>
      </c>
      <c r="I2" t="s">
        <v>169</v>
      </c>
      <c r="J2" t="s">
        <v>170</v>
      </c>
      <c r="K2" t="s">
        <v>171</v>
      </c>
      <c r="L2" t="str">
        <f>IF(COUNTIF($I$2:$I$9,J2),"OK","Missing")</f>
        <v>OK</v>
      </c>
      <c r="M2" t="s">
        <v>172</v>
      </c>
      <c r="N2" t="b">
        <f>EXACT(RIGHT(Q2,LEN(P2)),P2)</f>
        <v>1</v>
      </c>
      <c r="O2" t="b" cm="1">
        <f t="array" ref="O2">SUMPRODUCT(--ISNUMBER(SEARCH($P$3:$P$4,Q2)))&gt;0</f>
        <v>1</v>
      </c>
      <c r="P2" t="s">
        <v>173</v>
      </c>
      <c r="Q2" t="s">
        <v>174</v>
      </c>
      <c r="R2" t="s">
        <v>169</v>
      </c>
      <c r="S2">
        <v>100</v>
      </c>
      <c r="T2" t="s">
        <v>169</v>
      </c>
      <c r="U2" t="e">
        <f>INDEX(Q2:R5,MATCH(T2,Q2:R5,0),1)</f>
        <v>#N/A</v>
      </c>
    </row>
    <row r="3" spans="1:21" x14ac:dyDescent="0.25">
      <c r="A3" s="2">
        <v>0.20630787037037038</v>
      </c>
      <c r="B3" s="2">
        <v>0.33292824074074073</v>
      </c>
      <c r="C3" s="5">
        <f>B3-A3</f>
        <v>0.12662037037037036</v>
      </c>
      <c r="D3">
        <v>12</v>
      </c>
      <c r="E3" s="5">
        <v>0.52806712962962965</v>
      </c>
      <c r="F3" t="s">
        <v>175</v>
      </c>
      <c r="G3">
        <f>COUNT(D1:D6)</f>
        <v>2</v>
      </c>
      <c r="H3" s="5">
        <f>E3</f>
        <v>0.52806712962962965</v>
      </c>
      <c r="I3" t="s">
        <v>176</v>
      </c>
      <c r="J3" t="s">
        <v>169</v>
      </c>
      <c r="K3" t="str">
        <f t="shared" ref="K3" si="0">IF(ISERROR(VLOOKUP(J3,$I$2:$I$9,1,FALSE)),J3,"")</f>
        <v/>
      </c>
      <c r="L3" t="str">
        <f t="shared" ref="L3:L6" si="1">IF(COUNTIF($I$2:$I$9,J3),"OK","Missing")</f>
        <v>OK</v>
      </c>
      <c r="M3" t="s">
        <v>177</v>
      </c>
      <c r="O3" t="b" cm="1">
        <f t="array" ref="O3">SUMPRODUCT(--ISNUMBER(SEARCH($P$3:$P$4,Q3)))&gt;0</f>
        <v>1</v>
      </c>
      <c r="P3" t="s">
        <v>178</v>
      </c>
      <c r="Q3" t="s">
        <v>179</v>
      </c>
      <c r="R3" t="s">
        <v>180</v>
      </c>
      <c r="S3">
        <v>200</v>
      </c>
      <c r="T3" t="s">
        <v>180</v>
      </c>
    </row>
    <row r="4" spans="1:21" x14ac:dyDescent="0.25">
      <c r="A4" s="3"/>
      <c r="B4">
        <f>TIMEVALUE("8:5")</f>
        <v>0.33680555555555558</v>
      </c>
      <c r="D4" t="e">
        <f>NA()</f>
        <v>#N/A</v>
      </c>
      <c r="E4" s="5">
        <v>0.43263888888888885</v>
      </c>
      <c r="F4" t="str">
        <f>"Hello"&amp;"How are"</f>
        <v>HelloHow are</v>
      </c>
      <c r="G4" t="str">
        <f>REPLACE("hello how hello how hello",7,3,"Hello")</f>
        <v>hello Hello hello how hello</v>
      </c>
      <c r="I4" t="s">
        <v>181</v>
      </c>
      <c r="J4" t="s">
        <v>182</v>
      </c>
      <c r="K4">
        <f>SUMPRODUCT(--(COUNTIF(I2:I9,J2:J7)=0))</f>
        <v>1</v>
      </c>
      <c r="L4" t="str">
        <f t="shared" si="1"/>
        <v>OK</v>
      </c>
      <c r="M4" t="b">
        <f>ISERROR(MATCH(J2,$I$2:$I$9,0))</f>
        <v>0</v>
      </c>
      <c r="O4" t="b" cm="1">
        <f t="array" ref="O4">SUMPRODUCT(--ISNUMBER(SEARCH($P$3:$P$4,Q4)))&gt;0</f>
        <v>0</v>
      </c>
      <c r="P4" t="s">
        <v>183</v>
      </c>
      <c r="Q4" t="s">
        <v>184</v>
      </c>
      <c r="R4" t="s">
        <v>185</v>
      </c>
      <c r="S4">
        <v>300</v>
      </c>
    </row>
    <row r="5" spans="1:21" x14ac:dyDescent="0.25">
      <c r="A5" s="3">
        <v>43140.167361111111</v>
      </c>
      <c r="D5">
        <v>12</v>
      </c>
      <c r="E5" s="8">
        <f>SUM(E3:E4)</f>
        <v>0.96070601851851856</v>
      </c>
      <c r="F5" t="str">
        <f>SUBSTITUTE("hello how hello how hello","how","Hell",2)</f>
        <v>hello how hello Hell hello</v>
      </c>
      <c r="G5">
        <f>INDEX(A12:B15,3,2)</f>
        <v>300</v>
      </c>
      <c r="I5" t="s">
        <v>182</v>
      </c>
      <c r="J5" t="s">
        <v>186</v>
      </c>
      <c r="K5" t="str">
        <f>IF(ISERROR(VLOOKUP(J5,$I$2:$I$9,1,FALSE)),J5,"")</f>
        <v>P</v>
      </c>
      <c r="L5" t="str">
        <f>IF(COUNTIF($I$2:$I$9,J5),"OK","Missing")</f>
        <v>Missing</v>
      </c>
      <c r="M5">
        <f>SUMIF(A20:A23,O5,B20:B23)</f>
        <v>350</v>
      </c>
      <c r="O5" t="s">
        <v>187</v>
      </c>
      <c r="Q5" t="s">
        <v>188</v>
      </c>
      <c r="R5" t="s">
        <v>189</v>
      </c>
      <c r="S5">
        <v>400</v>
      </c>
    </row>
    <row r="6" spans="1:21" x14ac:dyDescent="0.25">
      <c r="A6" s="6">
        <v>43137.590949074074</v>
      </c>
      <c r="B6" s="4">
        <f>TIME(HOUR(B3),MINUTE(B3),SECOND(B3))</f>
        <v>0.33292824074074073</v>
      </c>
      <c r="D6" t="s">
        <v>190</v>
      </c>
      <c r="G6">
        <f>MATCH(576,E19:E23,0)</f>
        <v>3</v>
      </c>
      <c r="H6" s="4">
        <f>TIME(2,34,35)</f>
        <v>0.10734953703703703</v>
      </c>
      <c r="I6" t="s">
        <v>187</v>
      </c>
      <c r="J6" t="s">
        <v>191</v>
      </c>
      <c r="K6">
        <f>COUNTIF(O18:O26,79)</f>
        <v>3</v>
      </c>
      <c r="L6" t="str">
        <f t="shared" si="1"/>
        <v>OK</v>
      </c>
      <c r="O6" t="s">
        <v>192</v>
      </c>
      <c r="P6" t="b">
        <f>SUMPRODUCT(--ISNUMBER(SEARCH(P3:P4,Q2)))&gt;0</f>
        <v>1</v>
      </c>
      <c r="S6">
        <f>SUMIFS(S2:S5,S2:S5,"&gt;100",S2:S5,"&lt;400")</f>
        <v>500</v>
      </c>
      <c r="T6">
        <f>SUMIF(Q2:Q5,"*~**",S2:S5)</f>
        <v>0</v>
      </c>
    </row>
    <row r="7" spans="1:21" x14ac:dyDescent="0.25">
      <c r="D7">
        <f>SUM('Test Sheet 2'!A2,'Test Sheet 3'!A2)</f>
        <v>225</v>
      </c>
      <c r="E7">
        <f>SUMPRODUCT(COUNTIFS(D1:D6,{"Ajit","Riju"}))</f>
        <v>0</v>
      </c>
      <c r="F7" t="e">
        <f t="array" ref="F7">MATCH(TRUE,EXACT(D1:D6,"RIJU"),0)</f>
        <v>#N/A</v>
      </c>
      <c r="G7">
        <f>VALUE("4")</f>
        <v>4</v>
      </c>
      <c r="H7" t="b">
        <f>ISNA(MATCH(576,E20:E23,0))</f>
        <v>0</v>
      </c>
      <c r="I7" t="s">
        <v>191</v>
      </c>
      <c r="J7" t="s">
        <v>187</v>
      </c>
      <c r="L7">
        <f>SUMPRODUCT(COUNTIF(I2:I9,"I")*COUNTIF(J2:J7,"I"))</f>
        <v>0</v>
      </c>
      <c r="O7" t="s">
        <v>193</v>
      </c>
      <c r="Q7" t="str">
        <f>INDEX(Q2:Q5,MATCH("S",R2:R5,0),1)</f>
        <v>Sumit, cat,bat,sat</v>
      </c>
      <c r="S7" s="11">
        <f>DATE(2020,12,31)</f>
        <v>44196</v>
      </c>
      <c r="T7" cm="1">
        <f t="array" ref="T7">SUMPRODUCT(--((ISNUMBER(SEARCH("Riju",Q2:Q5))+ISNUMBER(SEARCH("mat",Q2:Q5)))&gt;0),S2:S5)</f>
        <v>700</v>
      </c>
    </row>
    <row r="8" spans="1:21" x14ac:dyDescent="0.25">
      <c r="B8" t="str">
        <f>TEXT(B3-A3,"hh:mm:ss")</f>
        <v>03:02:20</v>
      </c>
      <c r="C8" t="e">
        <f>FIND("i",D4)</f>
        <v>#N/A</v>
      </c>
      <c r="D8" s="7"/>
      <c r="E8" t="e">
        <f>SUMPRODUCT(N(LEN(D1:D6)&gt;4))</f>
        <v>#N/A</v>
      </c>
      <c r="G8">
        <f>DAY("15 Jan 2018")</f>
        <v>15</v>
      </c>
      <c r="I8" t="s">
        <v>170</v>
      </c>
      <c r="J8">
        <f>SUMPRODUCT(--((ISNUMBER(SEARCH("cat",Q2:Q5))+ISNUMBER(SEARCH("rat",Q2:Q5)))&gt;0),S2:S5)</f>
        <v>600</v>
      </c>
      <c r="O8" t="e">
        <f>SEARCH("m","Goat")</f>
        <v>#VALUE!</v>
      </c>
    </row>
    <row r="9" spans="1:21" x14ac:dyDescent="0.25">
      <c r="A9">
        <f>SEARCH("hell","Hello")</f>
        <v>1</v>
      </c>
      <c r="B9">
        <f>SUMPRODUCT(--(ISNUMBER(FIND(1,D1:D7))))</f>
        <v>2</v>
      </c>
      <c r="C9" t="e">
        <f>SEARCH("I",D4)</f>
        <v>#N/A</v>
      </c>
      <c r="D9">
        <f>COUNTIFS(I2:I7,"I",J2:J7,"K")</f>
        <v>1</v>
      </c>
      <c r="F9">
        <f>CEILING(10,3)</f>
        <v>12</v>
      </c>
      <c r="G9">
        <f>24</f>
        <v>24</v>
      </c>
      <c r="H9" t="str">
        <f ca="1">TEXT(TODAY(),"DD/MM/YYYY")</f>
        <v>06/05/2025</v>
      </c>
      <c r="I9" t="s">
        <v>194</v>
      </c>
      <c r="K9">
        <f>MATCH(120,E20:E28,0)</f>
        <v>6</v>
      </c>
      <c r="Q9" t="str">
        <f t="array" ref="Q9">INDEX(Q2:Q5,MATCH(MAX(LEN(Q2:Q5)),LEN(Q2:Q5),0))</f>
        <v>Sumit, cat,bat,sat</v>
      </c>
    </row>
    <row r="10" spans="1:21" x14ac:dyDescent="0.25">
      <c r="A10" s="9">
        <f>A5-A6</f>
        <v>2.5764120370367891</v>
      </c>
      <c r="D10">
        <f>SUMPRODUCT(COUNTIF(B20:B23,"&gt;100"),COUNTIF(C20:C23,"&gt;200"))</f>
        <v>6</v>
      </c>
      <c r="G10">
        <f>24*60</f>
        <v>1440</v>
      </c>
      <c r="I10">
        <v>456</v>
      </c>
      <c r="K10">
        <f>SUMPRODUCT(--(LEFT(I10:I13,3)="123"))</f>
        <v>3</v>
      </c>
      <c r="M10" t="s">
        <v>175</v>
      </c>
      <c r="N10" t="str">
        <f>CONCATENATE("a,","b,","c,","d,","e,")</f>
        <v>a,b,c,d,e,</v>
      </c>
      <c r="O10" t="str">
        <f>CONCATENATE("a,","b,","c,","d,","e,")</f>
        <v>a,b,c,d,e,</v>
      </c>
    </row>
    <row r="11" spans="1:21" x14ac:dyDescent="0.25">
      <c r="B11">
        <f>SUMIFS(B12:B15,A12:A15,"&gt;="&amp;DATE(2018,1,1),A12:A15,"&lt;="&amp;DATE(2018,12,31))</f>
        <v>700</v>
      </c>
      <c r="C11" t="str">
        <f>TEXT(DATE(2018,10,20),"mm-yyyy")</f>
        <v>10-2018</v>
      </c>
      <c r="D11">
        <f>COUNTIFS(D1:D7,"*",D1:D7,"&lt;&gt; ")</f>
        <v>3</v>
      </c>
      <c r="E11">
        <f>N(TRUE)</f>
        <v>1</v>
      </c>
      <c r="F11">
        <f>DATEVALUE("13 June 2018")</f>
        <v>43264</v>
      </c>
      <c r="G11">
        <f>24*60*60</f>
        <v>86400</v>
      </c>
      <c r="I11" s="21" t="s">
        <v>195</v>
      </c>
      <c r="K11">
        <f ca="1">INDIRECT("I10")</f>
        <v>456</v>
      </c>
      <c r="M11" t="s">
        <v>196</v>
      </c>
      <c r="N11" t="str">
        <f>CONCATENATE("a,","b,","c,","d,","e,")</f>
        <v>a,b,c,d,e,</v>
      </c>
      <c r="P11" t="s">
        <v>197</v>
      </c>
      <c r="Q11" t="s">
        <v>198</v>
      </c>
      <c r="S11" t="s">
        <v>199</v>
      </c>
      <c r="T11" t="e">
        <f>INDEX(P11:Q13,MATCH(S11&amp;"*",P11:Q13,0))</f>
        <v>#N/A</v>
      </c>
    </row>
    <row r="12" spans="1:21" x14ac:dyDescent="0.25">
      <c r="A12" s="1">
        <v>43133</v>
      </c>
      <c r="B12">
        <v>100</v>
      </c>
      <c r="C12">
        <f>SUMPRODUCT(--(I2:I9=J2:J9))</f>
        <v>0</v>
      </c>
      <c r="D12">
        <f>COUNTIF(D1:D6,"jam"&amp;F3&amp;"s")</f>
        <v>1</v>
      </c>
      <c r="G12" t="e">
        <f>10/G14</f>
        <v>#VALUE!</v>
      </c>
      <c r="I12" s="21" t="s">
        <v>200</v>
      </c>
      <c r="K12" t="e">
        <f>su</f>
        <v>#NAME?</v>
      </c>
      <c r="M12" t="s">
        <v>201</v>
      </c>
      <c r="P12" t="s">
        <v>202</v>
      </c>
      <c r="Q12" t="s">
        <v>203</v>
      </c>
      <c r="S12" t="s">
        <v>204</v>
      </c>
      <c r="T12" s="23" t="s">
        <v>205</v>
      </c>
    </row>
    <row r="13" spans="1:21" x14ac:dyDescent="0.25">
      <c r="A13" s="1">
        <v>43182</v>
      </c>
      <c r="B13">
        <v>200</v>
      </c>
      <c r="C13">
        <f>SUMPRODUCT(--(WEEKDAY(A13:A15)))</f>
        <v>11</v>
      </c>
      <c r="D13">
        <f ca="1">WEEKDAY(NOW())</f>
        <v>3</v>
      </c>
      <c r="E13" t="b">
        <f>ISTEXT(NA())</f>
        <v>0</v>
      </c>
      <c r="F13">
        <f>SUMPRODUCT(--(I11:I12=I13))</f>
        <v>0</v>
      </c>
      <c r="G13">
        <f>COUNTIF(I11:I12,I13)</f>
        <v>2</v>
      </c>
      <c r="I13" s="21" t="s">
        <v>206</v>
      </c>
      <c r="J13" cm="1">
        <f t="array" ref="J13">SUMPRODUCT(--(I11:I13=I11))</f>
        <v>1</v>
      </c>
      <c r="M13" t="s">
        <v>207</v>
      </c>
      <c r="N13" t="s">
        <v>208</v>
      </c>
      <c r="O13" t="s">
        <v>208</v>
      </c>
      <c r="Q13" t="s">
        <v>209</v>
      </c>
      <c r="R13">
        <f t="array" ref="R13">MATCH(TRUE,ISERROR(G9:G12),0)</f>
        <v>4</v>
      </c>
      <c r="S13" t="s">
        <v>210</v>
      </c>
      <c r="T13" t="str">
        <f ca="1">_xlfn.FORMULATEXT(T11)</f>
        <v>=INDEX(P11:Q13,MATCH(S11&amp;"*",P11:Q13,0))</v>
      </c>
    </row>
    <row r="14" spans="1:21" x14ac:dyDescent="0.25">
      <c r="A14" s="1">
        <v>43522</v>
      </c>
      <c r="B14">
        <v>300</v>
      </c>
      <c r="D14">
        <f>COUNTIF(I2:I9,"K")+COUNTIF(B20:B23,"&gt;100")</f>
        <v>3</v>
      </c>
      <c r="G14" t="str">
        <f>REPLACE(D19,3,3,"OLD")</f>
        <v>PrOLD=Amount</v>
      </c>
      <c r="H14" t="str">
        <f>SUBSTITUTE(D19,"ice","OLD")</f>
        <v>PrOLD=Amount</v>
      </c>
      <c r="K14" s="22">
        <v>43132</v>
      </c>
      <c r="L14">
        <f>SUMIFS($B$12:$B$15,$A$12:$A$15,"&gt;="&amp;K14,$A$12:$A$15,"&lt;"&amp;EOMONTH(K14,0))</f>
        <v>100</v>
      </c>
      <c r="M14" t="s">
        <v>211</v>
      </c>
    </row>
    <row r="15" spans="1:21" x14ac:dyDescent="0.25">
      <c r="A15" s="1">
        <v>43185</v>
      </c>
      <c r="B15">
        <v>400</v>
      </c>
      <c r="C15">
        <f>SUMPRODUCT((MONTH(A12:A15)=2)*B12:B15)</f>
        <v>400</v>
      </c>
      <c r="D15">
        <f>SUMIFS(B12:B15,A12:A15,"&gt;="&amp;K15,A12:A15,"&lt;="&amp;K15+7)</f>
        <v>600</v>
      </c>
      <c r="E15" s="1">
        <v>44002</v>
      </c>
      <c r="F15" t="b">
        <f>AND(E15&gt;DATE(2020,9,20),E15&lt;DATE(2020,12,31))</f>
        <v>0</v>
      </c>
      <c r="G15">
        <f>NETWORKDAYS(DATE(2018,1,1),DATE(2018,12,30))</f>
        <v>260</v>
      </c>
      <c r="I15" t="e">
        <f>G9+G10+I9</f>
        <v>#VALUE!</v>
      </c>
      <c r="K15" s="22">
        <v>43181</v>
      </c>
      <c r="L15">
        <f>SUMIFS($B$12:$B$15,$A$12:$A$15,"&gt;="&amp;K15,$A$12:$A$15,"&lt;"&amp;EOMONTH(K15,0))</f>
        <v>600</v>
      </c>
      <c r="M15">
        <f>EOMONTH(K14,0)</f>
        <v>43159</v>
      </c>
      <c r="N15" t="s">
        <v>212</v>
      </c>
      <c r="O15">
        <f>COUNTIF(Q4,"*at")</f>
        <v>1</v>
      </c>
    </row>
    <row r="16" spans="1:21" x14ac:dyDescent="0.25">
      <c r="A16" t="str">
        <f>TEXT(A13,"myyyy")</f>
        <v>32018</v>
      </c>
      <c r="B16" t="e">
        <f ca="1">INDIRECT(B12,FALSE)</f>
        <v>#REF!</v>
      </c>
      <c r="D16">
        <f>SUMPRODUCT(--(LEFT(C20:C23,1)="1"))</f>
        <v>1</v>
      </c>
      <c r="E16">
        <f>SUMIFS(B20:B23,A20:A23,"&gt;="&amp;"1/1/2016",A20:A23,"&lt;="&amp;"1/31/2016")</f>
        <v>0</v>
      </c>
      <c r="F16" t="b">
        <f>E15&gt;43799</f>
        <v>1</v>
      </c>
      <c r="G16" s="24">
        <v>44185</v>
      </c>
      <c r="H16" s="11">
        <f ca="1">EDATE(G18,1)</f>
        <v>45838</v>
      </c>
      <c r="I16">
        <f>10/I18</f>
        <v>2.5</v>
      </c>
      <c r="J16">
        <f>LARGE(B20:B23,1)</f>
        <v>451</v>
      </c>
      <c r="K16">
        <f>COUNTIF(Q2:Q5,"*RAT")</f>
        <v>2</v>
      </c>
      <c r="L16" t="b">
        <f>EXACT($N$15,RIGHT(Q2,LEN($N$15)))</f>
        <v>0</v>
      </c>
    </row>
    <row r="17" spans="1:22" x14ac:dyDescent="0.25">
      <c r="A17">
        <f>SUMPRODUCT(--(WEEKDAY(A13:A15)=6))</f>
        <v>1</v>
      </c>
      <c r="B17">
        <f>COUNTIFS(A20:A23,"A",B20:B23,100)</f>
        <v>1</v>
      </c>
      <c r="C17">
        <f>ODD(12)</f>
        <v>13</v>
      </c>
      <c r="D17">
        <f>SUMPRODUCT(--(MOD(B20:B23,2)=0))</f>
        <v>3</v>
      </c>
      <c r="E17">
        <f>COUNTIF(D1:D7,1)</f>
        <v>0</v>
      </c>
      <c r="F17">
        <f>WEEKDAY("30 Mar 2018",2)</f>
        <v>5</v>
      </c>
      <c r="G17" s="11">
        <f>DATE(2020,1,20)</f>
        <v>43850</v>
      </c>
      <c r="H17" s="1">
        <f>'Test Sheet 1'!A1</f>
        <v>42768</v>
      </c>
      <c r="I17" t="e">
        <f>NA()</f>
        <v>#N/A</v>
      </c>
      <c r="L17" t="b">
        <f t="shared" ref="L17:L19" si="2">EXACT($N$15,RIGHT(Q3,LEN($N$15)))</f>
        <v>1</v>
      </c>
      <c r="N17">
        <v>79</v>
      </c>
      <c r="O17" t="s">
        <v>213</v>
      </c>
      <c r="P17" t="s">
        <v>214</v>
      </c>
      <c r="R17">
        <f>SUMPRODUCT(SMALL(O18:O26,3))</f>
        <v>79</v>
      </c>
    </row>
    <row r="18" spans="1:22" x14ac:dyDescent="0.25">
      <c r="A18">
        <f>SUMPRODUCT((B20:B23=C20:C23)*(A20:A23="A"))</f>
        <v>0</v>
      </c>
      <c r="B18">
        <f>SUM(--(FREQUENCY(B20:B23,100)&gt;0))</f>
        <v>2</v>
      </c>
      <c r="C18">
        <f>SUMPRODUCT(--(FREQUENCY(O18:O26,O18:O26)&gt;0))</f>
        <v>5</v>
      </c>
      <c r="E18" t="b">
        <f ca="1">AND(G16&gt;TODAY(),G16&lt;TODAY()+34)</f>
        <v>0</v>
      </c>
      <c r="F18" t="str">
        <f>TEXT(WEEKDAY(G16,2),"dddd")</f>
        <v>Saturday</v>
      </c>
      <c r="G18">
        <f ca="1">EOMONTH(NOW(),0)</f>
        <v>45808</v>
      </c>
      <c r="H18" t="str">
        <f ca="1">TEXT(G18,"dd/mm/yyyy")</f>
        <v>31/05/2025</v>
      </c>
      <c r="I18">
        <f>SUMPRODUCT(COUNTIFS(A20:A23,{"A","B","C","D","E"}))</f>
        <v>4</v>
      </c>
      <c r="K18" t="b">
        <f>ISNUMBER(SEARCH("el","hello"))</f>
        <v>1</v>
      </c>
      <c r="L18" t="b">
        <f t="shared" si="2"/>
        <v>0</v>
      </c>
      <c r="N18">
        <f>SUM($O$18:O18)</f>
        <v>79</v>
      </c>
      <c r="O18">
        <v>79</v>
      </c>
      <c r="P18">
        <v>70</v>
      </c>
      <c r="Q18">
        <f>COUNTIF($O$18:O18,O18)</f>
        <v>1</v>
      </c>
      <c r="R18">
        <f>SUMPRODUCT(SMALL(O18:O26,2))</f>
        <v>79</v>
      </c>
      <c r="U18">
        <f t="array" ref="U18:U26">FREQUENCY(O18:O26,O18:O26)</f>
        <v>3</v>
      </c>
    </row>
    <row r="19" spans="1:22" x14ac:dyDescent="0.25">
      <c r="A19" t="s">
        <v>215</v>
      </c>
      <c r="B19" t="s">
        <v>216</v>
      </c>
      <c r="C19" t="s">
        <v>217</v>
      </c>
      <c r="D19" t="s">
        <v>218</v>
      </c>
      <c r="E19">
        <f>LEN(B19)</f>
        <v>5</v>
      </c>
      <c r="F19" t="b">
        <f>OR(WEEKDAY(G16,2)=6,WEEKDAY(G16,2)=7)</f>
        <v>1</v>
      </c>
      <c r="G19">
        <f>SUMPRODUCT(N(LEN(A19:C19)&gt;5))</f>
        <v>2</v>
      </c>
      <c r="H19" t="e">
        <f ca="1">EDATE(H18,-1)</f>
        <v>#VALUE!</v>
      </c>
      <c r="I19" t="e">
        <f ca="1">TEXT(H19,"dd/mm/yyyy")</f>
        <v>#VALUE!</v>
      </c>
      <c r="J19" t="b">
        <f>COUNTIF(P18:P21,70)&gt;1</f>
        <v>0</v>
      </c>
      <c r="L19" t="b">
        <f t="shared" si="2"/>
        <v>0</v>
      </c>
      <c r="N19">
        <f>SUM($O$18:O19)</f>
        <v>164</v>
      </c>
      <c r="O19">
        <v>85</v>
      </c>
      <c r="P19">
        <v>79</v>
      </c>
      <c r="Q19">
        <f>COUNTIF($O$18:O19,O19)</f>
        <v>1</v>
      </c>
      <c r="R19">
        <f>SMALL(O18:O26,1)</f>
        <v>78</v>
      </c>
      <c r="U19">
        <v>3</v>
      </c>
    </row>
    <row r="20" spans="1:22" x14ac:dyDescent="0.25">
      <c r="A20" t="s">
        <v>187</v>
      </c>
      <c r="B20">
        <v>100</v>
      </c>
      <c r="C20">
        <v>456</v>
      </c>
      <c r="D20" t="b">
        <f>B20&lt;&gt;C20</f>
        <v>1</v>
      </c>
      <c r="E20">
        <f>SUM($C$20:C20)</f>
        <v>456</v>
      </c>
      <c r="F20">
        <f ca="1">IF(A20=A19,"",SUMIF(A:A,A20,B:B))</f>
        <v>1841</v>
      </c>
      <c r="H20">
        <f>SUMIF(A20:A23,"B",B20:B23)</f>
        <v>0</v>
      </c>
      <c r="I20">
        <f>COUNTIF(A19:C19,"?????")</f>
        <v>1</v>
      </c>
      <c r="K20">
        <f>SUMPRODUCT(LARGE('Test Sheet 1'!O18:O26,{1,2}))</f>
        <v>173</v>
      </c>
      <c r="L20">
        <f>LARGE(O18:O26,1)</f>
        <v>88</v>
      </c>
      <c r="M20">
        <f>LARGE(O18:O26,2)</f>
        <v>85</v>
      </c>
      <c r="N20">
        <f>SUM($O$18:O20)</f>
        <v>242</v>
      </c>
      <c r="O20">
        <v>78</v>
      </c>
      <c r="P20">
        <v>89</v>
      </c>
      <c r="Q20">
        <f>COUNTIF($O$18:O20,O20)</f>
        <v>1</v>
      </c>
      <c r="R20">
        <f>SUM(SMALL(O18:O26,{1,2,3}))</f>
        <v>236</v>
      </c>
      <c r="S20">
        <f>SUMPRODUCT(SMALL(O18:O26,{1,2,3}))</f>
        <v>236</v>
      </c>
      <c r="T20">
        <f ca="1">SUMPRODUCT(SMALL(O18:O26,ROW(INDIRECT("1:3"))))</f>
        <v>236</v>
      </c>
      <c r="U20">
        <v>1</v>
      </c>
    </row>
    <row r="21" spans="1:22" x14ac:dyDescent="0.25">
      <c r="A21" t="s">
        <v>193</v>
      </c>
      <c r="B21">
        <v>60</v>
      </c>
      <c r="C21">
        <v>120</v>
      </c>
      <c r="D21" t="s">
        <v>219</v>
      </c>
      <c r="E21">
        <f>SUM($C$20:C21)</f>
        <v>576</v>
      </c>
      <c r="F21">
        <f ca="1">IF(A21=A20,"",SUMIF(A:A,A21,B:B))</f>
        <v>240</v>
      </c>
      <c r="G21">
        <f>WEEKDAY(DATE(2018,7,4),1)</f>
        <v>4</v>
      </c>
      <c r="H21" t="b">
        <f>ISEVEN(H20)</f>
        <v>1</v>
      </c>
      <c r="I21" t="s">
        <v>192</v>
      </c>
      <c r="J21">
        <f>SUMPRODUCT(SUMIF(A20:A23,I21:I22,B20:B23))</f>
        <v>60</v>
      </c>
      <c r="L21">
        <v>10.7</v>
      </c>
      <c r="N21">
        <f>SUM($O$18:O21)</f>
        <v>327</v>
      </c>
      <c r="O21">
        <v>85</v>
      </c>
      <c r="P21">
        <v>100</v>
      </c>
      <c r="Q21">
        <f>COUNTIF($O$18:O21,O21)</f>
        <v>2</v>
      </c>
      <c r="U21">
        <v>0</v>
      </c>
    </row>
    <row r="22" spans="1:22" x14ac:dyDescent="0.25">
      <c r="A22" t="s">
        <v>187</v>
      </c>
      <c r="B22">
        <v>250</v>
      </c>
      <c r="C22">
        <v>234</v>
      </c>
      <c r="D22" t="s">
        <v>220</v>
      </c>
      <c r="E22">
        <f>SUM($C$20:C22)</f>
        <v>810</v>
      </c>
      <c r="F22">
        <f ca="1">IF(A22=A21,"",SUMIF(A:A,A22,B:B))</f>
        <v>1841</v>
      </c>
      <c r="H22" t="b">
        <f>ISEVEN(ROW(H19))</f>
        <v>0</v>
      </c>
      <c r="I22" t="s">
        <v>193</v>
      </c>
      <c r="K22" t="b">
        <f>MOD(L21,1)=0</f>
        <v>0</v>
      </c>
      <c r="L22">
        <f ca="1">COUNTA(G2:I10)-COUNT(G2:I10)</f>
        <v>11</v>
      </c>
      <c r="M22">
        <f>SUMPRODUCT(--(MOD(B20:B23,2)=1))</f>
        <v>1</v>
      </c>
      <c r="N22">
        <f>SUMPRODUCT(--(ISNUMBER(FIND("PR",A19:D19))))</f>
        <v>0</v>
      </c>
      <c r="O22">
        <v>79</v>
      </c>
      <c r="Q22">
        <f>COUNTIF($O$18:O22,O22)</f>
        <v>2</v>
      </c>
      <c r="U22">
        <v>0</v>
      </c>
    </row>
    <row r="23" spans="1:22" x14ac:dyDescent="0.25">
      <c r="A23" t="s">
        <v>221</v>
      </c>
      <c r="B23">
        <v>451</v>
      </c>
      <c r="C23">
        <v>500</v>
      </c>
      <c r="D23" t="s">
        <v>222</v>
      </c>
      <c r="E23">
        <f>SUM($C$20:C23)</f>
        <v>1310</v>
      </c>
      <c r="F23">
        <f ca="1">IF(A23=A22,"",SUMIF(A:A,A23,B:B))</f>
        <v>551</v>
      </c>
      <c r="H23" t="str">
        <f>ADDRESS(3,2)</f>
        <v>$B$3</v>
      </c>
      <c r="I23">
        <f>COUNTIF(I2:L2,"*")</f>
        <v>4</v>
      </c>
      <c r="J23">
        <f>SUMPRODUCT((--ISTEXT(I2:K2)))</f>
        <v>3</v>
      </c>
      <c r="L23" t="b">
        <f>COUNTIF(P18:P21,N17)=0</f>
        <v>0</v>
      </c>
      <c r="O23">
        <v>81</v>
      </c>
      <c r="Q23">
        <f>COUNTIF($O$18:O23,O23)</f>
        <v>1</v>
      </c>
      <c r="U23">
        <v>1</v>
      </c>
    </row>
    <row r="24" spans="1:22" x14ac:dyDescent="0.25">
      <c r="A24">
        <f>DCOUNT(A19:C23,"Price",D19:D20)</f>
        <v>4</v>
      </c>
      <c r="C24" t="s">
        <v>187</v>
      </c>
      <c r="D24">
        <f>INDEX(B20:B23,MATCH(MAX(B20:B23),B20:B23,0))</f>
        <v>451</v>
      </c>
      <c r="E24" cm="1">
        <f t="array" ref="E24">SUMPRODUCT(--(B20:B23&gt;C20:C23))</f>
        <v>1</v>
      </c>
      <c r="F24">
        <f>ROW()</f>
        <v>24</v>
      </c>
      <c r="G24">
        <f>COUNTIF(I2:I9,"M")+COUNTIF(J2:J7,"W")</f>
        <v>1</v>
      </c>
      <c r="H24">
        <f ca="1">INDIRECT(H23)</f>
        <v>0.33292824074074073</v>
      </c>
      <c r="I24">
        <f>SUMPRODUCT(COUNTIF(I2:I9,J2:J7))</f>
        <v>5</v>
      </c>
      <c r="K24" t="str">
        <f>VLOOKUP(120,IF(I24&lt;5,E20:F23,C20:D23),2,FALSE)</f>
        <v>he</v>
      </c>
      <c r="M24">
        <f>SUMPRODUCT(--(MOD(B20:B23,2)=0))</f>
        <v>3</v>
      </c>
      <c r="O24">
        <v>79</v>
      </c>
      <c r="Q24">
        <f>COUNTIF($O$18:O24,O24)</f>
        <v>3</v>
      </c>
      <c r="U24">
        <v>0</v>
      </c>
    </row>
    <row r="25" spans="1:22" x14ac:dyDescent="0.25">
      <c r="A25" t="s">
        <v>187</v>
      </c>
      <c r="B25">
        <f>SUMIFS($C$20:$C$23,$A$20:$A$23,A25,$B$20:$B$23,"&gt;50")</f>
        <v>690</v>
      </c>
      <c r="C25">
        <f>SUMPRODUCT(SUMIF(A20:A23,A25:A26,B20:B23))</f>
        <v>410</v>
      </c>
      <c r="D25">
        <f t="array" ref="D25">MAX(IF(C24=A20:A23,B20:B23))</f>
        <v>250</v>
      </c>
      <c r="E25">
        <f>INDEX(A19:C23,3,3)</f>
        <v>120</v>
      </c>
      <c r="G25" t="s">
        <v>187</v>
      </c>
      <c r="I25">
        <f>COUNTIF(B20:B23,"&lt;&gt;120")</f>
        <v>4</v>
      </c>
      <c r="K25">
        <f>COUNTIF(A19:C19,"pri*")</f>
        <v>1</v>
      </c>
      <c r="M25">
        <f>SUMPRODUCT(SMALL(O18:O26,{1,2,3}))</f>
        <v>236</v>
      </c>
      <c r="O25">
        <v>88</v>
      </c>
      <c r="Q25" t="e">
        <f>INDEX(C20:C23,MATCH(1,("A"=A20:A23),0))</f>
        <v>#VALUE!</v>
      </c>
      <c r="U25">
        <v>1</v>
      </c>
    </row>
    <row r="26" spans="1:22" x14ac:dyDescent="0.25">
      <c r="A26" t="s">
        <v>193</v>
      </c>
      <c r="B26">
        <f>SUMIFS($C$20:$C$23,$A$20:$A$23,A26,$B$20:$B$23,"&gt;50")</f>
        <v>120</v>
      </c>
      <c r="E26">
        <f>COUNTIF(I2:I9,)</f>
        <v>0</v>
      </c>
      <c r="G26" t="s">
        <v>216</v>
      </c>
      <c r="H26">
        <f>INDEX(B20:C23,MATCH(500,C20:C23,0),1)</f>
        <v>451</v>
      </c>
      <c r="I26" t="e">
        <f t="array" ref="I26">MATCH(TRUE,EXACT("B",A20:A23),0)</f>
        <v>#N/A</v>
      </c>
      <c r="O26">
        <v>85</v>
      </c>
      <c r="U26">
        <v>0</v>
      </c>
    </row>
    <row r="27" spans="1:22" x14ac:dyDescent="0.25">
      <c r="A27">
        <f>COUNTIFS(B20:B23,"&gt;="&amp;100,B20:B23,"&lt;"&amp;300)</f>
        <v>2</v>
      </c>
      <c r="B27" t="s">
        <v>217</v>
      </c>
      <c r="C27">
        <f>'Advanced Formulas'!A18</f>
        <v>16</v>
      </c>
      <c r="D27">
        <f>COUNTIFS(D21:D23,"&lt;&gt;*he*",D21:D23,"?*")</f>
        <v>2</v>
      </c>
      <c r="E27">
        <f>SUMPRODUCT((--EXACT("M",I2:I9)))</f>
        <v>1</v>
      </c>
      <c r="F27">
        <f>SUMPRODUCT(--EXACT("M",I2:I9))</f>
        <v>1</v>
      </c>
      <c r="G27">
        <f>INDEX(B20:C23,MATCH(G25,A20:A23,0),MATCH(G26,B19:C19,0))</f>
        <v>100</v>
      </c>
      <c r="H27">
        <f>INDEX(B20:B23,MATCH(G25,A20:A23,0))</f>
        <v>100</v>
      </c>
      <c r="I27">
        <f>COUNTA(I2:I9)-SUMPRODUCT(COUNTIF(I2:I9,"A"))</f>
        <v>7</v>
      </c>
      <c r="K27">
        <f>SUMPRODUCT(--ISERROR(I15:I17))</f>
        <v>2</v>
      </c>
      <c r="O27" t="s">
        <v>220</v>
      </c>
      <c r="Q27" s="23"/>
    </row>
    <row r="28" spans="1:22" x14ac:dyDescent="0.25">
      <c r="A28" t="e">
        <f t="array" ref="A28">INDEX(C20:C23,MATCH(1,("B"=A20:A23)*(250=B20:B23),0))</f>
        <v>#N/A</v>
      </c>
      <c r="B28">
        <f>SUM(INDEX(B20:C23,0,MATCH(B27,B19:C19,0)))</f>
        <v>1310</v>
      </c>
      <c r="C28" t="str">
        <f>INDEX(A20:A23,MATCH(MAX(B20:B23),B20:B23,0))</f>
        <v>E</v>
      </c>
      <c r="D28">
        <f>MATCH(250,B20:B23,0)</f>
        <v>3</v>
      </c>
      <c r="G28">
        <f>SUMPRODUCT(B20:C23*(G25=A20:A23)*(G26=B19:C19))</f>
        <v>350</v>
      </c>
      <c r="I28" t="b">
        <f>EXACT("B",A21)</f>
        <v>0</v>
      </c>
      <c r="M28">
        <f>INDEX(A20:C23,MATCH(A25,A20:A23,0),3)</f>
        <v>456</v>
      </c>
      <c r="S28">
        <v>1</v>
      </c>
      <c r="T28">
        <v>2</v>
      </c>
      <c r="U28">
        <f>SUMPRODUCT(COUNTIF($S$28:$S$35,T28))</f>
        <v>2</v>
      </c>
      <c r="V28">
        <f>COUNTIF($S$28:$S$35,T28)</f>
        <v>2</v>
      </c>
    </row>
    <row r="29" spans="1:22" x14ac:dyDescent="0.25">
      <c r="A29" cm="1">
        <f t="array" ref="A29">SUMPRODUCT(B20:C23*(B19:C19="Price")*(A20:A23="A"))</f>
        <v>350</v>
      </c>
      <c r="B29" cm="1">
        <f t="array" ref="B29">SUMPRODUCT(B20:C23*(B19:C19="Amount")*(A20:A23="A"))</f>
        <v>690</v>
      </c>
      <c r="D29">
        <f>SUM(INDEX(B20:C23,1,0))</f>
        <v>556</v>
      </c>
      <c r="E29" t="e">
        <f>MATCH(110,B20:B23,-1)</f>
        <v>#N/A</v>
      </c>
      <c r="F29" t="e">
        <f>MATCH("*"&amp;100&amp;"*",B20:B23&amp;" ",0)</f>
        <v>#VALUE!</v>
      </c>
      <c r="G29">
        <f>VLOOKUP(G25,A20:C23,MATCH(G26,A19:C19,0),FALSE)</f>
        <v>100</v>
      </c>
      <c r="H29" t="s">
        <v>216</v>
      </c>
      <c r="I29" cm="1">
        <f t="array" ref="I29">SUMPRODUCT((A20:A23="A")*(B20:B23&gt;C20:C23))</f>
        <v>1</v>
      </c>
      <c r="J29">
        <f>SUM(SUMIFS(B20:B23,A20:A23,{"A","D"}))</f>
        <v>410</v>
      </c>
      <c r="O29" t="str">
        <f>INDEX(A20:A23,MATCH(MIN(B20:B23),B20:B23,0))</f>
        <v>D</v>
      </c>
      <c r="S29">
        <v>2</v>
      </c>
      <c r="T29">
        <v>6</v>
      </c>
      <c r="U29">
        <f>SUMPRODUCT(COUNTIF($S$28:$S$35,T29))</f>
        <v>1</v>
      </c>
      <c r="V29">
        <f>COUNTIF($S$28:$S$35,T29)</f>
        <v>1</v>
      </c>
    </row>
    <row r="30" spans="1:22" x14ac:dyDescent="0.25">
      <c r="A30">
        <f>COUNT(B20:B23)</f>
        <v>4</v>
      </c>
      <c r="C30">
        <f>INDEX(E33:G37,3,2)</f>
        <v>90</v>
      </c>
      <c r="E30">
        <f>SUMPRODUCT(--ISERR(G9:G12))</f>
        <v>1</v>
      </c>
      <c r="G30" s="20" t="s">
        <v>223</v>
      </c>
      <c r="K30">
        <f>COUNTBLANK(O26:O28)</f>
        <v>1</v>
      </c>
      <c r="M30">
        <v>-2</v>
      </c>
      <c r="Q30">
        <f>TRUE*10*10</f>
        <v>100</v>
      </c>
      <c r="S30">
        <v>2</v>
      </c>
      <c r="T30">
        <v>1</v>
      </c>
      <c r="U30">
        <f>SUMPRODUCT(COUNTIF($S$28:$S$35,T30))</f>
        <v>3</v>
      </c>
      <c r="V30">
        <f>COUNTIF($S$28:$S$35,T30)</f>
        <v>3</v>
      </c>
    </row>
    <row r="31" spans="1:22" x14ac:dyDescent="0.25">
      <c r="A31">
        <f>SUBTOTAL(3,B20:B23)</f>
        <v>4</v>
      </c>
      <c r="H31">
        <f>SUMPRODUCT(--(I2:I7=J2:J7))</f>
        <v>0</v>
      </c>
      <c r="M31">
        <v>-3</v>
      </c>
      <c r="S31">
        <v>4</v>
      </c>
    </row>
    <row r="32" spans="1:22" x14ac:dyDescent="0.25">
      <c r="B32">
        <f t="array" aca="1" ref="B32:C33" ca="1">OFFSET(A20,1,1,2,2)</f>
        <v>60</v>
      </c>
      <c r="C32">
        <f ca="1"/>
        <v>120</v>
      </c>
      <c r="D32" t="e">
        <f>SUMPRODUCT(F34:G37*(F33:G33="Jan")*(E34:E37="D"))</f>
        <v>#N/A</v>
      </c>
      <c r="M32" t="s">
        <v>224</v>
      </c>
      <c r="O32">
        <f t="array" ref="O32">MATCH("*12*",TEXT(C20:C23,"0"),0)</f>
        <v>2</v>
      </c>
      <c r="S32">
        <v>1</v>
      </c>
    </row>
    <row r="33" spans="1:19" x14ac:dyDescent="0.25">
      <c r="B33">
        <f ca="1"/>
        <v>250</v>
      </c>
      <c r="C33">
        <f ca="1"/>
        <v>234</v>
      </c>
      <c r="E33" t="s">
        <v>215</v>
      </c>
      <c r="F33" t="s">
        <v>225</v>
      </c>
      <c r="G33" t="s">
        <v>226</v>
      </c>
      <c r="J33" t="e">
        <f>textjoin</f>
        <v>#NAME?</v>
      </c>
      <c r="M33">
        <v>-9</v>
      </c>
      <c r="S33">
        <v>6</v>
      </c>
    </row>
    <row r="34" spans="1:19" x14ac:dyDescent="0.25">
      <c r="A34" t="str">
        <f t="array" aca="1" ref="A34:C36" ca="1">OFFSET(E33:G37,0,0,3,3)</f>
        <v>Product</v>
      </c>
      <c r="B34" t="str">
        <f ca="1"/>
        <v>Jan</v>
      </c>
      <c r="C34" t="str">
        <f ca="1"/>
        <v>Feb</v>
      </c>
      <c r="D34">
        <f>SUMIF($E$34:$E$37,P34,$F$34:$F$37)</f>
        <v>100</v>
      </c>
      <c r="E34" t="s">
        <v>187</v>
      </c>
      <c r="F34">
        <v>100</v>
      </c>
      <c r="G34">
        <v>101</v>
      </c>
      <c r="I34" t="e">
        <f>VLOOKUP(O26,E34:F37,2,TRUE)</f>
        <v>#N/A</v>
      </c>
      <c r="J34" t="s">
        <v>227</v>
      </c>
      <c r="K34">
        <v>2</v>
      </c>
      <c r="M34">
        <f>MAXA(M30:M33)</f>
        <v>0</v>
      </c>
      <c r="O34" s="19">
        <v>100</v>
      </c>
      <c r="P34" t="s">
        <v>187</v>
      </c>
      <c r="Q34" t="e">
        <f>VLOOKUP(70,O34:P37,2)</f>
        <v>#N/A</v>
      </c>
      <c r="S34">
        <v>1</v>
      </c>
    </row>
    <row r="35" spans="1:19" x14ac:dyDescent="0.25">
      <c r="A35" t="str">
        <f ca="1"/>
        <v>A</v>
      </c>
      <c r="B35">
        <f ca="1"/>
        <v>100</v>
      </c>
      <c r="C35">
        <f ca="1"/>
        <v>101</v>
      </c>
      <c r="D35">
        <f>SUMIF($E$34:$E$37,P35,$F$34:$F$37)</f>
        <v>90</v>
      </c>
      <c r="E35" t="s">
        <v>192</v>
      </c>
      <c r="F35">
        <v>90</v>
      </c>
      <c r="G35" t="e">
        <f t="shared" ref="G35:G37" si="3">VLOOKUP(E35,A20:C24,2,FALSE)</f>
        <v>#N/A</v>
      </c>
      <c r="J35" t="s">
        <v>228</v>
      </c>
      <c r="K35" t="e">
        <f>SUM(INDEX(F34:G37,0,K34))</f>
        <v>#N/A</v>
      </c>
      <c r="O35" s="19">
        <v>80</v>
      </c>
      <c r="P35" t="s">
        <v>192</v>
      </c>
      <c r="S35">
        <v>4</v>
      </c>
    </row>
    <row r="36" spans="1:19" x14ac:dyDescent="0.25">
      <c r="A36" t="str">
        <f ca="1"/>
        <v>B</v>
      </c>
      <c r="B36">
        <f ca="1"/>
        <v>90</v>
      </c>
      <c r="C36" t="e">
        <f ca="1"/>
        <v>#N/A</v>
      </c>
      <c r="D36">
        <f>SUMIF($E$34:$E$37,P36,$F$34:$F$37)</f>
        <v>250</v>
      </c>
      <c r="E36" t="s">
        <v>229</v>
      </c>
      <c r="F36">
        <v>250</v>
      </c>
      <c r="G36">
        <v>251</v>
      </c>
      <c r="H36" t="e">
        <f>SUMPRODUCT(F34:G37*(E34:E37="A")*(F33:G33="Feb"))</f>
        <v>#N/A</v>
      </c>
      <c r="O36" s="19">
        <v>60</v>
      </c>
      <c r="P36" t="s">
        <v>229</v>
      </c>
    </row>
    <row r="37" spans="1:19" x14ac:dyDescent="0.25">
      <c r="D37">
        <f>SUMIF($E$34:$E$37,P37,$F$34:$F$37)</f>
        <v>500</v>
      </c>
      <c r="E37" t="s">
        <v>193</v>
      </c>
      <c r="F37">
        <v>500</v>
      </c>
      <c r="G37">
        <f t="shared" si="3"/>
        <v>120</v>
      </c>
      <c r="H37" t="e">
        <f>SUMPRODUCT(F34:G37*(F33:G33="Jan")*(E34:E37="A"))</f>
        <v>#N/A</v>
      </c>
      <c r="L37">
        <f t="array" ref="L37">LARGE(IF(E34:E37="A",F34:F37),1)</f>
        <v>100</v>
      </c>
      <c r="O37" s="19">
        <v>40</v>
      </c>
      <c r="P37" t="s">
        <v>193</v>
      </c>
    </row>
    <row r="38" spans="1:19" x14ac:dyDescent="0.25">
      <c r="B38">
        <f>INDEX(E33:G37,2,2)</f>
        <v>100</v>
      </c>
      <c r="F38" t="b">
        <v>1</v>
      </c>
      <c r="I38" t="e">
        <f>VLOOKUP(249,F34:G37,2,TRUE)</f>
        <v>#N/A</v>
      </c>
      <c r="K38">
        <f>SUBTOTAL(2,O24:O26)</f>
        <v>3</v>
      </c>
    </row>
    <row r="39" spans="1:19" x14ac:dyDescent="0.25">
      <c r="A39" cm="1">
        <f t="array" ref="A39:B40">_xlfn._xlws.SORT(D43:E44,1,-1,FALSE)</f>
        <v>55</v>
      </c>
      <c r="B39" t="str">
        <v>F</v>
      </c>
      <c r="D39">
        <f>ROWS(E33:E37)</f>
        <v>5</v>
      </c>
      <c r="E39">
        <f>AVERAGEA(F34:F38)</f>
        <v>188.2</v>
      </c>
      <c r="F39">
        <f>AVERAGEIFS(F34:F37,E34:E37,"A",A20:A23,"A")</f>
        <v>100</v>
      </c>
      <c r="K39">
        <f>SUMPRODUCT(--(ISNUMBER(E34:F37)))</f>
        <v>4</v>
      </c>
      <c r="L39" s="23">
        <f ca="1">SUM(OFFSET(F33,1,0,2))</f>
        <v>190</v>
      </c>
    </row>
    <row r="40" spans="1:19" x14ac:dyDescent="0.25">
      <c r="A40">
        <v>10</v>
      </c>
      <c r="B40" t="str">
        <v>F</v>
      </c>
      <c r="C40" t="s">
        <v>193</v>
      </c>
      <c r="D40">
        <f>INDEX(E34:G37,MATCH(C40,E34:E37,0),3)</f>
        <v>120</v>
      </c>
      <c r="G40">
        <f>MATCH(20,D43:D47,0)</f>
        <v>3</v>
      </c>
      <c r="L40" t="e">
        <f t="array" aca="1" ref="L40:M41" ca="1">OFFSET(E33,2,2,2,2)</f>
        <v>#N/A</v>
      </c>
      <c r="M40">
        <f ca="1"/>
        <v>0</v>
      </c>
    </row>
    <row r="41" spans="1:19" x14ac:dyDescent="0.25">
      <c r="B41">
        <v>0</v>
      </c>
      <c r="C41" t="s">
        <v>230</v>
      </c>
      <c r="G41" t="s">
        <v>187</v>
      </c>
      <c r="H41">
        <f>SUMPRODUCT(LARGE((E34:E37=G41)*F34:F37,{1,2}))</f>
        <v>100</v>
      </c>
      <c r="I41" t="e">
        <f>SUMPRODUCT(F34:G37*(F33:G33="Jan")*(E34:E37="B"))</f>
        <v>#N/A</v>
      </c>
      <c r="L41">
        <f ca="1"/>
        <v>251</v>
      </c>
      <c r="M41" t="e">
        <f ca="1"/>
        <v>#N/A</v>
      </c>
    </row>
    <row r="42" spans="1:19" x14ac:dyDescent="0.25">
      <c r="B42">
        <v>60</v>
      </c>
      <c r="C42" t="s">
        <v>193</v>
      </c>
      <c r="G42">
        <f>MATCH(55,D43:D51,0)</f>
        <v>2</v>
      </c>
    </row>
    <row r="43" spans="1:19" x14ac:dyDescent="0.25">
      <c r="B43">
        <v>70</v>
      </c>
      <c r="C43" t="s">
        <v>229</v>
      </c>
      <c r="D43">
        <v>10</v>
      </c>
      <c r="E43" t="str">
        <f>VLOOKUP(D43,$B$41:$C$45,2,TRUE)</f>
        <v>F</v>
      </c>
      <c r="F43" t="s">
        <v>230</v>
      </c>
      <c r="G43">
        <v>0</v>
      </c>
      <c r="H43" t="b">
        <f>AND($F$43=$E43,$D43&lt;=SMALL(IF($F$43=$E$43:$E$51,$D$43:$D$51),3))</f>
        <v>1</v>
      </c>
      <c r="I43">
        <v>10</v>
      </c>
      <c r="J43" t="str">
        <f>INDEX($F$43:$G$47,MATCH(I43,$G$43:$G$47,1),1)</f>
        <v>F</v>
      </c>
      <c r="K43" t="s">
        <v>231</v>
      </c>
      <c r="L43">
        <v>100</v>
      </c>
      <c r="M43">
        <f t="array" ref="M43">MATCH(TRUE,EXACT(K47,K43:K46),0)</f>
        <v>3</v>
      </c>
    </row>
    <row r="44" spans="1:19" x14ac:dyDescent="0.25">
      <c r="B44">
        <v>80</v>
      </c>
      <c r="C44" t="s">
        <v>192</v>
      </c>
      <c r="D44">
        <v>55</v>
      </c>
      <c r="E44" t="str">
        <f>VLOOKUP(D44,$B$41:$C$45,2,TRUE)</f>
        <v>F</v>
      </c>
      <c r="F44" t="s">
        <v>193</v>
      </c>
      <c r="G44">
        <v>60</v>
      </c>
      <c r="H44" t="b">
        <f t="shared" ref="H44:H51" si="4">AND($F$43=$E44,$D44&lt;=SMALL(IF($F$43=$E$43:$E$51,$D$43:$D$51),3))</f>
        <v>0</v>
      </c>
      <c r="I44">
        <v>20</v>
      </c>
      <c r="J44" t="str">
        <f t="shared" ref="J44:J51" si="5">INDEX($F$43:$G$47,MATCH(I44,$G$43:$G$47,1),1)</f>
        <v>F</v>
      </c>
      <c r="K44" t="s">
        <v>232</v>
      </c>
      <c r="L44">
        <v>200</v>
      </c>
      <c r="M44">
        <f t="array" ref="M44">INDEX(K43:L46,MATCH(TRUE,EXACT(K47,K43:K46),0),2)</f>
        <v>300</v>
      </c>
    </row>
    <row r="45" spans="1:19" x14ac:dyDescent="0.25">
      <c r="B45">
        <v>90</v>
      </c>
      <c r="C45" t="s">
        <v>187</v>
      </c>
      <c r="D45">
        <v>20</v>
      </c>
      <c r="E45" t="str">
        <f t="shared" ref="E45:E51" si="6">VLOOKUP(D45,$B$41:$C$45,2,TRUE)</f>
        <v>F</v>
      </c>
      <c r="F45" t="s">
        <v>229</v>
      </c>
      <c r="G45">
        <v>70</v>
      </c>
      <c r="H45" t="b">
        <f t="shared" si="4"/>
        <v>1</v>
      </c>
      <c r="I45">
        <v>68</v>
      </c>
      <c r="J45" t="str">
        <f t="shared" si="5"/>
        <v>D</v>
      </c>
      <c r="K45" t="s">
        <v>233</v>
      </c>
      <c r="L45">
        <v>300</v>
      </c>
      <c r="M45">
        <f>SUMPRODUCT(--(EXACT(K47,K43:K46)),L43:L46)</f>
        <v>300</v>
      </c>
    </row>
    <row r="46" spans="1:19" x14ac:dyDescent="0.25">
      <c r="D46">
        <v>69</v>
      </c>
      <c r="E46" t="str">
        <f t="shared" si="6"/>
        <v>D</v>
      </c>
      <c r="F46" t="s">
        <v>192</v>
      </c>
      <c r="G46">
        <v>80</v>
      </c>
      <c r="H46" t="e">
        <f t="shared" si="4"/>
        <v>#NUM!</v>
      </c>
      <c r="I46">
        <v>55</v>
      </c>
      <c r="J46" t="str">
        <f t="shared" si="5"/>
        <v>F</v>
      </c>
      <c r="K46" t="s">
        <v>234</v>
      </c>
      <c r="L46">
        <v>400</v>
      </c>
    </row>
    <row r="47" spans="1:19" x14ac:dyDescent="0.25">
      <c r="A47" s="13" t="s">
        <v>213</v>
      </c>
      <c r="B47" s="13" t="s">
        <v>214</v>
      </c>
      <c r="D47">
        <v>75</v>
      </c>
      <c r="E47" t="str">
        <f t="shared" si="6"/>
        <v>C</v>
      </c>
      <c r="F47" t="s">
        <v>187</v>
      </c>
      <c r="G47">
        <v>90</v>
      </c>
      <c r="H47" t="e">
        <f t="shared" si="4"/>
        <v>#NUM!</v>
      </c>
      <c r="I47">
        <v>20</v>
      </c>
      <c r="J47" t="str">
        <f t="shared" si="5"/>
        <v>F</v>
      </c>
      <c r="K47" t="s">
        <v>233</v>
      </c>
    </row>
    <row r="48" spans="1:19" x14ac:dyDescent="0.25">
      <c r="A48" s="13">
        <v>79</v>
      </c>
      <c r="B48" s="13">
        <v>70</v>
      </c>
      <c r="C48" t="str">
        <f>IF(COUNTIF($A$48:$A$56,B48),"OK","Missing")</f>
        <v>Missing</v>
      </c>
      <c r="D48">
        <v>9</v>
      </c>
      <c r="E48" t="str">
        <f t="shared" si="6"/>
        <v>F</v>
      </c>
      <c r="F48" t="str">
        <f>VLOOKUP(D48,B41:C45,2,TRUE)</f>
        <v>F</v>
      </c>
      <c r="G48" t="str">
        <f>VLOOKUP(69,D43:E51,2,FALSE)</f>
        <v>D</v>
      </c>
      <c r="H48" t="b">
        <f t="shared" si="4"/>
        <v>1</v>
      </c>
      <c r="I48">
        <v>79</v>
      </c>
      <c r="J48" t="str">
        <f t="shared" si="5"/>
        <v>C</v>
      </c>
    </row>
    <row r="49" spans="1:17" x14ac:dyDescent="0.25">
      <c r="A49" s="13">
        <v>85</v>
      </c>
      <c r="B49" s="13">
        <v>79</v>
      </c>
      <c r="C49" t="str">
        <f>IF(COUNTIF($A$48:$A$56,B49),"OK","Missing")</f>
        <v>OK</v>
      </c>
      <c r="D49">
        <v>79</v>
      </c>
      <c r="E49" t="str">
        <f t="shared" si="6"/>
        <v>C</v>
      </c>
      <c r="G49">
        <f>INDEX(D43:E51,MATCH("C",E43:E51,0),1)</f>
        <v>75</v>
      </c>
      <c r="H49" t="e">
        <f t="shared" si="4"/>
        <v>#NUM!</v>
      </c>
      <c r="I49">
        <v>90</v>
      </c>
      <c r="J49" t="str">
        <f t="shared" si="5"/>
        <v>A</v>
      </c>
      <c r="K49" s="13" t="s">
        <v>215</v>
      </c>
      <c r="L49" s="13" t="s">
        <v>216</v>
      </c>
      <c r="M49" s="13" t="s">
        <v>217</v>
      </c>
    </row>
    <row r="50" spans="1:17" x14ac:dyDescent="0.25">
      <c r="A50" s="13">
        <v>78</v>
      </c>
      <c r="B50" s="13">
        <v>89</v>
      </c>
      <c r="C50" t="str">
        <f t="shared" ref="C50:C51" si="7">IF(COUNTIF($A$48:$A$56,B50),"OK","Missing")</f>
        <v>Missing</v>
      </c>
      <c r="D50">
        <v>99</v>
      </c>
      <c r="E50" t="str">
        <f t="shared" si="6"/>
        <v>A</v>
      </c>
      <c r="H50" t="e">
        <f t="shared" si="4"/>
        <v>#NUM!</v>
      </c>
      <c r="I50">
        <v>99</v>
      </c>
      <c r="J50" t="str">
        <f t="shared" si="5"/>
        <v>A</v>
      </c>
      <c r="K50" s="13" t="s">
        <v>221</v>
      </c>
      <c r="L50" s="13">
        <v>100</v>
      </c>
      <c r="M50" s="13">
        <v>456</v>
      </c>
      <c r="N50" t="s">
        <v>215</v>
      </c>
      <c r="O50" t="s">
        <v>175</v>
      </c>
      <c r="Q50">
        <f>INDEX(L50:M53,MATCH(O53,K50:K53,0),MATCH(N51,L49:M49,0))</f>
        <v>250</v>
      </c>
    </row>
    <row r="51" spans="1:17" x14ac:dyDescent="0.25">
      <c r="A51" s="13">
        <v>85</v>
      </c>
      <c r="B51" s="13">
        <v>100</v>
      </c>
      <c r="C51" t="str">
        <f t="shared" si="7"/>
        <v>Missing</v>
      </c>
      <c r="D51">
        <v>100</v>
      </c>
      <c r="E51" t="str">
        <f t="shared" si="6"/>
        <v>A</v>
      </c>
      <c r="F51" t="e">
        <f>_xlfn.XMATCH(75,D43:E51,0,1)</f>
        <v>#VALUE!</v>
      </c>
      <c r="H51" t="e">
        <f t="shared" si="4"/>
        <v>#NUM!</v>
      </c>
      <c r="I51">
        <v>0</v>
      </c>
      <c r="J51" t="str">
        <f t="shared" si="5"/>
        <v>F</v>
      </c>
      <c r="K51" s="13" t="s">
        <v>193</v>
      </c>
      <c r="L51" s="13">
        <v>60</v>
      </c>
      <c r="M51" s="13">
        <v>120</v>
      </c>
      <c r="N51" t="s">
        <v>216</v>
      </c>
      <c r="O51">
        <v>250</v>
      </c>
      <c r="Q51">
        <f>VLOOKUP(O53,K50:M53,MATCH(N51,K49:M49,0),FALSE)</f>
        <v>250</v>
      </c>
    </row>
    <row r="52" spans="1:17" x14ac:dyDescent="0.25">
      <c r="A52" s="13">
        <v>79</v>
      </c>
      <c r="B52" s="13">
        <f>COUNTIF(B48:B51,"???")</f>
        <v>0</v>
      </c>
      <c r="C52">
        <f>COUNT(B47:B49)</f>
        <v>2</v>
      </c>
      <c r="F52">
        <f>SUMPRODUCT(--({FALSE;TRUE;TRUE;TRUE;TRUE}))</f>
        <v>4</v>
      </c>
      <c r="G52" t="s">
        <v>229</v>
      </c>
      <c r="H52">
        <f>INDEX(D43:D51,MATCH(_xlfn.MAXIFS(D43:D51,E43:E51,"C"),D43:D51,0))</f>
        <v>79</v>
      </c>
      <c r="I52" cm="1">
        <f t="array" aca="1" ref="I52" ca="1">SUMPRODUCT(SMALL(I43:I51,ROW(INDIRECT("1:3"))))</f>
        <v>30</v>
      </c>
      <c r="K52" s="13" t="s">
        <v>187</v>
      </c>
      <c r="L52" s="13">
        <v>250</v>
      </c>
      <c r="M52" s="13">
        <v>234</v>
      </c>
      <c r="N52" t="s">
        <v>217</v>
      </c>
      <c r="O52" t="e" cm="1">
        <f t="array" ref="O52">INDEX(M50:M53,MATCH(TRUE,EXACT(O50,K50:K53),0))</f>
        <v>#N/A</v>
      </c>
      <c r="P52" t="e" cm="1">
        <f t="array" ref="P52">INDEX(M50:M53,MATCH(1,(EXACT(O50,K50:K53))*(O51=L50:L53),0))</f>
        <v>#N/A</v>
      </c>
    </row>
    <row r="53" spans="1:17" x14ac:dyDescent="0.25">
      <c r="A53" s="13">
        <v>81</v>
      </c>
      <c r="B53" s="13" cm="1">
        <f t="array" ref="B53">SUMPRODUCT(--(LEN(B48:B51)=3))</f>
        <v>1</v>
      </c>
      <c r="C53">
        <f>COUNTA(B47:B49)</f>
        <v>3</v>
      </c>
      <c r="E53">
        <f>_xlfn.XLOOKUP("C",E43:E51,D43:D51,,0,1)</f>
        <v>75</v>
      </c>
      <c r="G53" cm="1">
        <f t="array" aca="1" ref="G53" ca="1">INDIRECT("D48",TRUE)</f>
        <v>9</v>
      </c>
      <c r="H53">
        <f>LOOKUP("C",E43:E51,D43:D51)</f>
        <v>75</v>
      </c>
      <c r="I53" cm="1">
        <f t="array" aca="1" ref="I53" ca="1">INDIRECT("A2",TRUE)</f>
        <v>200</v>
      </c>
      <c r="K53" s="13" t="s">
        <v>187</v>
      </c>
      <c r="L53" s="13">
        <v>451</v>
      </c>
      <c r="M53" s="13">
        <v>500</v>
      </c>
      <c r="O53" t="s">
        <v>187</v>
      </c>
      <c r="P53">
        <f>VLOOKUP(O50,K50:L53,2,FALSE)</f>
        <v>250</v>
      </c>
    </row>
    <row r="54" spans="1:17" x14ac:dyDescent="0.25">
      <c r="A54" s="13">
        <v>79</v>
      </c>
      <c r="B54" s="13"/>
      <c r="C54" t="s">
        <v>235</v>
      </c>
      <c r="D54">
        <f>SEARCH("el","hello")</f>
        <v>2</v>
      </c>
      <c r="G54" cm="1">
        <f t="array" ref="G54">SUMPRODUCT(--(LEN(C48:C51)=2))</f>
        <v>1</v>
      </c>
      <c r="I54" cm="1">
        <f t="array" ref="I54">SUMPRODUCT(--(ISERROR(H43:H48)))</f>
        <v>2</v>
      </c>
      <c r="O54">
        <f>INDEX(K50:M53,MATCH(O50,K50:K53,0),3)</f>
        <v>234</v>
      </c>
    </row>
    <row r="55" spans="1:17" x14ac:dyDescent="0.25">
      <c r="A55" s="13">
        <v>88</v>
      </c>
      <c r="B55" s="13"/>
      <c r="C55" t="s">
        <v>236</v>
      </c>
      <c r="G55">
        <f>MATCH(N52,K49:M49,0)</f>
        <v>3</v>
      </c>
      <c r="H55">
        <f>LOOKUP(1010,B48:B51)</f>
        <v>100</v>
      </c>
      <c r="K55">
        <f>INDEX(L50:L53,MATCH(MAX(L50:L53),L50:L53,0))</f>
        <v>451</v>
      </c>
      <c r="L55" cm="1">
        <f t="array" ref="L55">SUMPRODUCT(--(EXACT(O50,K50:K53)),L50:L53)</f>
        <v>0</v>
      </c>
      <c r="M55">
        <f>INDEX(K50:M53,MATCH(TRUE,{FALSE;FALSE;TRUE;FALSE},0),2)</f>
        <v>250</v>
      </c>
      <c r="N55" t="e" cm="1">
        <f t="array" ref="N55">MATCH(TRUE,EXACT(O50,K50:K53),0)</f>
        <v>#N/A</v>
      </c>
      <c r="O55" t="e" cm="1">
        <f t="array" ref="O55">INDEX(K50:M53,MATCH(TRUE,EXACT(O50,K50:K53),0),3)</f>
        <v>#N/A</v>
      </c>
      <c r="P55" cm="1">
        <f t="array" ref="P55">MATCH("*"&amp;2&amp;"*",TEXT(M50:M53,"0"),0)</f>
        <v>2</v>
      </c>
    </row>
    <row r="56" spans="1:17" x14ac:dyDescent="0.25">
      <c r="A56" s="13">
        <v>85</v>
      </c>
      <c r="B56" s="13"/>
      <c r="C56" s="19" t="s">
        <v>220</v>
      </c>
      <c r="E56">
        <f>COUNTIFS(C54:C58,"*",C54:C58,"&lt;&gt; ")</f>
        <v>2</v>
      </c>
      <c r="J56">
        <f>SMALL(L50:L53,2)</f>
        <v>100</v>
      </c>
      <c r="M56" t="e" cm="1">
        <f t="array" ref="M56">INDEX(K50:M53,MATCH(TRUE,EXACT(O50,K50:K53),0),3)</f>
        <v>#N/A</v>
      </c>
      <c r="N56" t="str" cm="1">
        <f t="array" ref="N56">INDEX(N50:N52,MATCH(MAX(LEN(N50:N52)),LEN(N50:N52),0))</f>
        <v>Product</v>
      </c>
    </row>
    <row r="57" spans="1:17" x14ac:dyDescent="0.25">
      <c r="C57">
        <v>10</v>
      </c>
      <c r="D57">
        <f>SUMPRODUCT(--(ISTEXT(C54:C58)))</f>
        <v>3</v>
      </c>
      <c r="K57" t="e" cm="1">
        <f t="array" ref="K57">MATCH(TRUE,EXACT(O50,K50:K53),0)</f>
        <v>#N/A</v>
      </c>
      <c r="L57">
        <f>MATCH(O50,K50:K53,0)</f>
        <v>3</v>
      </c>
      <c r="M57" t="e" cm="1">
        <f t="array" ref="M57">MATCH(TRUE,EXACT(O50,K50:K53),0)</f>
        <v>#N/A</v>
      </c>
      <c r="N57">
        <f>INDEX(L50:M53,MATCH(Q60,K50:K53,0),MATCH("Amount",L49:M49,0))</f>
        <v>234</v>
      </c>
      <c r="O57">
        <f>SUM(INDEX(L50:M53,0,MATCH("Price",L49:M49,0)))</f>
        <v>861</v>
      </c>
      <c r="P57">
        <f>SUM(INDEX(L50:M53,0,MATCH("Price",L49:M49,0)))</f>
        <v>861</v>
      </c>
    </row>
    <row r="58" spans="1:17" x14ac:dyDescent="0.25">
      <c r="C58" t="e">
        <f>NA()</f>
        <v>#N/A</v>
      </c>
      <c r="H58" cm="1">
        <f t="array" ref="H58">SUMPRODUCT(--(EXACT("Red",H59:H64)))</f>
        <v>1</v>
      </c>
      <c r="I58" cm="1">
        <f t="array" ref="I58">SUMPRODUCT(COUNTIF(H59:H64,L59:L60))</f>
        <v>2</v>
      </c>
      <c r="J58" cm="1">
        <f t="array" ref="J58">SUMPRODUCT(--ISNUMBER(MATCH(L59:L60,H59:H64,0)))</f>
        <v>2</v>
      </c>
      <c r="N58">
        <f>VLOOKUP(Q60,K50:M53,MATCH("Amount",K49:M49,0),FALSE)</f>
        <v>234</v>
      </c>
      <c r="O58">
        <f>SUM(INDEX(L50:M53,0,MATCH("Amount",L49:M49,0)))</f>
        <v>1310</v>
      </c>
    </row>
    <row r="59" spans="1:17" x14ac:dyDescent="0.25">
      <c r="H59" t="s">
        <v>237</v>
      </c>
      <c r="I59">
        <v>10</v>
      </c>
      <c r="J59">
        <v>10</v>
      </c>
      <c r="K59">
        <f>COUNTIFS(H59:H64,H59,I59:I64,I59,J59:J64,J59)</f>
        <v>1</v>
      </c>
      <c r="L59" t="s">
        <v>238</v>
      </c>
      <c r="M59" cm="1">
        <f t="array" ref="M59">SUMPRODUCT(--ISNA(MATCH(H59:H64,L59:L60,0)))</f>
        <v>4</v>
      </c>
      <c r="O59" t="s">
        <v>239</v>
      </c>
      <c r="P59">
        <v>60</v>
      </c>
      <c r="Q59" cm="1">
        <f t="array" ref="Q59">INDEX(L50:L53,MATCH(TRUE,EXACT(Q60,K50:K53),0))</f>
        <v>250</v>
      </c>
    </row>
    <row r="60" spans="1:17" x14ac:dyDescent="0.25">
      <c r="A60" s="11">
        <v>44480</v>
      </c>
      <c r="B60" cm="1">
        <f t="array" ref="B60">SUMPRODUCT(--(WEEKDAY(A60:A74,1)=7)*(A60:A74&lt;&gt;""))</f>
        <v>3</v>
      </c>
      <c r="C60">
        <v>1</v>
      </c>
      <c r="D60">
        <v>1</v>
      </c>
      <c r="F60">
        <v>30</v>
      </c>
      <c r="G60" t="b">
        <f>ISNA(MATCH(F60:F62,D60:D65,0))</f>
        <v>1</v>
      </c>
      <c r="H60" t="s">
        <v>238</v>
      </c>
      <c r="I60">
        <v>10</v>
      </c>
      <c r="J60">
        <v>10</v>
      </c>
      <c r="K60">
        <f t="shared" ref="K60:K64" si="8">COUNTIFS(H60:H65,H60,I60:I65,I60,J60:J65,J60)</f>
        <v>1</v>
      </c>
      <c r="L60" t="s">
        <v>240</v>
      </c>
      <c r="M60" cm="1">
        <f t="array" ref="M60">COUNTA(H59:H64)-SUMPRODUCT(COUNTIF(H59:H64,L59:L60))</f>
        <v>3</v>
      </c>
      <c r="O60" t="s">
        <v>241</v>
      </c>
      <c r="P60" t="str">
        <f>INDEX(K50:K53,MATCH(P59,L50:L53,0))</f>
        <v>D</v>
      </c>
      <c r="Q60" t="s">
        <v>187</v>
      </c>
    </row>
    <row r="61" spans="1:17" x14ac:dyDescent="0.25">
      <c r="A61" s="11">
        <v>44481</v>
      </c>
      <c r="B61" t="b">
        <f>AND(A60&gt;DATE(2021,10,2),A60&lt;DATE(2022,1,1))</f>
        <v>1</v>
      </c>
      <c r="C61">
        <v>2</v>
      </c>
      <c r="D61">
        <v>2</v>
      </c>
      <c r="F61">
        <v>4</v>
      </c>
      <c r="H61" t="s">
        <v>242</v>
      </c>
      <c r="I61">
        <v>10</v>
      </c>
      <c r="J61">
        <v>10</v>
      </c>
      <c r="K61">
        <f t="shared" si="8"/>
        <v>2</v>
      </c>
      <c r="M61" cm="1">
        <f t="array" ref="M61">SUMPRODUCT(--(LEN(H59:H64)=6))</f>
        <v>0</v>
      </c>
      <c r="Q61" cm="1">
        <f t="array" ref="Q61">MAX(IF(EXACT(Q60,K50:K53),L50:L53))</f>
        <v>451</v>
      </c>
    </row>
    <row r="62" spans="1:17" x14ac:dyDescent="0.25">
      <c r="A62" s="11">
        <v>44543</v>
      </c>
      <c r="B62" t="b">
        <f>TEXT(A60,"mmyyyy")=TEXT(DATE(2021,10,11),"mmyyyy")</f>
        <v>1</v>
      </c>
      <c r="C62">
        <v>3</v>
      </c>
      <c r="D62">
        <v>3</v>
      </c>
      <c r="F62">
        <v>10</v>
      </c>
      <c r="H62" t="s">
        <v>242</v>
      </c>
      <c r="I62">
        <v>10</v>
      </c>
      <c r="J62">
        <v>10</v>
      </c>
      <c r="K62">
        <f t="shared" si="8"/>
        <v>1</v>
      </c>
      <c r="M62" cm="1">
        <f t="array" ref="M62">SUMPRODUCT(--ISERROR(H59:H64))</f>
        <v>0</v>
      </c>
      <c r="Q62">
        <f>_xlfn.MAXIFS(L50:L53,K50:K53,Q60)</f>
        <v>451</v>
      </c>
    </row>
    <row r="63" spans="1:17" x14ac:dyDescent="0.25">
      <c r="A63" s="11">
        <v>44483</v>
      </c>
      <c r="B63" t="b">
        <f>TEXT(A60,"mmyyyy")=TEXT(DATE(2021,11,11),"mmyyyy")</f>
        <v>0</v>
      </c>
      <c r="C63">
        <v>10</v>
      </c>
      <c r="D63">
        <v>4</v>
      </c>
      <c r="I63">
        <v>10</v>
      </c>
      <c r="J63">
        <v>10</v>
      </c>
      <c r="K63">
        <f t="shared" si="8"/>
        <v>0</v>
      </c>
      <c r="M63" cm="1">
        <f t="array" ref="M63">SUMPRODUCT(--(ISNUMBER(FIND({"Red","Black"},H59:H65))))</f>
        <v>2</v>
      </c>
    </row>
    <row r="64" spans="1:17" x14ac:dyDescent="0.25">
      <c r="A64" s="11">
        <v>44545</v>
      </c>
      <c r="B64" t="s">
        <v>243</v>
      </c>
      <c r="C64">
        <v>5</v>
      </c>
      <c r="D64">
        <v>10</v>
      </c>
      <c r="F64">
        <f ca="1">SUM(OFFSET(D60,COUNT(D60:D67),0,-3))</f>
        <v>108</v>
      </c>
      <c r="H64" t="s">
        <v>240</v>
      </c>
      <c r="I64">
        <v>200</v>
      </c>
      <c r="J64">
        <v>200</v>
      </c>
      <c r="K64">
        <f t="shared" si="8"/>
        <v>1</v>
      </c>
      <c r="L64">
        <f>COUNTIF(H59:H64,"????")</f>
        <v>2</v>
      </c>
    </row>
    <row r="65" spans="1:15" x14ac:dyDescent="0.25">
      <c r="A65" s="11">
        <v>44546</v>
      </c>
      <c r="B65" t="b">
        <f>OR(WEEKDAY(A67,1)=1,WEEKDAY(A67,1)=7)</f>
        <v>1</v>
      </c>
      <c r="C65">
        <v>6</v>
      </c>
      <c r="D65">
        <v>3</v>
      </c>
      <c r="H65">
        <v>0</v>
      </c>
    </row>
    <row r="66" spans="1:15" x14ac:dyDescent="0.25">
      <c r="A66" s="11">
        <v>44517</v>
      </c>
      <c r="C66">
        <v>7</v>
      </c>
      <c r="D66">
        <v>67</v>
      </c>
      <c r="G66">
        <f>COUNT(D64:D67)</f>
        <v>4</v>
      </c>
      <c r="H66" cm="1">
        <f t="array" ref="H66">SUMPRODUCT(--(MOD(D64:D67,2)=1))</f>
        <v>3</v>
      </c>
      <c r="I66">
        <f>COUNTIF(H59:H64,"Red")</f>
        <v>1</v>
      </c>
      <c r="J66">
        <f>COUNTIF(H63:H66,"*")</f>
        <v>1</v>
      </c>
    </row>
    <row r="67" spans="1:15" x14ac:dyDescent="0.25">
      <c r="A67" s="11">
        <v>44548</v>
      </c>
      <c r="C67">
        <v>8</v>
      </c>
      <c r="D67">
        <v>41</v>
      </c>
      <c r="H67" cm="1">
        <f t="array" ref="H67">SUMPRODUCT(--(ISTEXT(H64:H66)))</f>
        <v>1</v>
      </c>
      <c r="K67" cm="1">
        <f t="array" ref="K67">SUMPRODUCT(--(I58:I60=J58:J60))</f>
        <v>3</v>
      </c>
    </row>
    <row r="68" spans="1:15" x14ac:dyDescent="0.25">
      <c r="A68" s="11">
        <v>44549</v>
      </c>
      <c r="C68">
        <v>9</v>
      </c>
      <c r="E68" cm="1">
        <f t="array" ref="E68">SUMPRODUCT((MONTH(A60:A74)=10)*C60:C74)</f>
        <v>13</v>
      </c>
      <c r="G68">
        <f>COUNTA(D64:D67)</f>
        <v>4</v>
      </c>
      <c r="I68">
        <f>COUNTIFS(H59:H64,"?ed")</f>
        <v>1</v>
      </c>
    </row>
    <row r="69" spans="1:15" x14ac:dyDescent="0.25">
      <c r="A69" s="11">
        <v>44520</v>
      </c>
      <c r="C69">
        <v>10</v>
      </c>
      <c r="E69" cm="1">
        <f t="array" ref="E69">SUMPRODUCT((MONTH($A$60:$A$74)=11)*$C$60:$C$74)</f>
        <v>28</v>
      </c>
      <c r="F69" cm="1">
        <f t="array" aca="1" ref="F69" ca="1">SUMPRODUCT(COUNTIF(INDIRECT("'"&amp;Sheets&amp;"'!A1:Z100"),D71))</f>
        <v>1</v>
      </c>
      <c r="H69">
        <f>COUNTIFS(H59:H64,"Blue",I59:I64,10)</f>
        <v>2</v>
      </c>
    </row>
    <row r="70" spans="1:15" x14ac:dyDescent="0.25">
      <c r="A70" s="11">
        <v>44521</v>
      </c>
      <c r="C70">
        <v>11</v>
      </c>
      <c r="E70" cm="1">
        <f t="array" ref="E70">SUMPRODUCT((MONTH($A$60:$A$74)=MONTH(A77))*$C$60:$C$74)</f>
        <v>85</v>
      </c>
      <c r="F70">
        <f>WEEKNUM(A75,1)</f>
        <v>40</v>
      </c>
      <c r="I70" t="s">
        <v>244</v>
      </c>
      <c r="J70">
        <v>100</v>
      </c>
    </row>
    <row r="71" spans="1:15" x14ac:dyDescent="0.25">
      <c r="A71" s="11">
        <v>44552</v>
      </c>
      <c r="B71" cm="1">
        <f t="array" ref="B71">SUMPRODUCT(COUNTIF(B61:B65,{"False","True"}))</f>
        <v>4</v>
      </c>
      <c r="C71">
        <v>12</v>
      </c>
      <c r="D71">
        <v>21</v>
      </c>
      <c r="F71" cm="1">
        <f t="array" ref="F71">SUMPRODUCT(--(LEFT(D71:D76,2)="40"))</f>
        <v>4</v>
      </c>
      <c r="G71">
        <f>COUNT(_xlfn.UNIQUE(I58:I64))</f>
        <v>3</v>
      </c>
      <c r="I71" t="s">
        <v>245</v>
      </c>
      <c r="J71">
        <v>250</v>
      </c>
    </row>
    <row r="72" spans="1:15" x14ac:dyDescent="0.25">
      <c r="A72" s="11">
        <v>44553</v>
      </c>
      <c r="C72">
        <v>13</v>
      </c>
      <c r="D72">
        <v>40</v>
      </c>
      <c r="G72" cm="1">
        <f t="array" ref="G72">SUM(--(FREQUENCY(I58:I64,I58:I64)&gt;0))</f>
        <v>3</v>
      </c>
      <c r="J72">
        <v>300</v>
      </c>
    </row>
    <row r="73" spans="1:15" x14ac:dyDescent="0.25">
      <c r="A73" s="11">
        <v>44554</v>
      </c>
      <c r="C73">
        <v>14</v>
      </c>
      <c r="D73">
        <v>401</v>
      </c>
      <c r="E73" s="1">
        <v>44480</v>
      </c>
      <c r="F73">
        <f>SUMIFS(C60:C74,A60:A74,"&gt;="&amp;E73,A60:A74,"&lt;="&amp;EOMONTH(E74,0))</f>
        <v>13</v>
      </c>
      <c r="G73" cm="1">
        <f t="array" ref="G73">SUMPRODUCT((H59:H64&lt;&gt;"")/COUNTIF(H59:H64,H59:H64&amp;""))</f>
        <v>4</v>
      </c>
      <c r="H73" cm="1">
        <f t="array" ref="H73">SUMPRODUCT((H59:H65&lt;&gt;"")/COUNTIF(H59:H65,H59:H65&amp;""))</f>
        <v>5</v>
      </c>
      <c r="I73">
        <v>200</v>
      </c>
      <c r="J73" t="str">
        <f>IF(I73=2,COUNTIF($I$73:I73,I73),"")</f>
        <v/>
      </c>
      <c r="K73" t="b">
        <f>COUNTIF($I$73:$I$86,I73)=1</f>
        <v>0</v>
      </c>
      <c r="L73">
        <f>COUNTIF($I$73:I73,I73)</f>
        <v>1</v>
      </c>
      <c r="M73">
        <f>SUM($I$73:I73)</f>
        <v>200</v>
      </c>
      <c r="N73" t="b">
        <f>ISEVEN(ROW())</f>
        <v>0</v>
      </c>
      <c r="O73" t="b">
        <f>MOD(I73,1)=0</f>
        <v>1</v>
      </c>
    </row>
    <row r="74" spans="1:15" x14ac:dyDescent="0.25">
      <c r="A74" s="11">
        <v>44555</v>
      </c>
      <c r="C74">
        <v>15</v>
      </c>
      <c r="D74">
        <v>4010</v>
      </c>
      <c r="E74" s="1">
        <v>44487</v>
      </c>
      <c r="F74">
        <f>AVERAGEIFS(C60:C74,A60:A74,"&gt;="&amp;E73,A60:A74,"&lt;="&amp;EOMONTH(E74,0))</f>
        <v>4.333333333333333</v>
      </c>
      <c r="I74">
        <v>2</v>
      </c>
      <c r="J74">
        <f>IF(I74=2,COUNTIF($I$73:I74,I74),"")</f>
        <v>1</v>
      </c>
      <c r="K74" t="b">
        <f t="shared" ref="K74:K86" si="9">COUNTIF($I$73:$I$86,I74)=1</f>
        <v>0</v>
      </c>
      <c r="L74">
        <f>COUNTIF($I$73:I74,I74)</f>
        <v>1</v>
      </c>
      <c r="M74">
        <f>SUM($I$73:I74)</f>
        <v>202</v>
      </c>
      <c r="N74" t="b">
        <f>ISEVEN(ROW())</f>
        <v>1</v>
      </c>
      <c r="O74" t="b">
        <f t="shared" ref="O74:O86" si="10">MOD(I74,1)=0</f>
        <v>1</v>
      </c>
    </row>
    <row r="75" spans="1:15" x14ac:dyDescent="0.25">
      <c r="A75" s="1">
        <v>44470</v>
      </c>
      <c r="B75">
        <f>SUMIFS($C$60:$C$74,$A$60:$A$74,"&gt;="&amp;A75,$A$60:$A$74,"&lt;="&amp;EOMONTH(A75,0))</f>
        <v>13</v>
      </c>
      <c r="D75">
        <v>5000</v>
      </c>
      <c r="I75">
        <v>200</v>
      </c>
      <c r="J75" t="str">
        <f>IF(I75=2,COUNTIF($I$73:I75,I75),"")</f>
        <v/>
      </c>
      <c r="K75" t="b">
        <f t="shared" si="9"/>
        <v>0</v>
      </c>
      <c r="L75">
        <f>COUNTIF($I$73:I75,I75)</f>
        <v>2</v>
      </c>
      <c r="M75">
        <f>SUM($I$73:I75)</f>
        <v>402</v>
      </c>
      <c r="N75" t="b">
        <f t="shared" ref="N75:N86" si="11">ISEVEN(ROW())</f>
        <v>0</v>
      </c>
      <c r="O75" t="b">
        <f t="shared" si="10"/>
        <v>1</v>
      </c>
    </row>
    <row r="76" spans="1:15" x14ac:dyDescent="0.25">
      <c r="A76" s="1">
        <v>44501</v>
      </c>
      <c r="B76">
        <f t="shared" ref="B76:B77" si="12">SUMIFS($C$60:$C$74,$A$60:$A$74,"&gt;="&amp;A76,$A$60:$A$74,"&lt;="&amp;EOMONTH(A76,0))</f>
        <v>28</v>
      </c>
      <c r="D76">
        <v>4000</v>
      </c>
      <c r="E76">
        <f>SUMIFS(C60:C74,A60:A74,"&gt;="&amp;E73,A60:A74,"&lt;="&amp;EOMONTH(E74,0))</f>
        <v>13</v>
      </c>
      <c r="G76" t="s">
        <v>246</v>
      </c>
      <c r="H76" t="s">
        <v>235</v>
      </c>
      <c r="I76">
        <v>10</v>
      </c>
      <c r="J76" t="str">
        <f>IF(I76=2,COUNTIF($I$73:I76,I76),"")</f>
        <v/>
      </c>
      <c r="K76" t="b">
        <f t="shared" si="9"/>
        <v>0</v>
      </c>
      <c r="L76">
        <f>COUNTIF($I$73:I76,I76)</f>
        <v>1</v>
      </c>
      <c r="M76">
        <f>SUM($I$73:I76)</f>
        <v>412</v>
      </c>
      <c r="N76" t="b">
        <f t="shared" si="11"/>
        <v>1</v>
      </c>
      <c r="O76" t="b">
        <f t="shared" si="10"/>
        <v>1</v>
      </c>
    </row>
    <row r="77" spans="1:15" x14ac:dyDescent="0.25">
      <c r="A77" s="1">
        <v>44531</v>
      </c>
      <c r="B77">
        <f t="shared" si="12"/>
        <v>85</v>
      </c>
      <c r="G77" t="s">
        <v>247</v>
      </c>
      <c r="H77" t="s">
        <v>247</v>
      </c>
      <c r="I77">
        <v>20</v>
      </c>
      <c r="J77" t="str">
        <f>IF(I77=2,COUNTIF($I$73:I77,I77),"")</f>
        <v/>
      </c>
      <c r="K77" t="b">
        <f t="shared" si="9"/>
        <v>0</v>
      </c>
      <c r="L77">
        <f>COUNTIF($I$73:I77,I77)</f>
        <v>1</v>
      </c>
      <c r="M77">
        <f>SUM($I$73:I77)</f>
        <v>432</v>
      </c>
      <c r="N77" t="b">
        <f t="shared" si="11"/>
        <v>0</v>
      </c>
      <c r="O77" t="b">
        <f t="shared" si="10"/>
        <v>1</v>
      </c>
    </row>
    <row r="78" spans="1:15" x14ac:dyDescent="0.25">
      <c r="A78" t="s">
        <v>248</v>
      </c>
      <c r="B78">
        <f>COUNTIF(D78:D89,"red")</f>
        <v>4</v>
      </c>
      <c r="C78" t="b">
        <f>ISNUMBER(FIND("re",D78))</f>
        <v>1</v>
      </c>
      <c r="D78" t="s">
        <v>248</v>
      </c>
      <c r="E78">
        <f>COUNTIF($D$78:D78,D78)</f>
        <v>1</v>
      </c>
      <c r="F78" cm="1">
        <f t="array" ref="F78">SUM(COUNTIF(D78:D89,A78:A80))</f>
        <v>12</v>
      </c>
      <c r="G78" t="s">
        <v>249</v>
      </c>
      <c r="H78" t="s">
        <v>249</v>
      </c>
      <c r="I78">
        <v>30</v>
      </c>
      <c r="J78" t="str">
        <f>IF(I78=2,COUNTIF($I$73:I78,I78),"")</f>
        <v/>
      </c>
      <c r="K78" t="b">
        <f t="shared" si="9"/>
        <v>0</v>
      </c>
      <c r="L78">
        <f>COUNTIF($I$73:I78,I78)</f>
        <v>1</v>
      </c>
      <c r="M78">
        <f>SUM($I$73:I78)</f>
        <v>462</v>
      </c>
      <c r="N78" t="b">
        <f t="shared" si="11"/>
        <v>1</v>
      </c>
      <c r="O78" t="b">
        <f t="shared" si="10"/>
        <v>1</v>
      </c>
    </row>
    <row r="79" spans="1:15" x14ac:dyDescent="0.25">
      <c r="A79" t="s">
        <v>250</v>
      </c>
      <c r="B79">
        <f>COUNTIF(D78:D89,"blue")</f>
        <v>4</v>
      </c>
      <c r="C79" t="b">
        <f t="shared" ref="C79:C89" si="13">ISNUMBER(FIND("re",D79))</f>
        <v>0</v>
      </c>
      <c r="D79" t="s">
        <v>250</v>
      </c>
      <c r="E79">
        <f>COUNTIF($D$78:D79,D79)</f>
        <v>1</v>
      </c>
      <c r="F79">
        <f>COUNTIFS(I73:I86,"&gt;300",I73:I86,"&lt;500",I73:I86,"=400")</f>
        <v>1</v>
      </c>
      <c r="H79" t="s">
        <v>251</v>
      </c>
      <c r="I79">
        <v>2</v>
      </c>
      <c r="J79">
        <f>IF(I79=2,COUNTIF($I$73:I79,I79),"")</f>
        <v>2</v>
      </c>
      <c r="K79" t="b">
        <f t="shared" si="9"/>
        <v>0</v>
      </c>
      <c r="L79">
        <f>COUNTIF($I$73:I79,I79)</f>
        <v>2</v>
      </c>
      <c r="M79">
        <f>SUM($I$73:I79)</f>
        <v>464</v>
      </c>
      <c r="N79" t="b">
        <f t="shared" si="11"/>
        <v>0</v>
      </c>
      <c r="O79" t="b">
        <f t="shared" si="10"/>
        <v>1</v>
      </c>
    </row>
    <row r="80" spans="1:15" x14ac:dyDescent="0.25">
      <c r="A80" t="s">
        <v>252</v>
      </c>
      <c r="B80">
        <f>COUNTIF(D78:D89,"green")</f>
        <v>4</v>
      </c>
      <c r="C80" t="b">
        <f t="shared" si="13"/>
        <v>1</v>
      </c>
      <c r="D80" t="s">
        <v>252</v>
      </c>
      <c r="E80">
        <f>COUNTIF($D$78:D80,D80)</f>
        <v>1</v>
      </c>
      <c r="F80" cm="1">
        <f t="array" ref="F80">SUM(COUNTIF(I73:I86,{"&gt;299","=400"}))</f>
        <v>4</v>
      </c>
      <c r="H80" t="s">
        <v>247</v>
      </c>
      <c r="I80">
        <v>10</v>
      </c>
      <c r="J80" t="str">
        <f>IF(I80=2,COUNTIF($I$73:I80,I80),"")</f>
        <v/>
      </c>
      <c r="K80" t="b">
        <f t="shared" si="9"/>
        <v>0</v>
      </c>
      <c r="L80">
        <f>COUNTIF($I$73:I80,I80)</f>
        <v>2</v>
      </c>
      <c r="M80">
        <f>SUM($I$73:I80)</f>
        <v>474</v>
      </c>
      <c r="N80" t="b">
        <f t="shared" si="11"/>
        <v>1</v>
      </c>
      <c r="O80" t="b">
        <f t="shared" si="10"/>
        <v>1</v>
      </c>
    </row>
    <row r="81" spans="1:17" x14ac:dyDescent="0.25">
      <c r="A81" t="s">
        <v>253</v>
      </c>
      <c r="B81">
        <f>SUMIF(D78:D89,"red",E78:E89)</f>
        <v>10</v>
      </c>
      <c r="C81" t="b">
        <f t="shared" si="13"/>
        <v>0</v>
      </c>
      <c r="D81" t="s">
        <v>250</v>
      </c>
      <c r="E81">
        <f>COUNTIF($D$78:D81,D81)</f>
        <v>2</v>
      </c>
      <c r="F81" cm="1">
        <f t="array" ref="F81">SUMPRODUCT(--(LEN(H76:H78)&lt;=4))</f>
        <v>1</v>
      </c>
      <c r="G81" cm="1">
        <f t="array" ref="G81">SUMPRODUCT(COUNTIF(H76:H84,G76:G78))</f>
        <v>9</v>
      </c>
      <c r="H81" t="s">
        <v>249</v>
      </c>
      <c r="I81">
        <v>20</v>
      </c>
      <c r="J81" t="str">
        <f>IF(I81=2,COUNTIF($I$73:I81,I81),"")</f>
        <v/>
      </c>
      <c r="K81" t="b">
        <f t="shared" si="9"/>
        <v>0</v>
      </c>
      <c r="L81">
        <f>COUNTIF($I$73:I81,I81)</f>
        <v>2</v>
      </c>
      <c r="M81">
        <f>SUM($I$73:I81)</f>
        <v>494</v>
      </c>
      <c r="N81" t="b">
        <f t="shared" si="11"/>
        <v>0</v>
      </c>
      <c r="O81" t="b">
        <f t="shared" si="10"/>
        <v>1</v>
      </c>
    </row>
    <row r="82" spans="1:17" x14ac:dyDescent="0.25">
      <c r="A82">
        <v>101</v>
      </c>
      <c r="C82" t="b">
        <f t="shared" si="13"/>
        <v>0</v>
      </c>
      <c r="D82" t="s">
        <v>250</v>
      </c>
      <c r="E82">
        <f>COUNTIF($D$78:D82,D82)</f>
        <v>3</v>
      </c>
      <c r="H82" t="s">
        <v>246</v>
      </c>
      <c r="I82">
        <v>30</v>
      </c>
      <c r="J82" t="str">
        <f>IF(I82=2,COUNTIF($I$73:I82,I82),"")</f>
        <v/>
      </c>
      <c r="K82" t="b">
        <f t="shared" si="9"/>
        <v>0</v>
      </c>
      <c r="L82">
        <f>COUNTIF($I$73:I82,I82)</f>
        <v>2</v>
      </c>
      <c r="M82">
        <f>SUM($I$73:I82)</f>
        <v>524</v>
      </c>
      <c r="N82" t="b">
        <f t="shared" si="11"/>
        <v>1</v>
      </c>
      <c r="O82" t="b">
        <f t="shared" si="10"/>
        <v>1</v>
      </c>
    </row>
    <row r="83" spans="1:17" x14ac:dyDescent="0.25">
      <c r="A83" cm="1">
        <f t="array" ref="A83">SUMPRODUCT(--(ISNUMBER(FIND("101t",A81:A82))))</f>
        <v>0</v>
      </c>
      <c r="C83" t="b">
        <f t="shared" si="13"/>
        <v>1</v>
      </c>
      <c r="D83" t="s">
        <v>248</v>
      </c>
      <c r="E83">
        <f>COUNTIF($D$78:D83,D83)</f>
        <v>2</v>
      </c>
      <c r="F83" cm="1">
        <f t="array" ref="F83">SUMPRODUCT(--(EXACT(G76,H76:H87)))</f>
        <v>2</v>
      </c>
      <c r="G83" cm="1">
        <f t="array" ref="G83">SUMPRODUCT(COUNTIF(H76:H84,G76:G78))</f>
        <v>9</v>
      </c>
      <c r="H83" t="s">
        <v>247</v>
      </c>
      <c r="I83">
        <v>300</v>
      </c>
      <c r="J83" t="str">
        <f>IF(I83=2,COUNTIF($I$73:I83,I83),"")</f>
        <v/>
      </c>
      <c r="K83" t="b">
        <f t="shared" si="9"/>
        <v>1</v>
      </c>
      <c r="L83">
        <f>COUNTIF($I$73:I83,I83)</f>
        <v>1</v>
      </c>
      <c r="M83">
        <f>SUM($I$73:I83)</f>
        <v>824</v>
      </c>
      <c r="N83" t="b">
        <f t="shared" si="11"/>
        <v>0</v>
      </c>
      <c r="O83" t="b">
        <f t="shared" si="10"/>
        <v>1</v>
      </c>
    </row>
    <row r="84" spans="1:17" x14ac:dyDescent="0.25">
      <c r="A84">
        <f>COUNT(A81:A82)</f>
        <v>1</v>
      </c>
      <c r="C84" t="b">
        <f t="shared" si="13"/>
        <v>1</v>
      </c>
      <c r="D84" t="s">
        <v>252</v>
      </c>
      <c r="E84">
        <f>COUNTIF($D$78:D84,D84)</f>
        <v>2</v>
      </c>
      <c r="F84" cm="1">
        <f t="array" ref="F84">COUNTA(H76:H87)-SUMPRODUCT(COUNTIF(H76:H87,G76:G78))</f>
        <v>2</v>
      </c>
      <c r="G84">
        <f>COUNTIF(H76:H87,"&lt;&gt;*a*")</f>
        <v>3</v>
      </c>
      <c r="H84" t="s">
        <v>249</v>
      </c>
      <c r="I84">
        <v>400</v>
      </c>
      <c r="J84" t="str">
        <f>IF(I84=2,COUNTIF($I$73:I84,I84),"")</f>
        <v/>
      </c>
      <c r="K84" t="b">
        <f t="shared" si="9"/>
        <v>1</v>
      </c>
      <c r="L84">
        <f>COUNTIF($I$73:I84,I84)</f>
        <v>1</v>
      </c>
      <c r="M84">
        <f>SUM($I$73:I84)</f>
        <v>1224</v>
      </c>
      <c r="N84" t="b">
        <f t="shared" si="11"/>
        <v>1</v>
      </c>
      <c r="O84" t="b">
        <f t="shared" si="10"/>
        <v>1</v>
      </c>
    </row>
    <row r="85" spans="1:17" x14ac:dyDescent="0.25">
      <c r="A85">
        <f>COUNTA(A81:A82)-COUNT(A81:A82)</f>
        <v>1</v>
      </c>
      <c r="C85" t="b">
        <f t="shared" si="13"/>
        <v>1</v>
      </c>
      <c r="D85" t="s">
        <v>248</v>
      </c>
      <c r="E85">
        <f>COUNTIF($D$78:D85,D85)</f>
        <v>3</v>
      </c>
      <c r="H85" t="s">
        <v>254</v>
      </c>
      <c r="I85">
        <v>2</v>
      </c>
      <c r="J85">
        <f>IF(I85=2,COUNTIF($I$73:I85,I85),"")</f>
        <v>3</v>
      </c>
      <c r="K85" t="b">
        <f t="shared" si="9"/>
        <v>0</v>
      </c>
      <c r="L85">
        <f>COUNTIF($I$73:I85,I85)</f>
        <v>3</v>
      </c>
      <c r="M85">
        <f>SUM($I$73:I85)</f>
        <v>1226</v>
      </c>
      <c r="N85" t="b">
        <f t="shared" si="11"/>
        <v>0</v>
      </c>
      <c r="O85" t="b">
        <f t="shared" si="10"/>
        <v>1</v>
      </c>
    </row>
    <row r="86" spans="1:17" x14ac:dyDescent="0.25">
      <c r="A86" cm="1">
        <f t="array" ref="A86">SUMPRODUCT(--(ISTEXT(A81:A82)))</f>
        <v>1</v>
      </c>
      <c r="C86" t="b">
        <f t="shared" si="13"/>
        <v>1</v>
      </c>
      <c r="D86" t="s">
        <v>252</v>
      </c>
      <c r="E86">
        <f>COUNTIF($D$78:D86,D86)</f>
        <v>3</v>
      </c>
      <c r="H86" t="s">
        <v>255</v>
      </c>
      <c r="I86">
        <v>500</v>
      </c>
      <c r="J86" t="str">
        <f>IF(I86=2,COUNTIF($I$73:I86,I86),"")</f>
        <v/>
      </c>
      <c r="K86" t="b">
        <f t="shared" si="9"/>
        <v>1</v>
      </c>
      <c r="L86">
        <f>COUNTIF($I$73:I86,I86)</f>
        <v>1</v>
      </c>
      <c r="M86">
        <f>SUM($I$73:I86)</f>
        <v>1726</v>
      </c>
      <c r="N86" t="b">
        <f t="shared" si="11"/>
        <v>1</v>
      </c>
      <c r="O86" t="b">
        <f t="shared" si="10"/>
        <v>1</v>
      </c>
    </row>
    <row r="87" spans="1:17" x14ac:dyDescent="0.25">
      <c r="C87" t="b">
        <f t="shared" si="13"/>
        <v>0</v>
      </c>
      <c r="D87" t="s">
        <v>250</v>
      </c>
      <c r="E87">
        <f>COUNTIF($D$78:D87,D87)</f>
        <v>4</v>
      </c>
      <c r="G87" s="11">
        <f>EOMONTH(A74,0)</f>
        <v>44561</v>
      </c>
      <c r="H87" t="s">
        <v>246</v>
      </c>
    </row>
    <row r="88" spans="1:17" x14ac:dyDescent="0.25">
      <c r="C88" t="b">
        <f t="shared" si="13"/>
        <v>1</v>
      </c>
      <c r="D88" t="s">
        <v>248</v>
      </c>
      <c r="E88">
        <f>COUNTIF($D$78:D88,D88)</f>
        <v>4</v>
      </c>
      <c r="G88">
        <f>WEEKDAY(A74,1)</f>
        <v>7</v>
      </c>
      <c r="I88" cm="1">
        <f t="array" ref="I88">SUM(SMALL(I76:I84,{1,2,3,4,5}))</f>
        <v>62</v>
      </c>
    </row>
    <row r="89" spans="1:17" x14ac:dyDescent="0.25">
      <c r="C89" t="b">
        <f t="shared" si="13"/>
        <v>1</v>
      </c>
      <c r="D89" t="s">
        <v>252</v>
      </c>
      <c r="E89">
        <f>COUNTIF($D$78:D89,D89)</f>
        <v>4</v>
      </c>
      <c r="G89">
        <f>COUNTIF(H76:H87,"kiwi")</f>
        <v>3</v>
      </c>
    </row>
    <row r="90" spans="1:17" x14ac:dyDescent="0.25">
      <c r="A90" t="s">
        <v>244</v>
      </c>
      <c r="B90" t="s">
        <v>256</v>
      </c>
      <c r="C90" t="s">
        <v>54</v>
      </c>
    </row>
    <row r="91" spans="1:17" x14ac:dyDescent="0.25">
      <c r="A91" t="s">
        <v>245</v>
      </c>
      <c r="B91" t="s">
        <v>250</v>
      </c>
      <c r="C91">
        <v>1</v>
      </c>
      <c r="D91">
        <f ca="1">IF(COUNTIF($B$91:B91,B91)=1,SUMIF($B:$B,B91,$C:$C),"")</f>
        <v>10</v>
      </c>
      <c r="E91">
        <f>IF(B91=B90,"",SUMIF($B$91:$B$102,B91,$C$91:$C$102))</f>
        <v>10</v>
      </c>
      <c r="F91">
        <f>SUMIF(B91:B102,"bl??",C91:C102)</f>
        <v>10</v>
      </c>
      <c r="G91">
        <f>SUMIFS(C91:C102,C91:C102,"&gt;=1",C91:C102,"&lt;=3")</f>
        <v>13</v>
      </c>
      <c r="H91">
        <f>SUMIF(B91:B102,"~*blue",C91:C102)</f>
        <v>0</v>
      </c>
      <c r="I91" t="b" cm="1">
        <f t="array" ref="I91">AND(B91=$A$98,$C91&lt;=SMALL($C$91:$C$102,{1,2}))</f>
        <v>1</v>
      </c>
      <c r="J91" t="s">
        <v>213</v>
      </c>
      <c r="K91" t="s">
        <v>214</v>
      </c>
    </row>
    <row r="92" spans="1:17" x14ac:dyDescent="0.25">
      <c r="A92" t="e">
        <f>SUM('Test Sheet 2'!A2:'Test Sheet 3'!A2)</f>
        <v>#VALUE!</v>
      </c>
      <c r="B92" t="s">
        <v>250</v>
      </c>
      <c r="C92">
        <v>2</v>
      </c>
      <c r="D92" t="str">
        <f>IF(COUNTIF($B$91:B92,B92)=1,SUMIF($B:$B,B92,$C:$C),"")</f>
        <v/>
      </c>
      <c r="E92" t="str">
        <f t="shared" ref="E92:E101" si="14">IF(B92=B91,"",SUMIF($B$91:$B$102,B92,$C$91:$C$102))</f>
        <v/>
      </c>
      <c r="I92" t="b" cm="1">
        <f t="array" ref="I92">AND(B92=$A$98,$C92&lt;=SMALL($C$91:$C$102,{1,2}))</f>
        <v>0</v>
      </c>
      <c r="J92">
        <v>79</v>
      </c>
      <c r="K92">
        <v>70</v>
      </c>
      <c r="L92" t="b">
        <f>AND(COUNTIF($J$92:$J$100,J92),COUNTIF($K$92:$K$95,J92))</f>
        <v>1</v>
      </c>
      <c r="M92" t="b">
        <f>J92&lt;SMALL($J$92:$J$100,5)</f>
        <v>1</v>
      </c>
      <c r="N92" t="b">
        <f>COUNTIF($K$92:$K$95,J92)=0</f>
        <v>0</v>
      </c>
      <c r="O92" t="s">
        <v>248</v>
      </c>
      <c r="P92" t="s">
        <v>248</v>
      </c>
      <c r="Q92">
        <f>COUNTIF($O$92:O92,O92)</f>
        <v>1</v>
      </c>
    </row>
    <row r="93" spans="1:17" x14ac:dyDescent="0.25">
      <c r="B93" t="s">
        <v>250</v>
      </c>
      <c r="C93">
        <v>3</v>
      </c>
      <c r="D93" t="str">
        <f>IF(COUNTIF($B$91:B93,B93)=1,SUMIF($B:$B,B93,$C:$C),"")</f>
        <v/>
      </c>
      <c r="E93" t="str">
        <f t="shared" si="14"/>
        <v/>
      </c>
      <c r="I93" t="b" cm="1">
        <f t="array" ref="I93">AND(B93=$A$98,$C93&lt;=SMALL($C$91:$C$102,{1,2}))</f>
        <v>0</v>
      </c>
      <c r="J93">
        <v>85</v>
      </c>
      <c r="K93">
        <v>79</v>
      </c>
      <c r="L93" t="b">
        <f t="shared" ref="L93:L100" si="15">AND(COUNTIF($J$92:$J$100,J93),COUNTIF($K$92:$K$95,J93))</f>
        <v>0</v>
      </c>
      <c r="M93" t="b">
        <f t="shared" ref="M93:M100" si="16">J93&lt;SMALL($J$92:$J$100,5)</f>
        <v>0</v>
      </c>
      <c r="O93" t="s">
        <v>250</v>
      </c>
      <c r="P93" t="s">
        <v>250</v>
      </c>
      <c r="Q93">
        <f>COUNTIF($O$92:O93,O93)</f>
        <v>1</v>
      </c>
    </row>
    <row r="94" spans="1:17" x14ac:dyDescent="0.25">
      <c r="B94" t="s">
        <v>250</v>
      </c>
      <c r="C94">
        <v>4</v>
      </c>
      <c r="D94" t="str">
        <f>IF(COUNTIF($B$91:B94,B94)=1,SUMIF($B:$B,B94,$C:$C),"")</f>
        <v/>
      </c>
      <c r="E94" t="str">
        <f t="shared" si="14"/>
        <v/>
      </c>
      <c r="H94" cm="1">
        <f t="array" ref="H94">SUM(SMALL((B91:B102="green")*(C91:C102),{1}))</f>
        <v>0</v>
      </c>
      <c r="I94" t="b" cm="1">
        <f t="array" ref="I94">AND(B94=$A$98,$C94&lt;=SMALL($C$91:$C$102,{1,2}))</f>
        <v>0</v>
      </c>
      <c r="J94">
        <v>78</v>
      </c>
      <c r="K94">
        <v>81</v>
      </c>
      <c r="L94" t="b">
        <f t="shared" si="15"/>
        <v>0</v>
      </c>
      <c r="M94" t="b">
        <f t="shared" si="16"/>
        <v>1</v>
      </c>
      <c r="O94" t="s">
        <v>252</v>
      </c>
      <c r="P94" t="s">
        <v>257</v>
      </c>
      <c r="Q94">
        <f>COUNTIF($O$92:O94,O94)</f>
        <v>1</v>
      </c>
    </row>
    <row r="95" spans="1:17" x14ac:dyDescent="0.25">
      <c r="B95" t="s">
        <v>252</v>
      </c>
      <c r="C95">
        <v>1</v>
      </c>
      <c r="D95">
        <f ca="1">IF(COUNTIF($B$91:B95,B95)=1,SUMIF($B:$B,B95,$C:$C),"")</f>
        <v>14</v>
      </c>
      <c r="E95">
        <f t="shared" si="14"/>
        <v>14</v>
      </c>
      <c r="G95" cm="1">
        <f t="array" ref="G95">SUMPRODUCT(SUMIF(B91:B102,{"blue","red"},C91:C102))</f>
        <v>83</v>
      </c>
      <c r="I95" t="b" cm="1">
        <f t="array" ref="I95">AND(B95=$A$98,$C95&lt;=SMALL($C$91:$C$102,{1,2}))</f>
        <v>0</v>
      </c>
      <c r="J95">
        <v>85</v>
      </c>
      <c r="K95">
        <v>100</v>
      </c>
      <c r="L95" t="b">
        <f t="shared" si="15"/>
        <v>0</v>
      </c>
      <c r="M95" t="b">
        <f t="shared" si="16"/>
        <v>0</v>
      </c>
      <c r="O95" t="s">
        <v>250</v>
      </c>
      <c r="Q95">
        <f>COUNTIF($O$92:O95,O95)</f>
        <v>2</v>
      </c>
    </row>
    <row r="96" spans="1:17" x14ac:dyDescent="0.25">
      <c r="A96" t="s">
        <v>252</v>
      </c>
      <c r="B96" t="s">
        <v>252</v>
      </c>
      <c r="C96">
        <v>6</v>
      </c>
      <c r="D96" t="str">
        <f>IF(COUNTIF($B$91:B96,B96)=1,SUMIF($B:$B,B96,$C:$C),"")</f>
        <v/>
      </c>
      <c r="E96">
        <f>LARGE(C91:C102,3)</f>
        <v>6</v>
      </c>
      <c r="G96" cm="1">
        <f t="array" ref="G96">SUMPRODUCT(SUMIF(B91:B102,{"blue","red"},C91:C102))</f>
        <v>83</v>
      </c>
      <c r="H96" cm="1">
        <f t="array" ref="H96">SUM(SMALL(C91:C102,{1,2,3}))</f>
        <v>3</v>
      </c>
      <c r="I96" t="b" cm="1">
        <f t="array" ref="I96">AND(B96=$A$98,$C96&lt;=SMALL($C$91:$C$102,{1,2}))</f>
        <v>0</v>
      </c>
      <c r="J96">
        <v>79</v>
      </c>
      <c r="L96" t="b">
        <f t="shared" si="15"/>
        <v>1</v>
      </c>
      <c r="M96" t="b">
        <f t="shared" si="16"/>
        <v>1</v>
      </c>
      <c r="O96" t="s">
        <v>250</v>
      </c>
      <c r="Q96">
        <f>COUNTIF($O$92:O96,O96)</f>
        <v>3</v>
      </c>
    </row>
    <row r="97" spans="1:15" x14ac:dyDescent="0.25">
      <c r="A97" t="s">
        <v>258</v>
      </c>
      <c r="B97" t="s">
        <v>252</v>
      </c>
      <c r="C97">
        <v>3</v>
      </c>
      <c r="D97" t="str">
        <f>IF(COUNTIF($B$91:B97,B97)=1,SUMIF($B:$B,B97,$C:$C),"")</f>
        <v/>
      </c>
      <c r="E97" t="str">
        <f t="shared" si="14"/>
        <v/>
      </c>
      <c r="F97" cm="1">
        <f t="array" ref="F97">LARGE(IF(B91:B102="red",C91:C102),1)</f>
        <v>40</v>
      </c>
      <c r="I97" t="b" cm="1">
        <f t="array" ref="I97">AND(B97=$A$98,$C97&lt;=SMALL($C$91:$C$102,{1,2}))</f>
        <v>0</v>
      </c>
      <c r="J97">
        <v>81</v>
      </c>
      <c r="L97" t="b">
        <f t="shared" si="15"/>
        <v>1</v>
      </c>
      <c r="M97" t="b">
        <f t="shared" si="16"/>
        <v>0</v>
      </c>
    </row>
    <row r="98" spans="1:15" x14ac:dyDescent="0.25">
      <c r="A98" t="s">
        <v>250</v>
      </c>
      <c r="B98" t="s">
        <v>252</v>
      </c>
      <c r="C98">
        <v>4</v>
      </c>
      <c r="D98" t="str">
        <f>IF(COUNTIF($B$91:B98,B98)=1,SUMIF($B:$B,B98,$C:$C),"")</f>
        <v/>
      </c>
      <c r="E98" cm="1">
        <f t="array" ref="E98">AVERAGE(LARGE(C91:C102,{1,2,3}))</f>
        <v>25.333333333333332</v>
      </c>
      <c r="F98" cm="1">
        <f t="array" ref="F98">LARGE(IF(B91:B102="red",C91:C102),4)</f>
        <v>1</v>
      </c>
      <c r="H98" cm="1">
        <f t="array" aca="1" ref="H98:H99" ca="1">OFFSET(G103,5,0,-2)</f>
        <v>10</v>
      </c>
      <c r="I98" t="b" cm="1">
        <f t="array" ref="I98">AND(B98=$A$98,$C98&lt;=SMALL($C$91:$C$102,{1,2}))</f>
        <v>0</v>
      </c>
      <c r="J98">
        <v>79</v>
      </c>
      <c r="L98" t="b">
        <f t="shared" si="15"/>
        <v>1</v>
      </c>
      <c r="M98" t="b">
        <f t="shared" si="16"/>
        <v>1</v>
      </c>
      <c r="O98" cm="1">
        <f t="array" ref="O98">SUM(COUNTIFS(O92:O96,{"red","green"}))</f>
        <v>2</v>
      </c>
    </row>
    <row r="99" spans="1:15" x14ac:dyDescent="0.25">
      <c r="A99" t="s">
        <v>240</v>
      </c>
      <c r="B99" t="s">
        <v>248</v>
      </c>
      <c r="C99">
        <v>1</v>
      </c>
      <c r="D99">
        <f ca="1">IF(COUNTIF($B$91:B99,B99)=1,SUMIF($B:$B,B99,$C:$C),"")</f>
        <v>73</v>
      </c>
      <c r="E99">
        <f t="shared" si="14"/>
        <v>73</v>
      </c>
      <c r="F99">
        <f ca="1">AVERAGE(OFFSET(C90,COUNT(C91:C102),0,-2))</f>
        <v>35</v>
      </c>
      <c r="H99">
        <f ca="1"/>
        <v>20</v>
      </c>
      <c r="I99" t="b" cm="1">
        <f t="array" ref="I99">AND(B99=$A$98,$C99&lt;=SMALL($C$91:$C$102,{1,2}))</f>
        <v>0</v>
      </c>
      <c r="J99">
        <v>88</v>
      </c>
      <c r="L99" t="b">
        <f t="shared" si="15"/>
        <v>0</v>
      </c>
      <c r="M99" t="b">
        <f t="shared" si="16"/>
        <v>0</v>
      </c>
    </row>
    <row r="100" spans="1:15" x14ac:dyDescent="0.25">
      <c r="A100" t="s">
        <v>259</v>
      </c>
      <c r="B100" t="s">
        <v>248</v>
      </c>
      <c r="C100">
        <v>2</v>
      </c>
      <c r="D100" t="str">
        <f>IF(COUNTIF($B$91:B100,B100)=1,SUMIF($B:$B,B100,$C:$C),"")</f>
        <v/>
      </c>
      <c r="E100" t="str">
        <f t="shared" si="14"/>
        <v/>
      </c>
      <c r="G100" t="b">
        <f>EXACT(J91,K91)</f>
        <v>0</v>
      </c>
      <c r="I100" t="b" cm="1">
        <f t="array" ref="I100">AND(B100=$A$98,$C100&lt;=SMALL($C$91:$C$102,{1,2}))</f>
        <v>0</v>
      </c>
      <c r="J100">
        <v>85</v>
      </c>
      <c r="L100" t="b">
        <f t="shared" si="15"/>
        <v>0</v>
      </c>
      <c r="M100" t="b">
        <f t="shared" si="16"/>
        <v>0</v>
      </c>
      <c r="O100">
        <f>SUMIF(O92:O96,"blue",Q92:Q96)</f>
        <v>6</v>
      </c>
    </row>
    <row r="101" spans="1:15" x14ac:dyDescent="0.25">
      <c r="A101" t="str">
        <f>INDEX(A96:A100,MATCH("bl*",A96:A100,0))</f>
        <v>bluack</v>
      </c>
      <c r="B101" t="s">
        <v>248</v>
      </c>
      <c r="C101">
        <v>40</v>
      </c>
      <c r="D101" t="str">
        <f>IF(COUNTIF($B$91:B101,B101)=1,SUMIF($B:$B,B101,$C:$C),"")</f>
        <v/>
      </c>
      <c r="E101" t="str">
        <f t="shared" si="14"/>
        <v/>
      </c>
      <c r="G101">
        <f ca="1">AVERAGE(OFFSET(G103,8,0,-3))</f>
        <v>14</v>
      </c>
      <c r="I101" t="b" cm="1">
        <f t="array" ref="I101">AND(B101=$A$98,$C101&lt;=SMALL($C$91:$C$102,{1,2}))</f>
        <v>0</v>
      </c>
    </row>
    <row r="102" spans="1:15" x14ac:dyDescent="0.25">
      <c r="B102" t="s">
        <v>248</v>
      </c>
      <c r="C102">
        <v>30</v>
      </c>
      <c r="D102" t="str">
        <f>IF(COUNTIF($B$91:B102,B102)=1,SUMIF($B:$B,B102,$C:$C),"")</f>
        <v/>
      </c>
      <c r="E102" cm="1">
        <f t="array" ref="E102">SUM(SUMIFS(C91:C102,B91:B102,{"red","blue","green"}))</f>
        <v>97</v>
      </c>
      <c r="I102" t="b" cm="1">
        <f t="array" ref="I102">AND(B102=$A$98,$C102&lt;=SMALL($C$91:$C$102,{1,2}))</f>
        <v>0</v>
      </c>
      <c r="J102" t="b">
        <f>AND(COUNTIF($J$92:$J$100,J92),COUNTIF($K$92:$K$95,J92))</f>
        <v>1</v>
      </c>
    </row>
    <row r="103" spans="1:15" x14ac:dyDescent="0.25">
      <c r="A103" cm="1">
        <f t="array" ref="A103">SUMPRODUCT(--(COUNTIF(B90:B102,A96:A99)=0))</f>
        <v>2</v>
      </c>
      <c r="C103" t="b">
        <f>COUNTIF(B91:B102,B99)&gt;=4</f>
        <v>1</v>
      </c>
      <c r="F103">
        <v>3</v>
      </c>
      <c r="G103" cm="1">
        <f t="array" ref="G103">MATCH("*"&amp;F103&amp;"*",TEXT(G104:G109,"0"),0)</f>
        <v>6</v>
      </c>
      <c r="H103">
        <f>CEILING(E98,1)</f>
        <v>26</v>
      </c>
    </row>
    <row r="104" spans="1:15" x14ac:dyDescent="0.25">
      <c r="A104" cm="1">
        <f t="array" ref="A104">SUMPRODUCT(--(COUNTIF(B91:B102,A96:A100)=0))</f>
        <v>3</v>
      </c>
      <c r="F104" t="b">
        <f>INDEX(G103:H106,MATCH(MAX(G103:G106),G103:G106,0),2)</f>
        <v>0</v>
      </c>
      <c r="G104">
        <v>200</v>
      </c>
      <c r="H104" t="b">
        <f>ISEVEN(CEILING(ROW()-103,3)/3)</f>
        <v>0</v>
      </c>
      <c r="I104" t="s">
        <v>235</v>
      </c>
      <c r="J104">
        <v>10</v>
      </c>
      <c r="K104">
        <f>SUMIF(I104:I112,"ki*",J104:J112)</f>
        <v>29</v>
      </c>
      <c r="L104">
        <f>COUNTIF($I$104:$I$112,I104)</f>
        <v>3</v>
      </c>
      <c r="M104">
        <f>VLOOKUP("grape",I104:J112,2,FALSE)</f>
        <v>1</v>
      </c>
    </row>
    <row r="105" spans="1:15" x14ac:dyDescent="0.25">
      <c r="G105">
        <v>2</v>
      </c>
      <c r="H105" t="b">
        <f t="shared" ref="H105:H117" si="17">ISEVEN(CEILING(ROW()-103,3)/3)</f>
        <v>0</v>
      </c>
      <c r="I105" t="s">
        <v>247</v>
      </c>
      <c r="J105">
        <v>20</v>
      </c>
      <c r="K105" cm="1">
        <f t="array" ref="K105">SUMPRODUCT(--EXACT(J105,I104:I112))</f>
        <v>0</v>
      </c>
      <c r="L105">
        <f t="shared" ref="L105:L112" si="18">COUNTIF($I$104:$I$112,I105)</f>
        <v>2</v>
      </c>
      <c r="M105" t="str">
        <f>_xlfn.XLOOKUP(3,J104:J112,I104:I112,"Not Found",0,1)</f>
        <v>KIWIW</v>
      </c>
    </row>
    <row r="106" spans="1:15" x14ac:dyDescent="0.25">
      <c r="A106" s="13" t="s">
        <v>215</v>
      </c>
      <c r="B106" s="13" t="s">
        <v>216</v>
      </c>
      <c r="C106" s="13" t="s">
        <v>217</v>
      </c>
      <c r="D106" t="b">
        <f>OR(A$106=LOOKUP(E106,A107:A110),$A106=LOOKUP(E107,B106:C106))</f>
        <v>0</v>
      </c>
      <c r="E106" s="13" t="s">
        <v>193</v>
      </c>
      <c r="F106">
        <f>VLOOKUP(E106,A106:C110,3)</f>
        <v>120</v>
      </c>
      <c r="G106">
        <v>200</v>
      </c>
      <c r="H106" t="b" cm="1">
        <f t="array" ref="H106">ISEVEN(CEILING({106}-103,3)/3)</f>
        <v>0</v>
      </c>
      <c r="I106" t="s">
        <v>249</v>
      </c>
      <c r="J106">
        <v>1</v>
      </c>
      <c r="K106" cm="1">
        <f t="array" ref="K106">SUMPRODUCT(--COUNTIF(I104:I112,J104:J105))</f>
        <v>0</v>
      </c>
      <c r="L106">
        <f t="shared" si="18"/>
        <v>3</v>
      </c>
    </row>
    <row r="107" spans="1:15" x14ac:dyDescent="0.25">
      <c r="A107" s="13" t="s">
        <v>221</v>
      </c>
      <c r="B107" s="13">
        <v>100</v>
      </c>
      <c r="C107" s="13">
        <v>456</v>
      </c>
      <c r="D107" t="s">
        <v>193</v>
      </c>
      <c r="E107" t="s">
        <v>216</v>
      </c>
      <c r="F107">
        <f>INDEX(B107:C110,MATCH(E106,A107:A110,0),MATCH(E107,B106:C106,0))</f>
        <v>60</v>
      </c>
      <c r="G107">
        <v>10</v>
      </c>
      <c r="H107" t="b" cm="1">
        <f t="array" ref="H107">ISEVEN(CEILING({107}-103,3)/3)</f>
        <v>1</v>
      </c>
      <c r="I107" t="s">
        <v>260</v>
      </c>
      <c r="J107">
        <v>2</v>
      </c>
      <c r="L107">
        <f t="shared" si="18"/>
        <v>3</v>
      </c>
      <c r="M107">
        <f>MATCH("App*",I104:I112,0)</f>
        <v>1</v>
      </c>
    </row>
    <row r="108" spans="1:15" x14ac:dyDescent="0.25">
      <c r="A108" s="13" t="s">
        <v>193</v>
      </c>
      <c r="B108" s="13">
        <v>60</v>
      </c>
      <c r="C108" s="13">
        <v>120</v>
      </c>
      <c r="D108">
        <f>INDEX(B107:C110,MATCH(D107,A107:A110,0),MATCH(E107,B106:C106,0))</f>
        <v>60</v>
      </c>
      <c r="G108">
        <v>20</v>
      </c>
      <c r="H108" t="b">
        <f t="shared" si="17"/>
        <v>1</v>
      </c>
      <c r="I108" t="s">
        <v>261</v>
      </c>
      <c r="J108">
        <v>3</v>
      </c>
      <c r="K108">
        <f>SUMIF(I104:I112,"*iw*",J104:J112)</f>
        <v>29</v>
      </c>
      <c r="L108">
        <f t="shared" si="18"/>
        <v>1</v>
      </c>
      <c r="M108">
        <f>_xlfn.XMATCH("App*",I104:I112,2,1)</f>
        <v>1</v>
      </c>
    </row>
    <row r="109" spans="1:15" x14ac:dyDescent="0.25">
      <c r="A109" s="13" t="s">
        <v>187</v>
      </c>
      <c r="B109" s="13">
        <v>250</v>
      </c>
      <c r="C109" s="13">
        <v>234</v>
      </c>
      <c r="D109">
        <f>VLOOKUP(D107,A107:C110,MATCH(E107,A106:C106,0),FALSE)</f>
        <v>60</v>
      </c>
      <c r="F109" cm="1">
        <f t="array" ref="F109">SUM(SMALL(G104:G108,{1,2}))</f>
        <v>12</v>
      </c>
      <c r="G109">
        <v>30</v>
      </c>
      <c r="H109" t="b">
        <f t="shared" si="17"/>
        <v>1</v>
      </c>
      <c r="I109" t="s">
        <v>249</v>
      </c>
      <c r="J109">
        <v>4</v>
      </c>
      <c r="L109">
        <f t="shared" si="18"/>
        <v>3</v>
      </c>
    </row>
    <row r="110" spans="1:15" x14ac:dyDescent="0.25">
      <c r="A110" s="13" t="s">
        <v>187</v>
      </c>
      <c r="B110" s="13">
        <v>451</v>
      </c>
      <c r="C110" s="13">
        <v>500</v>
      </c>
      <c r="G110">
        <v>2</v>
      </c>
      <c r="H110" t="b">
        <f t="shared" si="17"/>
        <v>0</v>
      </c>
      <c r="I110" t="s">
        <v>235</v>
      </c>
      <c r="J110">
        <v>5</v>
      </c>
      <c r="L110">
        <f t="shared" si="18"/>
        <v>3</v>
      </c>
      <c r="M110">
        <f>_xlfn.LET(_xlpm.x,1,_xlpm.y,2,_xlpm.x+_xlpm.y)</f>
        <v>3</v>
      </c>
    </row>
    <row r="111" spans="1:15" x14ac:dyDescent="0.25">
      <c r="B111" cm="1">
        <f t="array" ref="B111">SUMPRODUCT(B107:C110*(B106:C106="Price")*(A107:A110="A"))</f>
        <v>701</v>
      </c>
      <c r="C111" cm="1">
        <f t="array" ref="C111">SUMPRODUCT((A107:A110="A")*(B107:B110&lt;C107:C110))</f>
        <v>1</v>
      </c>
      <c r="D111">
        <f>LARGE(G103:G105,3)</f>
        <v>2</v>
      </c>
      <c r="F111" cm="1">
        <f t="array" ref="F111">INDEX(G104:G108,MATCH(TRUE,G104:G108&gt;5,0))</f>
        <v>200</v>
      </c>
      <c r="G111">
        <v>10</v>
      </c>
      <c r="H111" t="b" cm="1">
        <f t="array" ref="H111">ISEVEN(CEILING({111}-103,3)/3)</f>
        <v>0</v>
      </c>
      <c r="I111" t="s">
        <v>262</v>
      </c>
      <c r="J111">
        <v>6</v>
      </c>
      <c r="L111">
        <f t="shared" si="18"/>
        <v>2</v>
      </c>
    </row>
    <row r="112" spans="1:15" x14ac:dyDescent="0.25">
      <c r="A112" s="11">
        <v>44480</v>
      </c>
      <c r="B112">
        <f>WEEKDAY(A112,1)</f>
        <v>2</v>
      </c>
      <c r="D112">
        <f>SUM(INDEX(B107:C110,0,MATCH("Amount",B106:C106,0)))</f>
        <v>1310</v>
      </c>
      <c r="F112">
        <f>IFERROR(VLOOKUP(D107,IF(E107="Price",A106:B110,""),2,FALSE),"Select  the Price")</f>
        <v>60</v>
      </c>
      <c r="G112">
        <v>20</v>
      </c>
      <c r="H112" t="b">
        <f t="shared" si="17"/>
        <v>0</v>
      </c>
      <c r="I112" t="s">
        <v>249</v>
      </c>
      <c r="J112">
        <v>7</v>
      </c>
      <c r="L112">
        <f t="shared" si="18"/>
        <v>3</v>
      </c>
    </row>
    <row r="113" spans="1:14" x14ac:dyDescent="0.25">
      <c r="A113" s="11">
        <v>44481</v>
      </c>
      <c r="B113">
        <f t="shared" ref="B113:B129" si="19">WEEKDAY(A113,1)</f>
        <v>3</v>
      </c>
      <c r="D113">
        <f>INDEX(B107:C110,1,2)</f>
        <v>456</v>
      </c>
      <c r="E113">
        <f>_xlfn.XMATCH(10,G103:G112,0,1)</f>
        <v>5</v>
      </c>
      <c r="G113">
        <v>30</v>
      </c>
      <c r="H113" t="b">
        <f t="shared" si="17"/>
        <v>1</v>
      </c>
      <c r="I113" cm="1">
        <f t="array" ref="I113:I126">_xlfn._xlws.SORT(G104:G117,1,-1,FALSE)</f>
        <v>500</v>
      </c>
      <c r="K113" cm="1">
        <f t="array" ref="K113">SUMPRODUCT(--(EXACT("Apple",I104:I112)),J104:J112)</f>
        <v>15</v>
      </c>
      <c r="M113" t="str" cm="1">
        <f t="array" ref="M113:N114">_xlfn._xlws.FILTER(I104:J112,I104:I112="kiwi","No data found")</f>
        <v>kiwi</v>
      </c>
      <c r="N113">
        <v>20</v>
      </c>
    </row>
    <row r="114" spans="1:14" x14ac:dyDescent="0.25">
      <c r="A114" s="11">
        <v>44543</v>
      </c>
      <c r="B114">
        <f t="shared" si="19"/>
        <v>2</v>
      </c>
      <c r="C114" t="s">
        <v>263</v>
      </c>
      <c r="D114" cm="1">
        <f t="array" ref="D114">SUMPRODUCT(--(WEEKDAY(A112:A129,1)=2))</f>
        <v>3</v>
      </c>
      <c r="G114">
        <v>300</v>
      </c>
      <c r="H114" t="b">
        <f t="shared" si="17"/>
        <v>1</v>
      </c>
      <c r="I114">
        <v>400</v>
      </c>
      <c r="J114">
        <f>COUNTIF(I104:I112,"Apple")</f>
        <v>3</v>
      </c>
      <c r="M114" t="str">
        <v>KIWI</v>
      </c>
      <c r="N114">
        <v>6</v>
      </c>
    </row>
    <row r="115" spans="1:14" x14ac:dyDescent="0.25">
      <c r="A115" s="11">
        <v>44483</v>
      </c>
      <c r="B115">
        <f t="shared" si="19"/>
        <v>5</v>
      </c>
      <c r="G115">
        <v>400</v>
      </c>
      <c r="H115" t="b">
        <f t="shared" si="17"/>
        <v>1</v>
      </c>
      <c r="I115">
        <v>300</v>
      </c>
      <c r="J115" cm="1">
        <f t="array" ref="J115">SUMPRODUCT(--EXACT("Apple",I104:I112))</f>
        <v>2</v>
      </c>
      <c r="L115">
        <v>300</v>
      </c>
    </row>
    <row r="116" spans="1:14" x14ac:dyDescent="0.25">
      <c r="A116" s="11">
        <v>44545</v>
      </c>
      <c r="B116">
        <f t="shared" si="19"/>
        <v>4</v>
      </c>
      <c r="D116">
        <v>200</v>
      </c>
      <c r="E116" cm="1">
        <f t="array" ref="E116">SUMPRODUCT(--(LEFT(D116:D119,2)="40"))</f>
        <v>1</v>
      </c>
      <c r="G116">
        <v>2</v>
      </c>
      <c r="H116" t="b">
        <f t="shared" si="17"/>
        <v>0</v>
      </c>
      <c r="I116">
        <v>200</v>
      </c>
      <c r="K116">
        <f>SUMIFS(I113:I122,I113:I122,"&gt;="&amp;L115,I113:I122,"&lt;="&amp;L116)</f>
        <v>1200</v>
      </c>
      <c r="L116">
        <v>600</v>
      </c>
      <c r="M116" t="s">
        <v>235</v>
      </c>
    </row>
    <row r="117" spans="1:14" x14ac:dyDescent="0.25">
      <c r="A117" s="11">
        <v>44546</v>
      </c>
      <c r="B117">
        <f t="shared" si="19"/>
        <v>5</v>
      </c>
      <c r="D117">
        <v>202</v>
      </c>
      <c r="G117">
        <v>500</v>
      </c>
      <c r="H117" t="b">
        <f t="shared" si="17"/>
        <v>0</v>
      </c>
      <c r="I117">
        <v>200</v>
      </c>
      <c r="M117" t="s">
        <v>247</v>
      </c>
      <c r="N117" cm="1">
        <f t="array" ref="N117">SUMPRODUCT(SUMIF(I104:I112,M116:M117,J104:J112))</f>
        <v>43</v>
      </c>
    </row>
    <row r="118" spans="1:14" x14ac:dyDescent="0.25">
      <c r="A118" s="11">
        <v>44517</v>
      </c>
      <c r="B118">
        <f t="shared" si="19"/>
        <v>4</v>
      </c>
      <c r="D118">
        <v>402</v>
      </c>
      <c r="I118">
        <v>30</v>
      </c>
    </row>
    <row r="119" spans="1:14" x14ac:dyDescent="0.25">
      <c r="A119" s="11">
        <v>44548</v>
      </c>
      <c r="B119">
        <f t="shared" si="19"/>
        <v>7</v>
      </c>
      <c r="C119" t="b">
        <f>ISODD(B123)</f>
        <v>0</v>
      </c>
      <c r="D119">
        <v>412</v>
      </c>
      <c r="G119" t="s">
        <v>174</v>
      </c>
      <c r="H119">
        <v>10</v>
      </c>
      <c r="I119">
        <v>30</v>
      </c>
    </row>
    <row r="120" spans="1:14" x14ac:dyDescent="0.25">
      <c r="A120" s="11">
        <v>44549</v>
      </c>
      <c r="B120">
        <f t="shared" si="19"/>
        <v>1</v>
      </c>
      <c r="C120" cm="1">
        <f t="array" ref="C120">SUMPRODUCT(--(MOD(B118:B120,2)=1))</f>
        <v>2</v>
      </c>
      <c r="G120" t="s">
        <v>179</v>
      </c>
      <c r="H120">
        <v>20</v>
      </c>
      <c r="I120">
        <v>20</v>
      </c>
    </row>
    <row r="121" spans="1:14" x14ac:dyDescent="0.25">
      <c r="A121" s="11">
        <v>44520</v>
      </c>
      <c r="B121">
        <f t="shared" si="19"/>
        <v>7</v>
      </c>
      <c r="C121">
        <f>COUNT(_xlfn.UNIQUE(B112:B129))</f>
        <v>7</v>
      </c>
      <c r="G121" t="s">
        <v>184</v>
      </c>
      <c r="H121">
        <v>30</v>
      </c>
      <c r="I121">
        <v>20</v>
      </c>
    </row>
    <row r="122" spans="1:14" x14ac:dyDescent="0.25">
      <c r="A122" s="11">
        <v>44521</v>
      </c>
      <c r="B122">
        <f t="shared" si="19"/>
        <v>1</v>
      </c>
      <c r="C122" cm="1">
        <f t="array" ref="C122">SUM(--(FREQUENCY(B112:B129,B112:B129)&gt;0))</f>
        <v>7</v>
      </c>
      <c r="G122" t="s">
        <v>188</v>
      </c>
      <c r="H122">
        <v>40</v>
      </c>
      <c r="I122">
        <v>10</v>
      </c>
    </row>
    <row r="123" spans="1:14" x14ac:dyDescent="0.25">
      <c r="A123" s="11">
        <v>44552</v>
      </c>
      <c r="B123">
        <f t="shared" si="19"/>
        <v>4</v>
      </c>
      <c r="D123">
        <v>100</v>
      </c>
      <c r="E123">
        <v>1</v>
      </c>
      <c r="F123">
        <f>SUMIF($D$123:$D$132,D123,$E$123:$E$132)</f>
        <v>14</v>
      </c>
      <c r="H123" cm="1">
        <f t="array" ref="H123">SUMPRODUCT(--((ISNUMBER(SEARCH("cat",G119:G122)))+ISNUMBER(SEARCH("rat",G119:G122))&gt;0),H119:H122)</f>
        <v>60</v>
      </c>
      <c r="I123">
        <v>10</v>
      </c>
    </row>
    <row r="124" spans="1:14" x14ac:dyDescent="0.25">
      <c r="A124" s="11">
        <v>44553</v>
      </c>
      <c r="B124">
        <f t="shared" si="19"/>
        <v>5</v>
      </c>
      <c r="D124">
        <v>100</v>
      </c>
      <c r="E124">
        <v>2</v>
      </c>
      <c r="F124" t="str">
        <f>IF(D124=D123,"",SUMIF($D$123:$D$132,D124,$E$123:$E$132))</f>
        <v/>
      </c>
      <c r="H124" cm="1">
        <f t="array" ref="H124">SUMPRODUCT(SUMIF(G119:G122,{"*sumit*","*riju*"},H119:H122))</f>
        <v>50</v>
      </c>
      <c r="I124">
        <v>2</v>
      </c>
    </row>
    <row r="125" spans="1:14" x14ac:dyDescent="0.25">
      <c r="A125" s="11">
        <v>44554</v>
      </c>
      <c r="B125">
        <f t="shared" si="19"/>
        <v>6</v>
      </c>
      <c r="D125">
        <v>100</v>
      </c>
      <c r="E125">
        <v>3</v>
      </c>
      <c r="F125" t="str">
        <f t="shared" ref="F125:F132" si="20">IF(D125=D124,"",SUMIF($D$123:$D$132,D125,$E$123:$E$132))</f>
        <v/>
      </c>
      <c r="I125">
        <v>2</v>
      </c>
    </row>
    <row r="126" spans="1:14" x14ac:dyDescent="0.25">
      <c r="A126" s="11">
        <v>44555</v>
      </c>
      <c r="B126">
        <f t="shared" si="19"/>
        <v>7</v>
      </c>
      <c r="D126">
        <v>200</v>
      </c>
      <c r="E126">
        <v>4</v>
      </c>
      <c r="F126">
        <f t="shared" si="20"/>
        <v>9</v>
      </c>
      <c r="I126">
        <v>2</v>
      </c>
    </row>
    <row r="127" spans="1:14" x14ac:dyDescent="0.25">
      <c r="A127" s="1">
        <v>44470</v>
      </c>
      <c r="B127">
        <f t="shared" si="19"/>
        <v>6</v>
      </c>
      <c r="D127">
        <v>200</v>
      </c>
      <c r="E127">
        <v>5</v>
      </c>
      <c r="F127" t="str">
        <f t="shared" si="20"/>
        <v/>
      </c>
      <c r="G127" cm="1">
        <f t="array" aca="1" ref="G127:H128" ca="1">OFFSET(D123,0,0,2,2)</f>
        <v>100</v>
      </c>
      <c r="H127">
        <f ca="1"/>
        <v>1</v>
      </c>
    </row>
    <row r="128" spans="1:14" x14ac:dyDescent="0.25">
      <c r="A128" s="1">
        <v>44501</v>
      </c>
      <c r="B128">
        <f t="shared" si="19"/>
        <v>2</v>
      </c>
      <c r="D128">
        <v>300</v>
      </c>
      <c r="E128">
        <v>6</v>
      </c>
      <c r="F128">
        <f t="shared" si="20"/>
        <v>13</v>
      </c>
      <c r="G128">
        <f ca="1"/>
        <v>100</v>
      </c>
      <c r="H128">
        <f ca="1"/>
        <v>2</v>
      </c>
    </row>
    <row r="129" spans="1:12" x14ac:dyDescent="0.25">
      <c r="A129" s="1">
        <v>44531</v>
      </c>
      <c r="B129">
        <f t="shared" si="19"/>
        <v>4</v>
      </c>
      <c r="D129">
        <v>300</v>
      </c>
      <c r="E129">
        <v>7</v>
      </c>
      <c r="F129" t="str">
        <f t="shared" si="20"/>
        <v/>
      </c>
    </row>
    <row r="130" spans="1:12" x14ac:dyDescent="0.25">
      <c r="D130">
        <v>100</v>
      </c>
      <c r="E130">
        <v>8</v>
      </c>
      <c r="F130">
        <f t="shared" si="20"/>
        <v>14</v>
      </c>
    </row>
    <row r="131" spans="1:12" x14ac:dyDescent="0.25">
      <c r="A131" s="1">
        <v>44197</v>
      </c>
      <c r="B131" cm="1">
        <f t="array" ref="B131">SUM(SMALL(B126:B129,{1,2,3}))</f>
        <v>12</v>
      </c>
      <c r="D131">
        <v>500</v>
      </c>
      <c r="E131">
        <v>9</v>
      </c>
      <c r="F131">
        <f t="shared" si="20"/>
        <v>19</v>
      </c>
    </row>
    <row r="132" spans="1:12" x14ac:dyDescent="0.25">
      <c r="A132" s="1">
        <v>44244</v>
      </c>
      <c r="D132">
        <v>500</v>
      </c>
      <c r="E132">
        <v>10</v>
      </c>
      <c r="F132" t="str">
        <f t="shared" si="20"/>
        <v/>
      </c>
      <c r="G132" s="11">
        <f>DATE(2021,1,1)</f>
        <v>44197</v>
      </c>
    </row>
    <row r="133" spans="1:12" x14ac:dyDescent="0.25">
      <c r="A133" s="1">
        <v>44198</v>
      </c>
      <c r="B133">
        <v>1</v>
      </c>
      <c r="D133" s="22">
        <v>44197</v>
      </c>
      <c r="E133">
        <f>SUMIFS(B133:B139,A133:A139,"&gt;="&amp;D133,A133:A139,"&lt;="&amp;EOMONTH(D133,0))</f>
        <v>10</v>
      </c>
      <c r="F133" t="s">
        <v>225</v>
      </c>
      <c r="G133" cm="1">
        <f t="array" ref="G133">SUMPRODUCT((MONTH($A$133:$A$139)=MONTH(D133))*$B$133:$B$139)</f>
        <v>10</v>
      </c>
      <c r="H133">
        <f>SUMIFS(B133:B139,A133:A139,"&gt;="&amp;D133,A133:A139,"&lt;"&amp;D133+7)</f>
        <v>3</v>
      </c>
      <c r="I133">
        <f>DAY(D133+7)</f>
        <v>8</v>
      </c>
      <c r="J133">
        <f>SUMIFS(B133:B139,A133:A139,"&gt;="&amp;DATE(YEAR(D133),1,1),A133:A139,"&lt;="&amp;DATE(YEAR(D133),12,31))</f>
        <v>28</v>
      </c>
    </row>
    <row r="134" spans="1:12" x14ac:dyDescent="0.25">
      <c r="A134" s="1">
        <v>44201</v>
      </c>
      <c r="B134">
        <v>2</v>
      </c>
      <c r="D134" s="22">
        <v>44228</v>
      </c>
      <c r="E134">
        <f t="shared" ref="E134:E136" si="21">SUMIFS(B134:B140,A134:A140,"&gt;="&amp;D134,A134:A140,"&lt;="&amp;EOMONTH(D134,0))</f>
        <v>12</v>
      </c>
      <c r="F134" t="s">
        <v>226</v>
      </c>
      <c r="G134" cm="1">
        <f t="array" ref="G134">SUMPRODUCT((MONTH($A$133:$A$139)=MONTH(D134))*$B$133:$B$139)</f>
        <v>12</v>
      </c>
      <c r="H134" t="s">
        <v>264</v>
      </c>
      <c r="I134" t="s">
        <v>265</v>
      </c>
      <c r="J134" t="s">
        <v>217</v>
      </c>
    </row>
    <row r="135" spans="1:12" x14ac:dyDescent="0.25">
      <c r="A135" s="1">
        <v>44231</v>
      </c>
      <c r="B135">
        <v>3</v>
      </c>
      <c r="D135" s="22">
        <v>44256</v>
      </c>
      <c r="E135">
        <f t="shared" si="21"/>
        <v>6</v>
      </c>
      <c r="F135" t="s">
        <v>266</v>
      </c>
      <c r="G135" cm="1">
        <f t="array" ref="G135">SUMPRODUCT((MONTH($A$133:$A$139)=MONTH(D135))*$B$133:$B$139)</f>
        <v>6</v>
      </c>
      <c r="H135" s="1">
        <v>44198</v>
      </c>
      <c r="I135" t="s">
        <v>187</v>
      </c>
      <c r="J135">
        <v>1</v>
      </c>
      <c r="K135" cm="1">
        <f t="array" ref="K135">SUMPRODUCT(LARGE((I135:I141="A")*(J135:J141),{1,2,3}))</f>
        <v>16</v>
      </c>
      <c r="L135">
        <f>SUM(J135:J141)</f>
        <v>28</v>
      </c>
    </row>
    <row r="136" spans="1:12" x14ac:dyDescent="0.25">
      <c r="A136" s="1">
        <v>44242</v>
      </c>
      <c r="B136">
        <v>4</v>
      </c>
      <c r="D136" s="22">
        <v>44287</v>
      </c>
      <c r="E136">
        <f t="shared" si="21"/>
        <v>0</v>
      </c>
      <c r="F136" t="s">
        <v>267</v>
      </c>
      <c r="G136" cm="1">
        <f t="array" ref="G136">SUMPRODUCT((MONTH($A$133:$A$139)=MONTH(D136))*$B$133:$B$139)</f>
        <v>0</v>
      </c>
      <c r="H136" s="1">
        <v>44201</v>
      </c>
      <c r="I136" t="s">
        <v>192</v>
      </c>
      <c r="J136">
        <v>2</v>
      </c>
    </row>
    <row r="137" spans="1:12" x14ac:dyDescent="0.25">
      <c r="A137" s="1">
        <v>44255</v>
      </c>
      <c r="B137">
        <v>5</v>
      </c>
      <c r="H137" s="1">
        <v>44231</v>
      </c>
      <c r="I137" t="s">
        <v>229</v>
      </c>
      <c r="J137">
        <v>3</v>
      </c>
      <c r="K137">
        <f>AVERAGEIFS(J135:J141,H135:H141,"&gt;="&amp;DATE(YEAR(H135),MONTH(H135),1),H135:H141,"&lt;="&amp;EOMONTH(H135,0))</f>
        <v>1.5</v>
      </c>
      <c r="L137">
        <f>SUBTOTAL(9,J135:J141)</f>
        <v>28</v>
      </c>
    </row>
    <row r="138" spans="1:12" x14ac:dyDescent="0.25">
      <c r="A138" s="1">
        <v>44257</v>
      </c>
      <c r="B138">
        <v>6</v>
      </c>
      <c r="F138" t="s">
        <v>187</v>
      </c>
      <c r="G138">
        <f ca="1">SUMIFS(J135:J141,I135:I141,F138,H135:H141,"&gt;="&amp;TODAY()-30)</f>
        <v>0</v>
      </c>
      <c r="H138" s="1">
        <v>44647</v>
      </c>
      <c r="I138" t="s">
        <v>187</v>
      </c>
      <c r="J138">
        <v>4</v>
      </c>
    </row>
    <row r="139" spans="1:12" x14ac:dyDescent="0.25">
      <c r="A139" s="1">
        <v>44211</v>
      </c>
      <c r="B139">
        <v>7</v>
      </c>
      <c r="F139" s="22"/>
      <c r="H139" s="1">
        <v>44640</v>
      </c>
      <c r="I139" t="s">
        <v>187</v>
      </c>
      <c r="J139">
        <v>5</v>
      </c>
      <c r="K139" cm="1">
        <f t="array" ref="K139">SUM(SMALL(J135:J141,{1,2,3}))</f>
        <v>6</v>
      </c>
    </row>
    <row r="140" spans="1:12" x14ac:dyDescent="0.25">
      <c r="E140" t="str" cm="1">
        <f t="array" ref="E140">_xlfn._xlws.FILTER(H135:I141,I135:I141="X","Not Found")</f>
        <v>Not Found</v>
      </c>
      <c r="F140">
        <f>ABS(-29)</f>
        <v>29</v>
      </c>
      <c r="H140" s="1">
        <v>44257</v>
      </c>
      <c r="I140" t="s">
        <v>193</v>
      </c>
      <c r="J140">
        <v>6</v>
      </c>
    </row>
    <row r="141" spans="1:12" x14ac:dyDescent="0.25">
      <c r="A141" s="10" t="s">
        <v>235</v>
      </c>
      <c r="B141" t="s">
        <v>268</v>
      </c>
      <c r="C141" cm="1">
        <f t="array" ref="C141">SUMPRODUCT(--(COUNTIF(A141:A146,B141:B144)=0))</f>
        <v>4</v>
      </c>
      <c r="D141" t="str" cm="1">
        <f t="array" ref="D141">INDEX(A141:B142,MATCH(TRUE,EXACT(C142,A141:A142),0),2)</f>
        <v>beat</v>
      </c>
      <c r="E141" cm="1">
        <f t="array" ref="E141">SUMPRODUCT(--EXACT(C142,A141:A142),B141:B142)</f>
        <v>0</v>
      </c>
      <c r="F141" t="str">
        <f>IF(COUNTIF(A141:A146,B141),"OK","Missing")</f>
        <v>Missing</v>
      </c>
      <c r="H141" s="1">
        <v>44253</v>
      </c>
      <c r="I141" t="s">
        <v>187</v>
      </c>
      <c r="J141">
        <v>7</v>
      </c>
      <c r="K141" cm="1">
        <f t="array" ref="K141">AVERAGE(SMALL(J135:J141,{1,2,3,4}))</f>
        <v>2.5</v>
      </c>
    </row>
    <row r="142" spans="1:12" x14ac:dyDescent="0.25">
      <c r="A142" t="s">
        <v>246</v>
      </c>
      <c r="B142" t="s">
        <v>269</v>
      </c>
      <c r="C142" t="s">
        <v>246</v>
      </c>
      <c r="D142" cm="1">
        <f t="array" ref="D142">MIN(LEN(A143:A145))</f>
        <v>4</v>
      </c>
      <c r="H142" t="b">
        <f>TEXT(H141,"ddmmyyyy")=TEXT(DATE(2021,2,26),"ddmmyyyy")</f>
        <v>1</v>
      </c>
      <c r="I142" t="b">
        <f>MONTH(H137)=MONTH(DATE(2021,2,26))</f>
        <v>1</v>
      </c>
    </row>
    <row r="143" spans="1:12" x14ac:dyDescent="0.25">
      <c r="A143" s="10" t="s">
        <v>249</v>
      </c>
      <c r="B143" t="s">
        <v>270</v>
      </c>
      <c r="D143" t="str" cm="1">
        <f t="array" ref="D143">INDEX(B141:B144,MATCH(MIN(LEN(B141:B144)),LEN(B141:B144),0))</f>
        <v>beat</v>
      </c>
      <c r="G143">
        <f>VLOOKUP("A",I135:J141,2,TRUE)</f>
        <v>5</v>
      </c>
      <c r="J143" t="str">
        <f>INDEX(I135:J141,MATCH(3,J135:J141,0),1)</f>
        <v>C</v>
      </c>
    </row>
    <row r="144" spans="1:12" x14ac:dyDescent="0.25">
      <c r="A144" t="s">
        <v>247</v>
      </c>
      <c r="B144" t="s">
        <v>271</v>
      </c>
      <c r="I144" cm="1">
        <f t="array" ref="I144">LARGE(IF(I135:I141="A",J135:J141),2)</f>
        <v>5</v>
      </c>
    </row>
    <row r="145" spans="1:12" x14ac:dyDescent="0.25">
      <c r="A145" s="10" t="s">
        <v>235</v>
      </c>
      <c r="H145" t="s">
        <v>272</v>
      </c>
      <c r="I145">
        <v>23</v>
      </c>
    </row>
    <row r="146" spans="1:12" x14ac:dyDescent="0.25">
      <c r="A146" t="s">
        <v>247</v>
      </c>
      <c r="B146" t="s">
        <v>265</v>
      </c>
      <c r="C146" t="s">
        <v>217</v>
      </c>
      <c r="D146" t="s">
        <v>273</v>
      </c>
      <c r="F146" t="s">
        <v>274</v>
      </c>
      <c r="H146">
        <v>345</v>
      </c>
      <c r="J146" t="b" cm="1">
        <f t="array" ref="J146">OR(H146=SMALL(IF(($H$146:$H$153&gt;100)*($H$146:$H$153)=0,"",$H$146:$H$153),{1,2,3}))</f>
        <v>1</v>
      </c>
    </row>
    <row r="147" spans="1:12" x14ac:dyDescent="0.25">
      <c r="B147" t="s">
        <v>187</v>
      </c>
      <c r="C147">
        <v>1</v>
      </c>
      <c r="D147">
        <v>5</v>
      </c>
      <c r="F147" cm="1">
        <f t="array" ref="F147">SUMPRODUCT((C147:D150)*(F146=C146:D146))</f>
        <v>26</v>
      </c>
      <c r="G147">
        <f>SUM(INDEX(C147:D150,0,MATCH(F146,C146:D146,0)))</f>
        <v>26</v>
      </c>
      <c r="H147">
        <v>234</v>
      </c>
      <c r="I147" cm="1">
        <f t="array" ref="I147">MATCH("*"&amp;I145&amp;"*",TEXT(H146:H153,"0"),0)</f>
        <v>2</v>
      </c>
      <c r="J147" t="b" cm="1">
        <f t="array" ref="J147">OR(H147=SMALL(IF(($H$146:$H$153&gt;100)*($H$146:$H$153)=0,"",$H$146:$H$153),{1,2,3}))</f>
        <v>1</v>
      </c>
    </row>
    <row r="148" spans="1:12" x14ac:dyDescent="0.25">
      <c r="B148" t="s">
        <v>192</v>
      </c>
      <c r="C148">
        <v>2</v>
      </c>
      <c r="D148">
        <v>6</v>
      </c>
      <c r="F148" t="s">
        <v>275</v>
      </c>
      <c r="G148">
        <f>MIN(C147:C150)</f>
        <v>1</v>
      </c>
      <c r="H148">
        <v>10</v>
      </c>
      <c r="J148" t="b" cm="1">
        <f t="array" ref="J148">OR(H148=SMALL(IF(($H$146:$H$153&gt;100)*($H$146:$H$153)=0,"",$H$146:$H$153),{1,2,3}))</f>
        <v>0</v>
      </c>
    </row>
    <row r="149" spans="1:12" x14ac:dyDescent="0.25">
      <c r="B149" t="s">
        <v>229</v>
      </c>
      <c r="C149">
        <v>3</v>
      </c>
      <c r="D149">
        <v>7</v>
      </c>
      <c r="F149" t="s">
        <v>265</v>
      </c>
      <c r="G149" t="str">
        <f>INDEX(B147:B150,MATCH(MIN(C147:C150),C147:C150,0))</f>
        <v>A</v>
      </c>
      <c r="H149">
        <v>567</v>
      </c>
      <c r="I149" cm="1">
        <f t="array" ref="I149">SUMPRODUCT(SMALL(IF((H146:H153&gt;100)*(H146:H153)=0,"",H146:H153),{1,2,3}))</f>
        <v>779</v>
      </c>
      <c r="J149" t="b" cm="1">
        <f t="array" ref="J149">OR(H149=SMALL(IF(($H$146:$H$153&gt;100)*($H$146:$H$153)=0,"",$H$146:$H$153),{1,2,3}))</f>
        <v>0</v>
      </c>
    </row>
    <row r="150" spans="1:12" x14ac:dyDescent="0.25">
      <c r="B150" t="s">
        <v>187</v>
      </c>
      <c r="C150">
        <v>4</v>
      </c>
      <c r="D150">
        <v>8</v>
      </c>
      <c r="G150" cm="1">
        <f t="array" ref="G150">MAX(IF(B147:B150=G149,D147:D150))</f>
        <v>8</v>
      </c>
      <c r="H150">
        <v>200</v>
      </c>
      <c r="I150" t="b">
        <f>MOD(H150,1)=0</f>
        <v>1</v>
      </c>
      <c r="J150" t="b" cm="1">
        <f t="array" ref="J150">OR(H150=SMALL(IF(($H$146:$H$153&gt;100)*($H$146:$H$153)=0,"",$H$146:$H$153),{1,2,3}))</f>
        <v>1</v>
      </c>
    </row>
    <row r="151" spans="1:12" x14ac:dyDescent="0.25">
      <c r="A151" t="s">
        <v>276</v>
      </c>
      <c r="B151" t="s">
        <v>217</v>
      </c>
      <c r="C151" t="s">
        <v>242</v>
      </c>
      <c r="G151">
        <f>COUNTIF(B141:B144,"b*")</f>
        <v>2</v>
      </c>
      <c r="H151">
        <v>34</v>
      </c>
      <c r="I151" t="b">
        <f>MOD(H151,1)=0</f>
        <v>1</v>
      </c>
      <c r="J151" t="b" cm="1">
        <f t="array" ref="J151">OR(H151=SMALL(IF(($H$146:$H$153&gt;100)*($H$146:$H$153)=0,"",$H$146:$H$153),{1,2,3}))</f>
        <v>0</v>
      </c>
    </row>
    <row r="152" spans="1:12" x14ac:dyDescent="0.25">
      <c r="A152" t="s">
        <v>242</v>
      </c>
      <c r="B152">
        <v>345</v>
      </c>
      <c r="C152" t="b" cm="1">
        <f t="array" ref="C152">AND($A152=$C$151,$B152&lt;=SMALL(IF($A$152:$A$163=$C$151,$B$152:$B$163),3))</f>
        <v>1</v>
      </c>
      <c r="D152">
        <v>345</v>
      </c>
      <c r="E152" t="b">
        <f>AND(COUNTIF($B$152:$B$163,B152),COUNTIF($D$152:$D$163,B152))</f>
        <v>1</v>
      </c>
      <c r="F152">
        <v>345</v>
      </c>
      <c r="G152" t="b">
        <f>F152&lt;=SMALL($F$152:$F$163,3)</f>
        <v>0</v>
      </c>
      <c r="H152">
        <v>565</v>
      </c>
      <c r="I152" t="b">
        <f>MOD(H152,1)=0</f>
        <v>1</v>
      </c>
      <c r="J152" t="b" cm="1">
        <f t="array" ref="J152">OR(H152=SMALL(IF(($H$146:$H$153&gt;100)*($H$146:$H$153)=0,"",$H$146:$H$153),{1,2,3}))</f>
        <v>0</v>
      </c>
    </row>
    <row r="153" spans="1:12" x14ac:dyDescent="0.25">
      <c r="A153" t="s">
        <v>238</v>
      </c>
      <c r="B153">
        <v>234</v>
      </c>
      <c r="C153" t="b" cm="1">
        <f t="array" ref="C153">AND($A153=$C$151,$B153&lt;=SMALL(IF($A$152:$A$163=$C$151,$B$152:$B$163),3))</f>
        <v>0</v>
      </c>
      <c r="D153">
        <v>678</v>
      </c>
      <c r="E153" t="b">
        <f t="shared" ref="E153:E163" si="22">AND(COUNTIF($B$152:$B$163,B153),COUNTIF($D$152:$D$163,B153))</f>
        <v>1</v>
      </c>
      <c r="F153">
        <v>234</v>
      </c>
      <c r="G153" t="b">
        <f t="shared" ref="G153:G163" si="23">F153&lt;=SMALL($F$152:$F$163,3)</f>
        <v>0</v>
      </c>
      <c r="H153">
        <v>23.56</v>
      </c>
      <c r="I153" t="b">
        <f>MOD(H153,1)=0</f>
        <v>0</v>
      </c>
      <c r="J153" t="b" cm="1">
        <f t="array" ref="J153">OR(H153=SMALL(IF(($H$146:$H$153&gt;100)*($H$146:$H$153)=0,"",$H$146:$H$153),{1,2,3}))</f>
        <v>0</v>
      </c>
    </row>
    <row r="154" spans="1:12" x14ac:dyDescent="0.25">
      <c r="A154" t="s">
        <v>277</v>
      </c>
      <c r="B154">
        <v>10</v>
      </c>
      <c r="C154" t="b" cm="1">
        <f t="array" ref="C154">AND($A154=$C$151,$B154&lt;=SMALL(IF($A$152:$A$163=$C$151,$B$152:$B$163),3))</f>
        <v>0</v>
      </c>
      <c r="D154">
        <v>23423</v>
      </c>
      <c r="E154" t="b">
        <f t="shared" si="22"/>
        <v>0</v>
      </c>
      <c r="F154">
        <v>10</v>
      </c>
      <c r="G154" t="b">
        <f t="shared" si="23"/>
        <v>1</v>
      </c>
    </row>
    <row r="155" spans="1:12" x14ac:dyDescent="0.25">
      <c r="A155" t="s">
        <v>242</v>
      </c>
      <c r="B155">
        <v>567</v>
      </c>
      <c r="C155" t="b" cm="1">
        <f t="array" ref="C155">AND($A155=$C$151,$B155&lt;=SMALL(IF($A$152:$A$163=$C$151,$B$152:$B$163),3))</f>
        <v>0</v>
      </c>
      <c r="D155">
        <v>567</v>
      </c>
      <c r="E155" t="b">
        <f t="shared" si="22"/>
        <v>1</v>
      </c>
      <c r="F155">
        <v>567</v>
      </c>
      <c r="G155" t="b">
        <f t="shared" si="23"/>
        <v>0</v>
      </c>
      <c r="I155" t="s">
        <v>278</v>
      </c>
      <c r="L155" t="s">
        <v>279</v>
      </c>
    </row>
    <row r="156" spans="1:12" x14ac:dyDescent="0.25">
      <c r="A156" t="s">
        <v>238</v>
      </c>
      <c r="B156">
        <v>200</v>
      </c>
      <c r="C156" t="b" cm="1">
        <f t="array" ref="C156">AND($A156=$C$151,$B156&lt;=SMALL(IF($A$152:$A$163=$C$151,$B$152:$B$163),3))</f>
        <v>0</v>
      </c>
      <c r="D156">
        <v>200</v>
      </c>
      <c r="E156" t="b">
        <f t="shared" si="22"/>
        <v>1</v>
      </c>
      <c r="F156">
        <v>200</v>
      </c>
      <c r="G156" t="b">
        <f t="shared" si="23"/>
        <v>0</v>
      </c>
      <c r="H156" t="s">
        <v>190</v>
      </c>
      <c r="I156" t="b">
        <f t="shared" ref="I156:I161" si="24">FIND($I$155,H156)=1</f>
        <v>0</v>
      </c>
      <c r="J156" t="b">
        <f>ISNUMBER(SEARCH($I$155,H156))</f>
        <v>1</v>
      </c>
      <c r="K156" t="s">
        <v>280</v>
      </c>
      <c r="L156" t="b">
        <f>EXACT(RIGHT(K156,LEN($L$155)),$L$155)</f>
        <v>1</v>
      </c>
    </row>
    <row r="157" spans="1:12" x14ac:dyDescent="0.25">
      <c r="A157" t="s">
        <v>277</v>
      </c>
      <c r="B157">
        <v>34</v>
      </c>
      <c r="C157" t="b" cm="1">
        <f t="array" ref="C157">AND($A157=$C$151,$B157&lt;=SMALL(IF($A$152:$A$163=$C$151,$B$152:$B$163),3))</f>
        <v>0</v>
      </c>
      <c r="D157">
        <v>546456</v>
      </c>
      <c r="E157" t="b">
        <f t="shared" si="22"/>
        <v>0</v>
      </c>
      <c r="F157">
        <v>34</v>
      </c>
      <c r="G157" t="b">
        <f t="shared" si="23"/>
        <v>1</v>
      </c>
      <c r="H157" t="s">
        <v>281</v>
      </c>
      <c r="I157" t="b">
        <f t="shared" si="24"/>
        <v>0</v>
      </c>
      <c r="J157" t="b">
        <f t="shared" ref="J157:J162" si="25">ISNUMBER(SEARCH($I$155,H157))</f>
        <v>1</v>
      </c>
      <c r="K157" t="s">
        <v>281</v>
      </c>
      <c r="L157" t="b">
        <f t="shared" ref="L157:L162" si="26">EXACT(RIGHT(K157,LEN($L$155)),$L$155)</f>
        <v>0</v>
      </c>
    </row>
    <row r="158" spans="1:12" x14ac:dyDescent="0.25">
      <c r="A158" t="s">
        <v>242</v>
      </c>
      <c r="B158">
        <v>565</v>
      </c>
      <c r="C158" t="b" cm="1">
        <f t="array" ref="C158">AND($A158=$C$151,$B158&lt;=SMALL(IF($A$152:$A$163=$C$151,$B$152:$B$163),3))</f>
        <v>1</v>
      </c>
      <c r="D158">
        <v>565</v>
      </c>
      <c r="E158" t="b">
        <f t="shared" si="22"/>
        <v>1</v>
      </c>
      <c r="F158">
        <v>565</v>
      </c>
      <c r="G158" t="b">
        <f t="shared" si="23"/>
        <v>0</v>
      </c>
      <c r="H158" t="s">
        <v>282</v>
      </c>
      <c r="I158" t="e">
        <f t="shared" si="24"/>
        <v>#VALUE!</v>
      </c>
      <c r="J158" t="b">
        <f t="shared" si="25"/>
        <v>0</v>
      </c>
      <c r="K158" t="s">
        <v>282</v>
      </c>
      <c r="L158" t="b">
        <f t="shared" si="26"/>
        <v>0</v>
      </c>
    </row>
    <row r="159" spans="1:12" x14ac:dyDescent="0.25">
      <c r="A159" t="s">
        <v>238</v>
      </c>
      <c r="B159">
        <v>23</v>
      </c>
      <c r="C159" t="b" cm="1">
        <f t="array" ref="C159">AND($A159=$C$151,$B159&lt;=SMALL(IF($A$152:$A$163=$C$151,$B$152:$B$163),3))</f>
        <v>0</v>
      </c>
      <c r="D159">
        <v>6788</v>
      </c>
      <c r="E159" t="b">
        <f t="shared" si="22"/>
        <v>0</v>
      </c>
      <c r="F159">
        <v>23</v>
      </c>
      <c r="G159" t="b">
        <f t="shared" si="23"/>
        <v>1</v>
      </c>
      <c r="H159" t="s">
        <v>283</v>
      </c>
      <c r="I159" t="b">
        <f t="shared" si="24"/>
        <v>0</v>
      </c>
      <c r="J159" t="b">
        <f t="shared" si="25"/>
        <v>1</v>
      </c>
      <c r="K159" t="s">
        <v>283</v>
      </c>
      <c r="L159" t="b">
        <f t="shared" si="26"/>
        <v>0</v>
      </c>
    </row>
    <row r="160" spans="1:12" x14ac:dyDescent="0.25">
      <c r="A160" t="s">
        <v>277</v>
      </c>
      <c r="B160">
        <v>456</v>
      </c>
      <c r="C160" t="b" cm="1">
        <f t="array" ref="C160">AND($A160=$C$151,$B160&lt;=SMALL(IF($A$152:$A$163=$C$151,$B$152:$B$163),3))</f>
        <v>0</v>
      </c>
      <c r="D160">
        <v>456</v>
      </c>
      <c r="E160" t="b">
        <f t="shared" si="22"/>
        <v>1</v>
      </c>
      <c r="F160">
        <v>456</v>
      </c>
      <c r="G160" t="b">
        <f t="shared" si="23"/>
        <v>0</v>
      </c>
      <c r="H160" t="s">
        <v>284</v>
      </c>
      <c r="I160" t="e">
        <f t="shared" si="24"/>
        <v>#VALUE!</v>
      </c>
      <c r="J160" t="b">
        <f t="shared" si="25"/>
        <v>0</v>
      </c>
      <c r="K160" t="s">
        <v>285</v>
      </c>
      <c r="L160" t="b">
        <f t="shared" si="26"/>
        <v>1</v>
      </c>
    </row>
    <row r="161" spans="1:12" x14ac:dyDescent="0.25">
      <c r="A161" t="s">
        <v>242</v>
      </c>
      <c r="B161">
        <v>234</v>
      </c>
      <c r="C161" t="b" cm="1">
        <f t="array" ref="C161">AND($A161=$C$151,$B161&lt;=SMALL(IF($A$152:$A$163=$C$151,$B$152:$B$163),3))</f>
        <v>1</v>
      </c>
      <c r="D161">
        <v>234</v>
      </c>
      <c r="E161" t="b">
        <f t="shared" si="22"/>
        <v>1</v>
      </c>
      <c r="F161">
        <v>234</v>
      </c>
      <c r="G161" t="b">
        <f t="shared" si="23"/>
        <v>0</v>
      </c>
      <c r="H161" t="s">
        <v>286</v>
      </c>
      <c r="I161" t="e">
        <f t="shared" si="24"/>
        <v>#VALUE!</v>
      </c>
      <c r="J161" t="b">
        <f t="shared" si="25"/>
        <v>0</v>
      </c>
      <c r="K161" t="s">
        <v>286</v>
      </c>
      <c r="L161" t="b">
        <f t="shared" si="26"/>
        <v>0</v>
      </c>
    </row>
    <row r="162" spans="1:12" x14ac:dyDescent="0.25">
      <c r="A162" t="s">
        <v>238</v>
      </c>
      <c r="B162">
        <v>54</v>
      </c>
      <c r="C162" t="b" cm="1">
        <f t="array" ref="C162">AND($A162=$C$151,$B162&lt;=SMALL(IF($A$152:$A$163=$C$151,$B$152:$B$163),3))</f>
        <v>0</v>
      </c>
      <c r="D162">
        <v>5677</v>
      </c>
      <c r="E162" t="b">
        <f t="shared" si="22"/>
        <v>0</v>
      </c>
      <c r="F162">
        <v>54</v>
      </c>
      <c r="G162" t="b">
        <f t="shared" si="23"/>
        <v>0</v>
      </c>
      <c r="H162" t="s">
        <v>190</v>
      </c>
      <c r="I162" t="b">
        <f t="shared" ref="I162" si="27">FIND($I$155,H162)=1</f>
        <v>0</v>
      </c>
      <c r="J162" t="b">
        <f t="shared" si="25"/>
        <v>1</v>
      </c>
      <c r="K162" t="s">
        <v>190</v>
      </c>
      <c r="L162" t="b">
        <f t="shared" si="26"/>
        <v>0</v>
      </c>
    </row>
    <row r="163" spans="1:12" x14ac:dyDescent="0.25">
      <c r="A163" t="s">
        <v>277</v>
      </c>
      <c r="B163">
        <v>778</v>
      </c>
      <c r="C163" t="b" cm="1">
        <f t="array" ref="C163">AND($A163=$C$151,$B163&lt;=SMALL(IF($A$152:$A$163=$C$151,$B$152:$B$163),3))</f>
        <v>0</v>
      </c>
      <c r="D163">
        <v>778</v>
      </c>
      <c r="E163" t="b">
        <f t="shared" si="22"/>
        <v>1</v>
      </c>
      <c r="F163">
        <v>778</v>
      </c>
      <c r="G163" t="b">
        <f t="shared" si="23"/>
        <v>0</v>
      </c>
    </row>
    <row r="164" spans="1:12" x14ac:dyDescent="0.25">
      <c r="G164">
        <f>_xlfn.CEILING.MATH(123.456)</f>
        <v>124</v>
      </c>
      <c r="I164" t="s">
        <v>287</v>
      </c>
      <c r="J164" t="s">
        <v>288</v>
      </c>
    </row>
    <row r="165" spans="1:12" x14ac:dyDescent="0.25">
      <c r="A165" t="s">
        <v>289</v>
      </c>
      <c r="B165" t="s">
        <v>190</v>
      </c>
      <c r="C165" t="b">
        <f>COUNTIF($B$165:$B$171,A165)=0</f>
        <v>0</v>
      </c>
      <c r="D165">
        <f>COUNTIF(K157,"*bcd")</f>
        <v>1</v>
      </c>
      <c r="E165" t="b" cm="1">
        <f t="array" ref="E165">SUMPRODUCT(--EXACT(A165,$B$165:$B$171))=0</f>
        <v>1</v>
      </c>
      <c r="F165" t="b">
        <f>ISERROR(MATCH(A165,$B$165:$B$171,0))</f>
        <v>0</v>
      </c>
      <c r="J165">
        <f>FIND(I164,RIGHT(J164,LEN(I164)))</f>
        <v>1</v>
      </c>
    </row>
    <row r="166" spans="1:12" x14ac:dyDescent="0.25">
      <c r="A166" t="s">
        <v>281</v>
      </c>
      <c r="B166" t="s">
        <v>281</v>
      </c>
      <c r="C166" t="b">
        <f t="shared" ref="C166:C171" si="28">COUNTIF($B$165:$B$171,A166)=0</f>
        <v>0</v>
      </c>
      <c r="E166" t="b" cm="1">
        <f t="array" ref="E166">SUMPRODUCT(--EXACT(A166,$B$165:$B$171))=0</f>
        <v>0</v>
      </c>
      <c r="F166" t="b">
        <f t="shared" ref="F166:F171" si="29">ISERROR(MATCH(A166,$B$165:$B$171,0))</f>
        <v>0</v>
      </c>
      <c r="G166" s="1">
        <v>44652</v>
      </c>
      <c r="H166" t="b">
        <f>OR(WEEKDAY(G166,1)=1,WEEKDAY(G166,1)=7)</f>
        <v>0</v>
      </c>
      <c r="I166" t="s">
        <v>290</v>
      </c>
      <c r="J166" t="b">
        <f>ISEVEN(ROW())</f>
        <v>1</v>
      </c>
    </row>
    <row r="167" spans="1:12" x14ac:dyDescent="0.25">
      <c r="A167" t="s">
        <v>282</v>
      </c>
      <c r="B167" t="s">
        <v>291</v>
      </c>
      <c r="C167" t="b">
        <f t="shared" si="28"/>
        <v>1</v>
      </c>
      <c r="E167" t="b" cm="1">
        <f t="array" ref="E167">SUMPRODUCT(--EXACT(A167,$B$165:$B$171))=0</f>
        <v>1</v>
      </c>
      <c r="F167" t="b">
        <f t="shared" si="29"/>
        <v>1</v>
      </c>
      <c r="G167" t="s">
        <v>242</v>
      </c>
      <c r="H167" t="s">
        <v>242</v>
      </c>
      <c r="I167" t="b">
        <f>COUNTIF($G$167:$G$173,H167)&gt;2</f>
        <v>0</v>
      </c>
      <c r="J167" t="b">
        <f t="shared" ref="J167:J170" si="30">ISEVEN(ROW())</f>
        <v>0</v>
      </c>
    </row>
    <row r="168" spans="1:12" x14ac:dyDescent="0.25">
      <c r="A168" t="s">
        <v>292</v>
      </c>
      <c r="B168" t="s">
        <v>283</v>
      </c>
      <c r="C168" t="b">
        <f t="shared" si="28"/>
        <v>0</v>
      </c>
      <c r="E168" t="b" cm="1">
        <f t="array" ref="E168">SUMPRODUCT(--EXACT(A168,$B$165:$B$171))=0</f>
        <v>1</v>
      </c>
      <c r="F168" t="b">
        <f t="shared" si="29"/>
        <v>0</v>
      </c>
      <c r="G168" t="s">
        <v>238</v>
      </c>
      <c r="H168" t="s">
        <v>238</v>
      </c>
      <c r="I168" t="b">
        <f t="shared" ref="I168:I170" si="31">COUNTIF($G$167:$G$173,H168)&gt;2</f>
        <v>0</v>
      </c>
      <c r="J168" t="b">
        <f t="shared" si="30"/>
        <v>1</v>
      </c>
    </row>
    <row r="169" spans="1:12" x14ac:dyDescent="0.25">
      <c r="A169" t="s">
        <v>284</v>
      </c>
      <c r="B169" t="s">
        <v>284</v>
      </c>
      <c r="C169" t="b">
        <f t="shared" si="28"/>
        <v>0</v>
      </c>
      <c r="E169" t="b" cm="1">
        <f t="array" ref="E169">SUMPRODUCT(--EXACT(A169,$B$165:$B$171))=0</f>
        <v>0</v>
      </c>
      <c r="F169" t="b">
        <f t="shared" si="29"/>
        <v>0</v>
      </c>
      <c r="G169" t="s">
        <v>277</v>
      </c>
      <c r="H169" t="s">
        <v>277</v>
      </c>
      <c r="I169" t="b">
        <f t="shared" si="31"/>
        <v>1</v>
      </c>
      <c r="J169" t="b">
        <f t="shared" si="30"/>
        <v>0</v>
      </c>
    </row>
    <row r="170" spans="1:12" x14ac:dyDescent="0.25">
      <c r="A170" t="s">
        <v>293</v>
      </c>
      <c r="B170" t="s">
        <v>286</v>
      </c>
      <c r="C170" t="b">
        <f t="shared" si="28"/>
        <v>1</v>
      </c>
      <c r="E170" t="b" cm="1">
        <f t="array" ref="E170">SUMPRODUCT(--EXACT(A170,$B$165:$B$171))=0</f>
        <v>1</v>
      </c>
      <c r="F170" t="b">
        <f t="shared" si="29"/>
        <v>1</v>
      </c>
      <c r="G170" t="s">
        <v>277</v>
      </c>
      <c r="H170" t="s">
        <v>240</v>
      </c>
      <c r="I170" t="b">
        <f t="shared" si="31"/>
        <v>0</v>
      </c>
      <c r="J170" t="b">
        <f t="shared" si="30"/>
        <v>1</v>
      </c>
    </row>
    <row r="171" spans="1:12" x14ac:dyDescent="0.25">
      <c r="A171" t="s">
        <v>190</v>
      </c>
      <c r="B171" t="s">
        <v>190</v>
      </c>
      <c r="C171" t="b">
        <f t="shared" si="28"/>
        <v>0</v>
      </c>
      <c r="E171" t="b" cm="1">
        <f t="array" ref="E171">SUMPRODUCT(--EXACT(A171,$B$165:$B$171))=0</f>
        <v>0</v>
      </c>
      <c r="F171" t="b">
        <f t="shared" si="29"/>
        <v>0</v>
      </c>
      <c r="G171" t="s">
        <v>294</v>
      </c>
    </row>
    <row r="172" spans="1:12" x14ac:dyDescent="0.25">
      <c r="G172" t="s">
        <v>277</v>
      </c>
    </row>
    <row r="173" spans="1:12" x14ac:dyDescent="0.25">
      <c r="G173" t="s">
        <v>242</v>
      </c>
    </row>
  </sheetData>
  <conditionalFormatting sqref="A133:A139">
    <cfRule type="cellIs" dxfId="32" priority="5" operator="between">
      <formula>DATE(2021,1,1)</formula>
      <formula>$A$132</formula>
    </cfRule>
  </conditionalFormatting>
  <conditionalFormatting sqref="A48:B56">
    <cfRule type="expression" dxfId="31" priority="34">
      <formula>AND(COUNTIF($A$48:$A$56,A48),COUNTIF($B$48:$B$56,A48))</formula>
    </cfRule>
  </conditionalFormatting>
  <conditionalFormatting sqref="A106:C110">
    <cfRule type="expression" dxfId="30" priority="16">
      <formula>AND($A106=$E$106,A$106=$E$107)</formula>
    </cfRule>
  </conditionalFormatting>
  <conditionalFormatting sqref="B20:B23">
    <cfRule type="top10" dxfId="29" priority="45" rank="2"/>
  </conditionalFormatting>
  <conditionalFormatting sqref="B147:B150">
    <cfRule type="uniqueValues" dxfId="28" priority="13"/>
  </conditionalFormatting>
  <conditionalFormatting sqref="B152:D163 C165:C171">
    <cfRule type="expression" dxfId="27" priority="14">
      <formula>AND(COUNTIF($B$152:$B$163,B152),COUNTIF($D$152:$D$163,B152))</formula>
    </cfRule>
  </conditionalFormatting>
  <conditionalFormatting sqref="D9:D17">
    <cfRule type="expression" dxfId="26" priority="23">
      <formula>ISEVEN(CEILING(ROW()-2,2)/2)</formula>
    </cfRule>
  </conditionalFormatting>
  <conditionalFormatting sqref="D43:D51">
    <cfRule type="expression" dxfId="25" priority="36">
      <formula>AND(D43&gt;60,D43&lt;=70)</formula>
    </cfRule>
    <cfRule type="expression" dxfId="24" priority="35">
      <formula>D43&lt;60</formula>
    </cfRule>
    <cfRule type="expression" dxfId="23" priority="37">
      <formula>AND(D43&gt;70,D43&lt;=80)</formula>
    </cfRule>
    <cfRule type="expression" dxfId="22" priority="38">
      <formula>AND(D43&gt;80, D43&lt;=90)</formula>
    </cfRule>
    <cfRule type="expression" dxfId="21" priority="39">
      <formula>AND(D43&gt;90,D43&lt;=100)</formula>
    </cfRule>
  </conditionalFormatting>
  <conditionalFormatting sqref="F152:F163">
    <cfRule type="top10" dxfId="20" priority="8" bottom="1" rank="3"/>
  </conditionalFormatting>
  <conditionalFormatting sqref="H135:H141">
    <cfRule type="cellIs" dxfId="19" priority="2" operator="greaterThan">
      <formula>DATE(2021,2,28)</formula>
    </cfRule>
  </conditionalFormatting>
  <conditionalFormatting sqref="H146:H153">
    <cfRule type="expression" dxfId="18" priority="10" stopIfTrue="1">
      <formula>H146&gt;=300</formula>
    </cfRule>
    <cfRule type="expression" dxfId="17" priority="11" stopIfTrue="1">
      <formula>H146&gt;=200</formula>
    </cfRule>
    <cfRule type="expression" dxfId="16" priority="12">
      <formula>H146&lt;200</formula>
    </cfRule>
  </conditionalFormatting>
  <conditionalFormatting sqref="H156:H162">
    <cfRule type="endsWith" dxfId="15" priority="9" operator="endsWith" text="bc">
      <formula>RIGHT(H156,LEN("bc"))="bc"</formula>
    </cfRule>
  </conditionalFormatting>
  <conditionalFormatting sqref="I2:I9">
    <cfRule type="expression" dxfId="14" priority="46">
      <formula>ISERROR(MATCH(I2,$J$2:$J$7,0))</formula>
    </cfRule>
  </conditionalFormatting>
  <conditionalFormatting sqref="I73:I85">
    <cfRule type="expression" dxfId="13" priority="15">
      <formula>I73&gt;=LARGE($I$73:$I$85,5)</formula>
    </cfRule>
  </conditionalFormatting>
  <conditionalFormatting sqref="I144:I149">
    <cfRule type="top10" dxfId="12" priority="1" rank="2"/>
  </conditionalFormatting>
  <conditionalFormatting sqref="J2:J7">
    <cfRule type="expression" dxfId="11" priority="48">
      <formula>ISERROR(MATCH(J2,$I$2:$I$9,0))</formula>
    </cfRule>
  </conditionalFormatting>
  <conditionalFormatting sqref="J92:J100">
    <cfRule type="expression" dxfId="10" priority="18">
      <formula>COUNTIF($K$92:$K$95,J92)=0</formula>
    </cfRule>
  </conditionalFormatting>
  <conditionalFormatting sqref="J92:K100">
    <cfRule type="expression" dxfId="9" priority="19">
      <formula>AND(COUNTIF($J$92:$J$100,J92),COUNTIF($K$92:$K$95,J92))</formula>
    </cfRule>
  </conditionalFormatting>
  <conditionalFormatting sqref="K92:K95">
    <cfRule type="expression" dxfId="8" priority="17">
      <formula>COUNTIF($J$92:$J$100,K92)=0</formula>
    </cfRule>
  </conditionalFormatting>
  <conditionalFormatting sqref="K156:K162">
    <cfRule type="containsText" dxfId="7" priority="6" operator="containsText" text="BCD">
      <formula>NOT(ISERROR(SEARCH("BCD",K156)))</formula>
    </cfRule>
    <cfRule type="beginsWith" dxfId="6" priority="4" operator="beginsWith" text="C">
      <formula>LEFT(K156,LEN("C"))="C"</formula>
    </cfRule>
    <cfRule type="containsText" dxfId="5" priority="3" operator="containsText" text="HF">
      <formula>NOT(ISERROR(SEARCH("HF",K156)))</formula>
    </cfRule>
  </conditionalFormatting>
  <conditionalFormatting sqref="L2:L6">
    <cfRule type="expression" dxfId="4" priority="29">
      <formula>1</formula>
    </cfRule>
  </conditionalFormatting>
  <conditionalFormatting sqref="L50:L53">
    <cfRule type="expression" dxfId="3" priority="33">
      <formula>$L50&lt;=SMALL($L$50:$L$53,2)</formula>
    </cfRule>
  </conditionalFormatting>
  <conditionalFormatting sqref="O18:O26">
    <cfRule type="uniqueValues" dxfId="2" priority="25"/>
  </conditionalFormatting>
  <conditionalFormatting sqref="P18:P21">
    <cfRule type="expression" dxfId="1" priority="27">
      <formula>COUNTIF($O$18:$O$26,$P18)=0</formula>
    </cfRule>
  </conditionalFormatting>
  <conditionalFormatting sqref="Q2:Q5">
    <cfRule type="expression" dxfId="0" priority="30">
      <formula>SUMPRODUCT(--ISNUMBER(SEARCH($P$3:$P$4,Q2)))&gt;0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"/>
  <sheetViews>
    <sheetView workbookViewId="0"/>
  </sheetViews>
  <sheetFormatPr defaultRowHeight="15" x14ac:dyDescent="0.25"/>
  <cols>
    <col min="1" max="1" width="9.140625" customWidth="1"/>
    <col min="2" max="2" width="11.7109375" bestFit="1" customWidth="1"/>
    <col min="3" max="8" width="9.140625" customWidth="1"/>
  </cols>
  <sheetData>
    <row r="1" spans="1:2" x14ac:dyDescent="0.25">
      <c r="A1" t="s">
        <v>295</v>
      </c>
    </row>
    <row r="2" spans="1:2" x14ac:dyDescent="0.25">
      <c r="A2">
        <v>125</v>
      </c>
    </row>
    <row r="3" spans="1:2" x14ac:dyDescent="0.25">
      <c r="A3">
        <v>100</v>
      </c>
    </row>
    <row r="5" spans="1:2" x14ac:dyDescent="0.25">
      <c r="A5">
        <v>123</v>
      </c>
    </row>
    <row r="6" spans="1:2" x14ac:dyDescent="0.25">
      <c r="A6">
        <f>SUM('Test Sheet 2:Test Sheet 3'!A2)</f>
        <v>225</v>
      </c>
    </row>
    <row r="8" spans="1:2" x14ac:dyDescent="0.25">
      <c r="A8">
        <f>SUBTOTAL(3,A2:A7)</f>
        <v>4</v>
      </c>
    </row>
    <row r="10" spans="1:2" x14ac:dyDescent="0.25">
      <c r="B10" t="s">
        <v>244</v>
      </c>
    </row>
    <row r="11" spans="1:2" x14ac:dyDescent="0.25">
      <c r="B11" t="s">
        <v>245</v>
      </c>
    </row>
    <row r="12" spans="1:2" x14ac:dyDescent="0.25">
      <c r="B12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3"/>
  <sheetViews>
    <sheetView workbookViewId="0"/>
  </sheetViews>
  <sheetFormatPr defaultRowHeight="15" x14ac:dyDescent="0.25"/>
  <cols>
    <col min="1" max="1" width="7.5703125" bestFit="1" customWidth="1"/>
  </cols>
  <sheetData>
    <row r="2" spans="1:1" x14ac:dyDescent="0.25">
      <c r="A2">
        <v>100</v>
      </c>
    </row>
    <row r="3" spans="1:1" x14ac:dyDescent="0.25">
      <c r="A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Advanced Formulas</vt:lpstr>
      <vt:lpstr>Test Sheet 1</vt:lpstr>
      <vt:lpstr>Test Sheet 2</vt:lpstr>
      <vt:lpstr>Test Sheet 3</vt:lpstr>
      <vt:lpstr>Sheets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ksingh2</dc:creator>
  <cp:keywords/>
  <dc:description/>
  <cp:lastModifiedBy>Kislay Singh</cp:lastModifiedBy>
  <cp:revision/>
  <dcterms:created xsi:type="dcterms:W3CDTF">2018-02-06T18:25:05Z</dcterms:created>
  <dcterms:modified xsi:type="dcterms:W3CDTF">2025-05-06T14:06:49Z</dcterms:modified>
  <cp:category/>
  <cp:contentStatus/>
</cp:coreProperties>
</file>