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4_Others\2024\Thip\"/>
    </mc:Choice>
  </mc:AlternateContent>
  <xr:revisionPtr revIDLastSave="0" documentId="13_ncr:1_{52F4A9BB-A8C7-45FF-B285-5F016BEF82B1}" xr6:coauthVersionLast="47" xr6:coauthVersionMax="47" xr10:uidLastSave="{00000000-0000-0000-0000-000000000000}"/>
  <bookViews>
    <workbookView xWindow="-108" yWindow="-108" windowWidth="23256" windowHeight="12456" xr2:uid="{63CE5BAE-D1AF-4E04-91C9-9316A4FE4C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12" i="2" s="1"/>
  <c r="E2" i="2"/>
  <c r="E12" i="2" s="1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P13" i="1"/>
  <c r="P9" i="1"/>
  <c r="L19" i="1"/>
  <c r="P14" i="1" s="1"/>
  <c r="L14" i="1"/>
  <c r="L15" i="1"/>
  <c r="L16" i="1"/>
  <c r="L17" i="1"/>
  <c r="L18" i="1"/>
  <c r="M18" i="1" s="1"/>
  <c r="N18" i="1" s="1"/>
  <c r="L13" i="1"/>
  <c r="F12" i="1"/>
  <c r="G12" i="1"/>
  <c r="M17" i="1"/>
  <c r="N17" i="1" s="1"/>
  <c r="K18" i="1"/>
  <c r="K17" i="1"/>
  <c r="K14" i="1"/>
  <c r="K15" i="1"/>
  <c r="K16" i="1"/>
  <c r="P18" i="1" l="1"/>
  <c r="Q18" i="1" s="1"/>
  <c r="O18" i="1" s="1"/>
  <c r="C13" i="1"/>
  <c r="C14" i="1"/>
  <c r="C15" i="1"/>
  <c r="C16" i="1"/>
  <c r="H16" i="1" s="1"/>
  <c r="C17" i="1"/>
  <c r="H17" i="1" s="1"/>
  <c r="C18" i="1"/>
  <c r="C12" i="1"/>
  <c r="D12" i="1" s="1"/>
  <c r="B13" i="1"/>
  <c r="B14" i="1"/>
  <c r="B15" i="1"/>
  <c r="B16" i="1"/>
  <c r="B17" i="1"/>
  <c r="B18" i="1"/>
  <c r="M10" i="1"/>
  <c r="H14" i="1"/>
  <c r="H15" i="1"/>
  <c r="H19" i="1"/>
  <c r="F13" i="1"/>
  <c r="F14" i="1"/>
  <c r="F15" i="1"/>
  <c r="F16" i="1"/>
  <c r="F17" i="1"/>
  <c r="F18" i="1"/>
  <c r="F19" i="1"/>
  <c r="G19" i="1"/>
  <c r="G18" i="1" s="1"/>
  <c r="G17" i="1" s="1"/>
  <c r="G16" i="1" s="1"/>
  <c r="G15" i="1" s="1"/>
  <c r="D13" i="1"/>
  <c r="D14" i="1"/>
  <c r="D15" i="1"/>
  <c r="D18" i="1"/>
  <c r="F7" i="1"/>
  <c r="G1" i="1"/>
  <c r="F1" i="1"/>
  <c r="F2" i="1" s="1"/>
  <c r="C1" i="1"/>
  <c r="K13" i="1" l="1"/>
  <c r="Q13" i="1" s="1"/>
  <c r="H13" i="1"/>
  <c r="D17" i="1"/>
  <c r="D16" i="1"/>
  <c r="H18" i="1"/>
  <c r="I19" i="1" s="1"/>
  <c r="F3" i="1"/>
  <c r="G2" i="1"/>
  <c r="G14" i="1"/>
  <c r="O13" i="1" l="1"/>
  <c r="M15" i="1"/>
  <c r="N15" i="1" s="1"/>
  <c r="M16" i="1"/>
  <c r="N16" i="1" s="1"/>
  <c r="G13" i="1"/>
  <c r="F4" i="1"/>
  <c r="G3" i="1"/>
  <c r="F5" i="1" l="1"/>
  <c r="G5" i="1" s="1"/>
  <c r="G4" i="1"/>
  <c r="M13" i="1"/>
  <c r="N13" i="1" s="1"/>
  <c r="M14" i="1"/>
  <c r="N14" i="1" s="1"/>
  <c r="P17" i="1"/>
  <c r="P16" i="1"/>
  <c r="Q16" i="1" s="1"/>
  <c r="P15" i="1"/>
  <c r="Q15" i="1" l="1"/>
  <c r="O15" i="1" s="1"/>
  <c r="P19" i="1"/>
  <c r="S19" i="1" s="1"/>
  <c r="S18" i="1" s="1"/>
  <c r="S17" i="1" s="1"/>
  <c r="S16" i="1" s="1"/>
  <c r="S15" i="1" s="1"/>
  <c r="S14" i="1" s="1"/>
  <c r="S13" i="1" s="1"/>
  <c r="Q17" i="1"/>
  <c r="O17" i="1" s="1"/>
  <c r="Q14" i="1"/>
  <c r="O16" i="1"/>
  <c r="C2" i="1"/>
  <c r="P12" i="1" l="1"/>
  <c r="S12" i="1" s="1"/>
  <c r="Q19" i="1"/>
  <c r="Q12" i="1" s="1"/>
  <c r="R14" i="1" s="1"/>
  <c r="O14" i="1"/>
  <c r="O19" i="1" l="1"/>
  <c r="R15" i="1"/>
  <c r="R17" i="1"/>
  <c r="O12" i="1"/>
  <c r="R12" i="1"/>
  <c r="R16" i="1"/>
  <c r="R18" i="1"/>
  <c r="R13" i="1"/>
  <c r="R19" i="1" l="1"/>
</calcChain>
</file>

<file path=xl/sharedStrings.xml><?xml version="1.0" encoding="utf-8"?>
<sst xmlns="http://schemas.openxmlformats.org/spreadsheetml/2006/main" count="22" uniqueCount="19">
  <si>
    <t>NSO</t>
  </si>
  <si>
    <t>Integral</t>
  </si>
  <si>
    <t>Avg</t>
  </si>
  <si>
    <t>Percent</t>
  </si>
  <si>
    <t>Percent_Wealth</t>
  </si>
  <si>
    <t>Percent Wealth</t>
  </si>
  <si>
    <t>Rescale to</t>
  </si>
  <si>
    <t>Min</t>
  </si>
  <si>
    <t>Max</t>
  </si>
  <si>
    <t>compensation</t>
  </si>
  <si>
    <t>salary before tax</t>
  </si>
  <si>
    <t>per month</t>
  </si>
  <si>
    <t>MAPE</t>
  </si>
  <si>
    <t xml:space="preserve">2,102 </t>
  </si>
  <si>
    <t>E2</t>
  </si>
  <si>
    <t>M2</t>
  </si>
  <si>
    <t>E1</t>
  </si>
  <si>
    <t>M1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</si>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</sst>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9"/>
      <name val="Tahoma"/>
      <family val="2"/>
    </font>
    <font>
      <sz val="11"/>
      <color theme="1"/>
      <name val="Aptos Narrow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3" fontId="1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3" fontId="3" fillId="0" borderId="1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D2EA-05E4-4347-B764-4973FF86A687}">
  <dimension ref="A1:S30"/>
  <sheetViews>
    <sheetView tabSelected="1" topLeftCell="E4" zoomScale="125" workbookViewId="0">
      <selection activeCell="G22" sqref="G22"/>
    </sheetView>
  </sheetViews>
  <sheetFormatPr defaultRowHeight="14.4" x14ac:dyDescent="0.3"/>
  <cols>
    <col min="1" max="1" width="14.109375" bestFit="1" customWidth="1"/>
    <col min="2" max="2" width="12.44140625" bestFit="1" customWidth="1"/>
    <col min="3" max="3" width="12" bestFit="1" customWidth="1"/>
    <col min="4" max="4" width="11" bestFit="1" customWidth="1"/>
    <col min="6" max="6" width="19.33203125" customWidth="1"/>
    <col min="8" max="8" width="12" bestFit="1" customWidth="1"/>
    <col min="14" max="14" width="13.88671875" bestFit="1" customWidth="1"/>
    <col min="17" max="17" width="11" bestFit="1" customWidth="1"/>
    <col min="18" max="18" width="13.44140625" bestFit="1" customWidth="1"/>
  </cols>
  <sheetData>
    <row r="1" spans="1:19" x14ac:dyDescent="0.3">
      <c r="A1">
        <v>5.5E-2</v>
      </c>
      <c r="B1" t="s">
        <v>1</v>
      </c>
      <c r="C1">
        <f>1-2*SUM(A1:A5)</f>
        <v>0.29859999999999998</v>
      </c>
      <c r="E1" s="1">
        <v>2838</v>
      </c>
      <c r="F1">
        <f>E1/SUM($E$1:$E$5)</f>
        <v>5.503839888294159E-2</v>
      </c>
      <c r="G1">
        <f>F1</f>
        <v>5.503839888294159E-2</v>
      </c>
    </row>
    <row r="2" spans="1:19" x14ac:dyDescent="0.3">
      <c r="A2">
        <v>2.07E-2</v>
      </c>
      <c r="B2" t="s">
        <v>0</v>
      </c>
      <c r="C2">
        <f>1/5*(G5*4+G4*2-G2*2-4*G1)</f>
        <v>0.39654797921030183</v>
      </c>
      <c r="E2" s="1">
        <v>5002</v>
      </c>
      <c r="F2">
        <f>E2/SUM($E$1:$E$5)+F1</f>
        <v>0.15204406174850671</v>
      </c>
      <c r="G2">
        <f>F2-F1</f>
        <v>9.7005662865565112E-2</v>
      </c>
    </row>
    <row r="3" spans="1:19" x14ac:dyDescent="0.3">
      <c r="A3">
        <v>4.4499999999999998E-2</v>
      </c>
      <c r="E3" s="1">
        <v>7312</v>
      </c>
      <c r="F3">
        <f t="shared" ref="F3:F5" si="0">E3/SUM($E$1:$E$5)+F2</f>
        <v>0.29384842137925682</v>
      </c>
      <c r="G3">
        <f t="shared" ref="G3:G5" si="1">F3-F2</f>
        <v>0.14180435963075011</v>
      </c>
    </row>
    <row r="4" spans="1:19" x14ac:dyDescent="0.3">
      <c r="A4">
        <v>0.08</v>
      </c>
      <c r="E4" s="1">
        <v>11027</v>
      </c>
      <c r="F4">
        <f t="shared" si="0"/>
        <v>0.50769916996354048</v>
      </c>
      <c r="G4">
        <f t="shared" si="1"/>
        <v>0.21385074858428366</v>
      </c>
    </row>
    <row r="5" spans="1:19" x14ac:dyDescent="0.3">
      <c r="A5">
        <v>0.15049999999999999</v>
      </c>
      <c r="E5" s="1">
        <v>25385</v>
      </c>
      <c r="F5">
        <f t="shared" si="0"/>
        <v>1</v>
      </c>
      <c r="G5">
        <f t="shared" si="1"/>
        <v>0.49230083003645952</v>
      </c>
    </row>
    <row r="7" spans="1:19" x14ac:dyDescent="0.3">
      <c r="C7">
        <v>15590257000000</v>
      </c>
      <c r="D7">
        <v>5130.3500000000004</v>
      </c>
      <c r="E7" s="1">
        <v>2838</v>
      </c>
      <c r="F7" s="2">
        <f>E7/D7*C7</f>
        <v>8624197055951.3477</v>
      </c>
    </row>
    <row r="9" spans="1:19" x14ac:dyDescent="0.3">
      <c r="P9">
        <f>33.43*0.7</f>
        <v>23.401</v>
      </c>
    </row>
    <row r="10" spans="1:19" x14ac:dyDescent="0.3">
      <c r="K10">
        <v>25385</v>
      </c>
      <c r="L10">
        <v>20</v>
      </c>
      <c r="M10">
        <f>L10*K10</f>
        <v>507700</v>
      </c>
      <c r="N10">
        <v>49.23</v>
      </c>
      <c r="P10" t="s">
        <v>6</v>
      </c>
      <c r="Q10">
        <v>4.5</v>
      </c>
    </row>
    <row r="11" spans="1:19" x14ac:dyDescent="0.3">
      <c r="A11" t="s">
        <v>10</v>
      </c>
      <c r="B11" t="s">
        <v>9</v>
      </c>
      <c r="D11" t="s">
        <v>11</v>
      </c>
      <c r="G11">
        <v>80</v>
      </c>
      <c r="K11" t="s">
        <v>2</v>
      </c>
      <c r="L11" t="s">
        <v>3</v>
      </c>
      <c r="N11" t="s">
        <v>4</v>
      </c>
      <c r="O11" t="s">
        <v>2</v>
      </c>
      <c r="P11" t="s">
        <v>3</v>
      </c>
      <c r="R11" t="s">
        <v>5</v>
      </c>
    </row>
    <row r="12" spans="1:19" x14ac:dyDescent="0.3">
      <c r="A12">
        <v>150000</v>
      </c>
      <c r="B12">
        <v>160000</v>
      </c>
      <c r="C12">
        <f>A12+B12</f>
        <v>310000</v>
      </c>
      <c r="D12">
        <f>C12/12</f>
        <v>25833.333333333332</v>
      </c>
      <c r="E12">
        <v>6.3</v>
      </c>
      <c r="F12">
        <f>E12/69.6</f>
        <v>9.0517241379310345E-2</v>
      </c>
      <c r="G12">
        <f>(G13/100-F12)*100</f>
        <v>85.25862068965516</v>
      </c>
      <c r="O12">
        <f>Q12/P12</f>
        <v>17185.145826371278</v>
      </c>
      <c r="P12" s="5">
        <f>20-SUM(P13:P19)</f>
        <v>15.5</v>
      </c>
      <c r="Q12">
        <f>M10-SUM(Q13:Q19)</f>
        <v>266369.76030875481</v>
      </c>
      <c r="R12" s="4">
        <f t="shared" ref="R12:R18" si="2">Q12/SUM($Q$12:$Q$19)*$N$10/100</f>
        <v>0.25828999999999996</v>
      </c>
      <c r="S12">
        <f t="shared" ref="S12:S18" si="3">S13-P12</f>
        <v>80.000000000000014</v>
      </c>
    </row>
    <row r="13" spans="1:19" x14ac:dyDescent="0.3">
      <c r="A13">
        <v>300000</v>
      </c>
      <c r="B13">
        <f t="shared" ref="B13:B18" si="4">MIN(100000,A13/2) + 60000</f>
        <v>160000</v>
      </c>
      <c r="C13">
        <f t="shared" ref="C13:C18" si="5">A13+B13</f>
        <v>460000</v>
      </c>
      <c r="D13">
        <f t="shared" ref="D13:D18" si="6">C13/12</f>
        <v>38333.333333333336</v>
      </c>
      <c r="E13">
        <v>2</v>
      </c>
      <c r="F13">
        <f t="shared" ref="F13:F19" si="7">E13/69.6</f>
        <v>2.8735632183908049E-2</v>
      </c>
      <c r="G13">
        <f t="shared" ref="G13:G18" si="8">(G14/100-F13)*100</f>
        <v>94.310344827586206</v>
      </c>
      <c r="H13">
        <f>E13*((C13+C12)/2)*1000000/8624197000000</f>
        <v>8.9283674758357218E-2</v>
      </c>
      <c r="J13" s="3">
        <v>7</v>
      </c>
      <c r="K13">
        <f>(0.33*C13+0.67*C12)/12</f>
        <v>29958.333333333332</v>
      </c>
      <c r="L13" s="3">
        <f>G14-G13</f>
        <v>2.8735632183907995</v>
      </c>
      <c r="M13" s="3">
        <f>L13*K13</f>
        <v>86087.164750957701</v>
      </c>
      <c r="N13" s="3">
        <f t="shared" ref="N13:N16" si="9">M13/$M$10*$N$10</f>
        <v>8.3475893651558941</v>
      </c>
      <c r="O13">
        <f>Q13/P13</f>
        <v>29958.333333333332</v>
      </c>
      <c r="P13" s="5">
        <f t="shared" ref="P13:P18" si="10">L13/SUM($L$13:$L$19)*$Q$10</f>
        <v>2.2727272727272685</v>
      </c>
      <c r="Q13">
        <f>P13*K13</f>
        <v>68087.121212121085</v>
      </c>
      <c r="R13" s="4">
        <f t="shared" si="2"/>
        <v>6.6021843160778429E-2</v>
      </c>
      <c r="S13" s="5">
        <f t="shared" si="3"/>
        <v>95.500000000000014</v>
      </c>
    </row>
    <row r="14" spans="1:19" x14ac:dyDescent="0.3">
      <c r="A14">
        <v>500000</v>
      </c>
      <c r="B14">
        <f t="shared" si="4"/>
        <v>160000</v>
      </c>
      <c r="C14">
        <f t="shared" si="5"/>
        <v>660000</v>
      </c>
      <c r="D14">
        <f t="shared" si="6"/>
        <v>55000</v>
      </c>
      <c r="E14">
        <v>0.98</v>
      </c>
      <c r="F14">
        <f t="shared" si="7"/>
        <v>1.4080459770114944E-2</v>
      </c>
      <c r="G14">
        <f t="shared" si="8"/>
        <v>97.183908045977006</v>
      </c>
      <c r="H14">
        <f t="shared" ref="H14:H19" si="11">E14*((C14+C13)/2)*1000000/8624197000000</f>
        <v>6.3634910009592774E-2</v>
      </c>
      <c r="J14" s="3">
        <v>6</v>
      </c>
      <c r="K14">
        <f t="shared" ref="K14:K16" si="12">(0.33*C14+0.67*C13)/12</f>
        <v>43833.333333333336</v>
      </c>
      <c r="L14" s="3">
        <f t="shared" ref="L14:L19" si="13">G15-G14</f>
        <v>1.408045977011497</v>
      </c>
      <c r="M14" s="3">
        <f t="shared" ref="M14:M16" si="14">L14*K14</f>
        <v>61719.348659003954</v>
      </c>
      <c r="N14" s="3">
        <f t="shared" si="9"/>
        <v>5.9847223448547657</v>
      </c>
      <c r="O14">
        <f t="shared" ref="O14:O19" si="15">Q14/P14</f>
        <v>43833.333333333336</v>
      </c>
      <c r="P14" s="5">
        <f t="shared" si="10"/>
        <v>1.1136363636363658</v>
      </c>
      <c r="Q14">
        <f t="shared" ref="Q14:Q18" si="16">P14*K14</f>
        <v>48814.393939394038</v>
      </c>
      <c r="R14" s="4">
        <f t="shared" si="2"/>
        <v>4.7333713091124059E-2</v>
      </c>
      <c r="S14" s="5">
        <f t="shared" si="3"/>
        <v>97.77272727272728</v>
      </c>
    </row>
    <row r="15" spans="1:19" x14ac:dyDescent="0.3">
      <c r="A15">
        <v>750000</v>
      </c>
      <c r="B15">
        <f t="shared" si="4"/>
        <v>160000</v>
      </c>
      <c r="C15">
        <f t="shared" si="5"/>
        <v>910000</v>
      </c>
      <c r="D15">
        <f t="shared" si="6"/>
        <v>75833.333333333328</v>
      </c>
      <c r="E15">
        <v>0.5</v>
      </c>
      <c r="F15">
        <f t="shared" si="7"/>
        <v>7.1839080459770123E-3</v>
      </c>
      <c r="G15">
        <f t="shared" si="8"/>
        <v>98.591954022988503</v>
      </c>
      <c r="H15">
        <f t="shared" si="11"/>
        <v>4.551148356188988E-2</v>
      </c>
      <c r="J15" s="3">
        <v>5</v>
      </c>
      <c r="K15">
        <f t="shared" si="12"/>
        <v>61875</v>
      </c>
      <c r="L15" s="3">
        <f t="shared" si="13"/>
        <v>0.71839080459770344</v>
      </c>
      <c r="M15" s="3">
        <f t="shared" si="14"/>
        <v>44450.431034482899</v>
      </c>
      <c r="N15" s="3">
        <f t="shared" si="9"/>
        <v>4.310212172203256</v>
      </c>
      <c r="O15">
        <f t="shared" si="15"/>
        <v>61875.000000000007</v>
      </c>
      <c r="P15" s="5">
        <f t="shared" si="10"/>
        <v>0.56818181818182001</v>
      </c>
      <c r="Q15">
        <f t="shared" si="16"/>
        <v>35156.250000000116</v>
      </c>
      <c r="R15" s="4">
        <f t="shared" si="2"/>
        <v>3.4089859907425753E-2</v>
      </c>
      <c r="S15" s="5">
        <f t="shared" si="3"/>
        <v>98.88636363636364</v>
      </c>
    </row>
    <row r="16" spans="1:19" x14ac:dyDescent="0.3">
      <c r="A16">
        <v>1000000</v>
      </c>
      <c r="B16">
        <f t="shared" si="4"/>
        <v>160000</v>
      </c>
      <c r="C16">
        <f t="shared" si="5"/>
        <v>1160000</v>
      </c>
      <c r="D16">
        <f t="shared" si="6"/>
        <v>96666.666666666672</v>
      </c>
      <c r="E16">
        <v>0.2</v>
      </c>
      <c r="F16">
        <f t="shared" si="7"/>
        <v>2.873563218390805E-3</v>
      </c>
      <c r="G16">
        <f t="shared" si="8"/>
        <v>99.310344827586206</v>
      </c>
      <c r="H16">
        <f t="shared" si="11"/>
        <v>2.4002234642831095E-2</v>
      </c>
      <c r="J16" s="3">
        <v>4</v>
      </c>
      <c r="K16">
        <f t="shared" si="12"/>
        <v>82708.333333333328</v>
      </c>
      <c r="L16" s="3">
        <f t="shared" si="13"/>
        <v>0.28735632183908422</v>
      </c>
      <c r="M16" s="3">
        <f t="shared" si="14"/>
        <v>23766.762452107589</v>
      </c>
      <c r="N16" s="3">
        <f t="shared" si="9"/>
        <v>2.3045848247336154</v>
      </c>
      <c r="O16">
        <f t="shared" si="15"/>
        <v>82708.333333333328</v>
      </c>
      <c r="P16" s="5">
        <f t="shared" si="10"/>
        <v>0.22727272727273024</v>
      </c>
      <c r="Q16">
        <f t="shared" si="16"/>
        <v>18797.348484848728</v>
      </c>
      <c r="R16" s="4">
        <f t="shared" si="2"/>
        <v>1.8227170886529503E-2</v>
      </c>
      <c r="S16" s="5">
        <f t="shared" si="3"/>
        <v>99.454545454545453</v>
      </c>
    </row>
    <row r="17" spans="1:19" x14ac:dyDescent="0.3">
      <c r="A17">
        <v>2000000</v>
      </c>
      <c r="B17">
        <f t="shared" si="4"/>
        <v>160000</v>
      </c>
      <c r="C17">
        <f t="shared" si="5"/>
        <v>2160000</v>
      </c>
      <c r="D17">
        <f t="shared" si="6"/>
        <v>180000</v>
      </c>
      <c r="E17">
        <v>0.2</v>
      </c>
      <c r="F17">
        <f t="shared" si="7"/>
        <v>2.873563218390805E-3</v>
      </c>
      <c r="G17">
        <f t="shared" si="8"/>
        <v>99.597701149425291</v>
      </c>
      <c r="H17">
        <f t="shared" si="11"/>
        <v>3.8496337688018953E-2</v>
      </c>
      <c r="J17" s="3">
        <v>3</v>
      </c>
      <c r="K17">
        <f>(0.33*C17+0.67*C16)/12</f>
        <v>124166.66666666667</v>
      </c>
      <c r="L17" s="3">
        <f t="shared" si="13"/>
        <v>0.28735632183908422</v>
      </c>
      <c r="M17" s="3">
        <f>L17*K17</f>
        <v>35680.076628352959</v>
      </c>
      <c r="N17" s="3">
        <f>M17/$M$10*$N$10</f>
        <v>3.459779736879685</v>
      </c>
      <c r="O17">
        <f t="shared" si="15"/>
        <v>124166.66666666667</v>
      </c>
      <c r="P17" s="5">
        <f t="shared" si="10"/>
        <v>0.22727272727273024</v>
      </c>
      <c r="Q17">
        <f t="shared" si="16"/>
        <v>28219.696969697339</v>
      </c>
      <c r="R17" s="4">
        <f t="shared" si="2"/>
        <v>2.7363712464412052E-2</v>
      </c>
      <c r="S17" s="5">
        <f t="shared" si="3"/>
        <v>99.681818181818187</v>
      </c>
    </row>
    <row r="18" spans="1:19" x14ac:dyDescent="0.3">
      <c r="A18">
        <v>4000000</v>
      </c>
      <c r="B18">
        <f t="shared" si="4"/>
        <v>160000</v>
      </c>
      <c r="C18">
        <f t="shared" si="5"/>
        <v>4160000</v>
      </c>
      <c r="D18">
        <f t="shared" si="6"/>
        <v>346666.66666666669</v>
      </c>
      <c r="E18">
        <v>0.05</v>
      </c>
      <c r="F18">
        <f t="shared" si="7"/>
        <v>7.1839080459770125E-4</v>
      </c>
      <c r="G18">
        <f t="shared" si="8"/>
        <v>99.885057471264375</v>
      </c>
      <c r="H18">
        <f t="shared" si="11"/>
        <v>1.8320546249117452E-2</v>
      </c>
      <c r="J18" s="3">
        <v>2</v>
      </c>
      <c r="K18">
        <f>(0.33*C18+0.67*C17)/12</f>
        <v>235000</v>
      </c>
      <c r="L18" s="3">
        <f t="shared" si="13"/>
        <v>7.1839080459767501E-2</v>
      </c>
      <c r="M18" s="3">
        <f>L18*K18</f>
        <v>16882.183908045365</v>
      </c>
      <c r="N18" s="3">
        <f>M18/$M$10*$N$10</f>
        <v>1.6370098755033942</v>
      </c>
      <c r="O18">
        <f t="shared" si="15"/>
        <v>235000</v>
      </c>
      <c r="P18" s="5">
        <f t="shared" si="10"/>
        <v>5.6818181818179748E-2</v>
      </c>
      <c r="Q18">
        <f t="shared" si="16"/>
        <v>13352.27272727224</v>
      </c>
      <c r="R18" s="4">
        <f t="shared" si="2"/>
        <v>1.2947259924435935E-2</v>
      </c>
      <c r="S18" s="5">
        <f t="shared" si="3"/>
        <v>99.909090909090921</v>
      </c>
    </row>
    <row r="19" spans="1:19" x14ac:dyDescent="0.3">
      <c r="E19">
        <v>0.03</v>
      </c>
      <c r="F19">
        <f t="shared" si="7"/>
        <v>4.3103448275862068E-4</v>
      </c>
      <c r="G19">
        <f>(G20/100-F19)*100</f>
        <v>99.956896551724142</v>
      </c>
      <c r="H19">
        <f t="shared" si="11"/>
        <v>7.2354562401577794E-3</v>
      </c>
      <c r="I19">
        <f>0.187-SUM(H16:H18)</f>
        <v>0.1061808814200325</v>
      </c>
      <c r="L19" s="3">
        <f t="shared" si="13"/>
        <v>4.3103448275857659E-2</v>
      </c>
      <c r="O19">
        <f t="shared" si="15"/>
        <v>847825.91983216046</v>
      </c>
      <c r="P19" s="5">
        <f>Q10-SUM(P13:P18)</f>
        <v>3.4090909090905619E-2</v>
      </c>
      <c r="Q19">
        <f>(M10/N10*P9)-SUM(Q13:Q18)</f>
        <v>28903.156357911619</v>
      </c>
      <c r="R19" s="4">
        <f>(P9-SUM(R13:R18)*100)/100</f>
        <v>2.8026440565294273E-2</v>
      </c>
      <c r="S19" s="5">
        <f>S20-P19</f>
        <v>99.965909090909093</v>
      </c>
    </row>
    <row r="20" spans="1:19" x14ac:dyDescent="0.3">
      <c r="G20">
        <v>100</v>
      </c>
      <c r="S20">
        <v>100</v>
      </c>
    </row>
    <row r="21" spans="1:19" x14ac:dyDescent="0.3">
      <c r="B21" t="s">
        <v>2</v>
      </c>
      <c r="C21" t="s">
        <v>7</v>
      </c>
      <c r="D21" t="s">
        <v>8</v>
      </c>
    </row>
    <row r="22" spans="1:19" x14ac:dyDescent="0.3">
      <c r="A22">
        <v>20</v>
      </c>
      <c r="B22">
        <v>2838</v>
      </c>
      <c r="C22">
        <v>0</v>
      </c>
      <c r="D22">
        <v>4993.3500000000004</v>
      </c>
    </row>
    <row r="23" spans="1:19" x14ac:dyDescent="0.3">
      <c r="A23">
        <v>40</v>
      </c>
      <c r="B23">
        <v>5002</v>
      </c>
      <c r="C23">
        <v>4993.3500000000004</v>
      </c>
      <c r="D23">
        <v>5011.62</v>
      </c>
    </row>
    <row r="24" spans="1:19" x14ac:dyDescent="0.3">
      <c r="A24">
        <v>60</v>
      </c>
      <c r="B24">
        <v>7312</v>
      </c>
      <c r="C24">
        <v>5011.62</v>
      </c>
      <c r="D24">
        <v>7321.83</v>
      </c>
    </row>
    <row r="25" spans="1:19" x14ac:dyDescent="0.3">
      <c r="A25">
        <v>80</v>
      </c>
      <c r="B25">
        <v>11027</v>
      </c>
      <c r="C25">
        <v>7321.83</v>
      </c>
      <c r="D25">
        <v>11043.27</v>
      </c>
    </row>
    <row r="26" spans="1:19" x14ac:dyDescent="0.3">
      <c r="A26">
        <v>95.5</v>
      </c>
      <c r="B26">
        <v>15519</v>
      </c>
      <c r="C26">
        <v>11043.27</v>
      </c>
      <c r="D26">
        <v>15527.54</v>
      </c>
    </row>
    <row r="27" spans="1:19" x14ac:dyDescent="0.3">
      <c r="A27">
        <v>98.9</v>
      </c>
      <c r="B27">
        <v>38790</v>
      </c>
      <c r="C27">
        <v>15527.54</v>
      </c>
      <c r="D27">
        <v>61883.45</v>
      </c>
    </row>
    <row r="28" spans="1:19" x14ac:dyDescent="0.3">
      <c r="A28">
        <v>99.7</v>
      </c>
      <c r="B28">
        <v>81315</v>
      </c>
      <c r="C28">
        <v>61883.45</v>
      </c>
      <c r="D28">
        <v>124183.65</v>
      </c>
    </row>
    <row r="29" spans="1:19" x14ac:dyDescent="0.3">
      <c r="A29">
        <v>99.9</v>
      </c>
      <c r="B29">
        <v>192106</v>
      </c>
      <c r="C29">
        <v>124183.65</v>
      </c>
      <c r="D29">
        <v>235079.85</v>
      </c>
    </row>
    <row r="30" spans="1:19" x14ac:dyDescent="0.3">
      <c r="A30">
        <v>100</v>
      </c>
      <c r="B30">
        <v>317851</v>
      </c>
      <c r="C30">
        <v>235079.85</v>
      </c>
      <c r="D30">
        <v>82834717.859999999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E436-9E28-4B0B-869E-10D0A0D33D8C}">
  <dimension ref="A1:E12"/>
  <sheetViews>
    <sheetView workbookViewId="0">
      <selection sqref="A1:E12"/>
    </sheetView>
  </sheetViews>
  <sheetFormatPr defaultRowHeight="14.4" x14ac:dyDescent="0.3"/>
  <sheetData>
    <row r="1" spans="1:5" x14ac:dyDescent="0.3">
      <c r="A1" t="s">
        <v>18</v>
      </c>
      <c r="B1" t="s">
        <v>17</v>
      </c>
      <c r="C1" t="s">
        <v>16</v>
      </c>
      <c r="D1" t="s">
        <v>15</v>
      </c>
      <c r="E1" t="s">
        <v>14</v>
      </c>
    </row>
    <row r="2" spans="1:5" x14ac:dyDescent="0.3">
      <c r="A2" s="9" t="s">
        <v>13</v>
      </c>
      <c r="B2">
        <v>2570.66</v>
      </c>
      <c r="C2" s="6">
        <f t="shared" ref="C2:C11" si="0">ABS(B2-A2)/A2</f>
        <v>0.22295908658420546</v>
      </c>
      <c r="D2">
        <v>2123.31</v>
      </c>
      <c r="E2" s="6">
        <f t="shared" ref="E2:E11" si="1">ABS(D2-A2)/A2</f>
        <v>1.013796384395811E-2</v>
      </c>
    </row>
    <row r="3" spans="1:5" x14ac:dyDescent="0.3">
      <c r="A3" s="8">
        <v>3574</v>
      </c>
      <c r="B3">
        <v>3105.38</v>
      </c>
      <c r="C3" s="6">
        <f t="shared" si="0"/>
        <v>0.13111919418019025</v>
      </c>
      <c r="D3">
        <v>3574.19</v>
      </c>
      <c r="E3" s="6">
        <f t="shared" si="1"/>
        <v>5.3161723559052763E-5</v>
      </c>
    </row>
    <row r="4" spans="1:5" x14ac:dyDescent="0.3">
      <c r="A4" s="8">
        <v>4519</v>
      </c>
      <c r="B4">
        <v>4916.66</v>
      </c>
      <c r="C4" s="6">
        <f t="shared" si="0"/>
        <v>8.7997344545253348E-2</v>
      </c>
      <c r="D4">
        <v>4642.47</v>
      </c>
      <c r="E4" s="6">
        <f t="shared" si="1"/>
        <v>2.7322416463819485E-2</v>
      </c>
    </row>
    <row r="5" spans="1:5" x14ac:dyDescent="0.3">
      <c r="A5" s="8">
        <v>5486</v>
      </c>
      <c r="B5">
        <v>5087.45</v>
      </c>
      <c r="C5" s="6">
        <f t="shared" si="0"/>
        <v>7.2648559970834886E-2</v>
      </c>
      <c r="D5">
        <v>5692.06</v>
      </c>
      <c r="E5" s="6">
        <f t="shared" si="1"/>
        <v>3.7561064527889244E-2</v>
      </c>
    </row>
    <row r="6" spans="1:5" x14ac:dyDescent="0.3">
      <c r="A6" s="8">
        <v>6624</v>
      </c>
      <c r="B6">
        <v>6881.5</v>
      </c>
      <c r="C6" s="6">
        <f t="shared" si="0"/>
        <v>3.88737922705314E-2</v>
      </c>
      <c r="D6">
        <v>6812.45</v>
      </c>
      <c r="E6" s="6">
        <f t="shared" si="1"/>
        <v>2.8449577294685963E-2</v>
      </c>
    </row>
    <row r="7" spans="1:5" x14ac:dyDescent="0.3">
      <c r="A7" s="8">
        <v>8002</v>
      </c>
      <c r="B7">
        <v>7742.58</v>
      </c>
      <c r="C7" s="6">
        <f t="shared" si="0"/>
        <v>3.2419395151212206E-2</v>
      </c>
      <c r="D7">
        <v>8093.76</v>
      </c>
      <c r="E7" s="6">
        <f t="shared" si="1"/>
        <v>1.1467133216695853E-2</v>
      </c>
    </row>
    <row r="8" spans="1:5" x14ac:dyDescent="0.3">
      <c r="A8" s="8">
        <v>9825</v>
      </c>
      <c r="B8">
        <v>11026.67</v>
      </c>
      <c r="C8" s="6">
        <f t="shared" si="0"/>
        <v>0.12230737913486006</v>
      </c>
      <c r="D8">
        <v>9664.14</v>
      </c>
      <c r="E8" s="6">
        <f t="shared" si="1"/>
        <v>1.6372519083969524E-2</v>
      </c>
    </row>
    <row r="9" spans="1:5" x14ac:dyDescent="0.3">
      <c r="A9" s="8">
        <v>12229</v>
      </c>
      <c r="B9">
        <v>11027.5</v>
      </c>
      <c r="C9" s="6">
        <f t="shared" si="0"/>
        <v>9.8250061329626298E-2</v>
      </c>
      <c r="D9">
        <v>11756.01</v>
      </c>
      <c r="E9" s="6">
        <f t="shared" si="1"/>
        <v>3.8677733257012001E-2</v>
      </c>
    </row>
    <row r="10" spans="1:5" x14ac:dyDescent="0.3">
      <c r="A10" s="8">
        <v>16302</v>
      </c>
      <c r="B10">
        <v>15897.79</v>
      </c>
      <c r="C10" s="6">
        <f t="shared" si="0"/>
        <v>2.4795117163538164E-2</v>
      </c>
      <c r="D10">
        <v>16395.7</v>
      </c>
      <c r="E10" s="6">
        <f t="shared" si="1"/>
        <v>5.7477610109189503E-3</v>
      </c>
    </row>
    <row r="11" spans="1:5" x14ac:dyDescent="0.3">
      <c r="A11" s="7">
        <v>34463</v>
      </c>
      <c r="B11">
        <v>34872.559999999998</v>
      </c>
      <c r="C11" s="6">
        <f t="shared" si="0"/>
        <v>1.1884049560398041E-2</v>
      </c>
      <c r="D11">
        <v>34374.65</v>
      </c>
      <c r="E11" s="6">
        <f t="shared" si="1"/>
        <v>2.5636189536604051E-3</v>
      </c>
    </row>
    <row r="12" spans="1:5" x14ac:dyDescent="0.3">
      <c r="A12" t="s">
        <v>12</v>
      </c>
      <c r="C12">
        <f>AVERAGE(C2:C11)*100</f>
        <v>8.4325397989065021</v>
      </c>
      <c r="E12">
        <f>AVERAGE(E2:E11)*100</f>
        <v>1.7835294937616857</v>
      </c>
    </row>
  </sheetData>
  <conditionalFormatting sqref="C2:C11 E2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Kittapat Ratanaphupha</dc:creator>
  <cp:lastModifiedBy>Kittapat Ratanaphupha</cp:lastModifiedBy>
  <dcterms:created xsi:type="dcterms:W3CDTF">2024-07-17T05:50:26Z</dcterms:created>
  <dcterms:modified xsi:type="dcterms:W3CDTF">2024-08-10T08:21:12Z</dcterms:modified>
</cp:coreProperties>
</file>