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y_Design\Data_Science\Data Science\Data Science Notes\Live Projects\"/>
    </mc:Choice>
  </mc:AlternateContent>
  <xr:revisionPtr revIDLastSave="0" documentId="13_ncr:1_{022699D7-B082-4D87-BF2F-7ACE1DEF97FF}" xr6:coauthVersionLast="47" xr6:coauthVersionMax="47" xr10:uidLastSave="{00000000-0000-0000-0000-000000000000}"/>
  <bookViews>
    <workbookView xWindow="-108" yWindow="-108" windowWidth="23256" windowHeight="12576" firstSheet="1" activeTab="6" xr2:uid="{8B0AD971-7183-448C-93CD-9F8E816AB10D}"/>
  </bookViews>
  <sheets>
    <sheet name="COVER PAGE" sheetId="14" r:id="rId1"/>
    <sheet name="Company 1" sheetId="1" r:id="rId2"/>
    <sheet name="Company 2" sheetId="2" r:id="rId3"/>
    <sheet name="Liquidity Ratios" sheetId="3" r:id="rId4"/>
    <sheet name="Capital Structure Ratios" sheetId="4" r:id="rId5"/>
    <sheet name="Turnover Ratios" sheetId="5" r:id="rId6"/>
    <sheet name="Profitability Ratios" sheetId="6" r:id="rId7"/>
    <sheet name="Analysis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C30" i="5"/>
  <c r="E30" i="5"/>
  <c r="D30" i="5"/>
  <c r="B30" i="5"/>
  <c r="C29" i="5"/>
  <c r="B29" i="5"/>
  <c r="E49" i="4"/>
  <c r="D48" i="4"/>
  <c r="D49" i="4"/>
  <c r="D46" i="4"/>
  <c r="E42" i="4"/>
  <c r="E41" i="4"/>
  <c r="D42" i="4"/>
  <c r="D41" i="4"/>
  <c r="E48" i="4"/>
  <c r="E35" i="4"/>
  <c r="D35" i="4"/>
  <c r="E29" i="4"/>
  <c r="D29" i="4"/>
  <c r="E20" i="4"/>
  <c r="D20" i="4"/>
  <c r="C20" i="4"/>
  <c r="D14" i="3"/>
  <c r="D15" i="3"/>
  <c r="C15" i="3"/>
  <c r="C14" i="3"/>
  <c r="D25" i="4"/>
  <c r="C25" i="4"/>
  <c r="C10" i="3"/>
  <c r="D58" i="6"/>
  <c r="D59" i="6"/>
  <c r="E37" i="5"/>
  <c r="D37" i="5"/>
  <c r="E36" i="5"/>
  <c r="D36" i="5"/>
  <c r="B36" i="5"/>
  <c r="D30" i="4"/>
  <c r="E15" i="3"/>
  <c r="E20" i="3"/>
  <c r="J14" i="1"/>
  <c r="J22" i="1" s="1"/>
  <c r="K14" i="1"/>
  <c r="G17" i="1"/>
  <c r="G8" i="1"/>
  <c r="F24" i="1"/>
  <c r="F23" i="1"/>
  <c r="F17" i="1"/>
  <c r="F8" i="1"/>
  <c r="C37" i="1"/>
  <c r="C19" i="1"/>
  <c r="B30" i="1"/>
  <c r="B19" i="1"/>
  <c r="B10" i="5" s="1"/>
  <c r="E25" i="6"/>
  <c r="D25" i="6"/>
  <c r="E24" i="6"/>
  <c r="D24" i="6"/>
  <c r="E23" i="6"/>
  <c r="E8" i="6"/>
  <c r="D8" i="6"/>
  <c r="E7" i="6"/>
  <c r="D7" i="6"/>
  <c r="E6" i="6"/>
  <c r="D23" i="6"/>
  <c r="D6" i="6"/>
  <c r="D26" i="5"/>
  <c r="E23" i="5"/>
  <c r="D23" i="5"/>
  <c r="C57" i="2"/>
  <c r="E47" i="4" s="1"/>
  <c r="B57" i="2"/>
  <c r="D20" i="3" s="1"/>
  <c r="K46" i="2"/>
  <c r="J46" i="2"/>
  <c r="C44" i="2"/>
  <c r="B44" i="2"/>
  <c r="K42" i="2"/>
  <c r="J42" i="2"/>
  <c r="C37" i="2"/>
  <c r="B37" i="2"/>
  <c r="K36" i="2"/>
  <c r="J36" i="2"/>
  <c r="C30" i="2"/>
  <c r="E50" i="6" s="1"/>
  <c r="B30" i="2"/>
  <c r="D44" i="6" s="1"/>
  <c r="G29" i="2"/>
  <c r="F29" i="2"/>
  <c r="G23" i="2"/>
  <c r="F23" i="2"/>
  <c r="K22" i="2"/>
  <c r="J22" i="2"/>
  <c r="C19" i="2"/>
  <c r="E9" i="4" s="1"/>
  <c r="B19" i="2"/>
  <c r="D9" i="4" s="1"/>
  <c r="G17" i="2"/>
  <c r="F17" i="2"/>
  <c r="K14" i="2"/>
  <c r="J14" i="2"/>
  <c r="G8" i="2"/>
  <c r="F8" i="2"/>
  <c r="D5" i="6" s="1"/>
  <c r="E70" i="6"/>
  <c r="D70" i="6"/>
  <c r="E65" i="6"/>
  <c r="D65" i="6"/>
  <c r="C67" i="6"/>
  <c r="E67" i="6"/>
  <c r="D69" i="6"/>
  <c r="C69" i="6"/>
  <c r="E61" i="6"/>
  <c r="E63" i="6" s="1"/>
  <c r="D61" i="6"/>
  <c r="D63" i="6" s="1"/>
  <c r="C61" i="6"/>
  <c r="C63" i="6" s="1"/>
  <c r="B61" i="6"/>
  <c r="B63" i="6" s="1"/>
  <c r="B59" i="6"/>
  <c r="E58" i="6"/>
  <c r="E59" i="6" s="1"/>
  <c r="C59" i="6"/>
  <c r="E54" i="6"/>
  <c r="E53" i="6"/>
  <c r="D54" i="6"/>
  <c r="D53" i="6"/>
  <c r="E48" i="6"/>
  <c r="E47" i="6"/>
  <c r="D48" i="6"/>
  <c r="D49" i="6" s="1"/>
  <c r="D47" i="6"/>
  <c r="E43" i="6"/>
  <c r="D43" i="6"/>
  <c r="E40" i="6"/>
  <c r="E39" i="6"/>
  <c r="D40" i="6"/>
  <c r="D39" i="6"/>
  <c r="C40" i="6"/>
  <c r="C39" i="6"/>
  <c r="B40" i="6"/>
  <c r="B39" i="6"/>
  <c r="E36" i="6"/>
  <c r="D36" i="6"/>
  <c r="E35" i="6"/>
  <c r="D35" i="6"/>
  <c r="C36" i="6"/>
  <c r="B36" i="6"/>
  <c r="E32" i="6"/>
  <c r="E31" i="6"/>
  <c r="E30" i="6"/>
  <c r="E29" i="6"/>
  <c r="D32" i="6"/>
  <c r="D31" i="6"/>
  <c r="D30" i="6"/>
  <c r="D29" i="6"/>
  <c r="C32" i="6"/>
  <c r="C31" i="6"/>
  <c r="C30" i="6"/>
  <c r="C29" i="6"/>
  <c r="B32" i="6"/>
  <c r="B31" i="6"/>
  <c r="B30" i="6"/>
  <c r="B29" i="6"/>
  <c r="C25" i="6"/>
  <c r="C24" i="6"/>
  <c r="C23" i="6"/>
  <c r="C22" i="6"/>
  <c r="B25" i="6"/>
  <c r="B24" i="6"/>
  <c r="B23" i="6"/>
  <c r="B22" i="6"/>
  <c r="E19" i="6"/>
  <c r="D19" i="6"/>
  <c r="E17" i="6"/>
  <c r="E16" i="6"/>
  <c r="D17" i="6"/>
  <c r="D16" i="6"/>
  <c r="D18" i="6" s="1"/>
  <c r="C17" i="6"/>
  <c r="C19" i="6"/>
  <c r="B19" i="6"/>
  <c r="B17" i="6"/>
  <c r="E12" i="6"/>
  <c r="D12" i="6"/>
  <c r="E13" i="6"/>
  <c r="D13" i="6"/>
  <c r="C13" i="6"/>
  <c r="B13" i="6"/>
  <c r="C8" i="6"/>
  <c r="B8" i="6"/>
  <c r="C7" i="6"/>
  <c r="B7" i="6"/>
  <c r="C6" i="6"/>
  <c r="B6" i="6"/>
  <c r="C5" i="6"/>
  <c r="B5" i="6"/>
  <c r="E38" i="5"/>
  <c r="C37" i="5"/>
  <c r="C36" i="5"/>
  <c r="B37" i="5"/>
  <c r="E29" i="5"/>
  <c r="D29" i="5"/>
  <c r="C25" i="5"/>
  <c r="C26" i="5" s="1"/>
  <c r="B25" i="5"/>
  <c r="C23" i="5"/>
  <c r="B23" i="5"/>
  <c r="E19" i="5"/>
  <c r="E18" i="5"/>
  <c r="D19" i="5"/>
  <c r="D18" i="5"/>
  <c r="E17" i="5"/>
  <c r="D17" i="5"/>
  <c r="C17" i="5"/>
  <c r="B17" i="5"/>
  <c r="E13" i="5"/>
  <c r="D13" i="5"/>
  <c r="C13" i="5"/>
  <c r="B13" i="5"/>
  <c r="E10" i="5"/>
  <c r="E9" i="5"/>
  <c r="D10" i="5"/>
  <c r="D9" i="5"/>
  <c r="C9" i="5"/>
  <c r="B9" i="5"/>
  <c r="E5" i="5"/>
  <c r="D5" i="5"/>
  <c r="C5" i="5"/>
  <c r="B5" i="5"/>
  <c r="C49" i="4"/>
  <c r="B49" i="4"/>
  <c r="C48" i="4"/>
  <c r="B48" i="4"/>
  <c r="E46" i="4"/>
  <c r="C46" i="4"/>
  <c r="B46" i="4"/>
  <c r="C42" i="4"/>
  <c r="B42" i="4"/>
  <c r="C41" i="4"/>
  <c r="B41" i="4"/>
  <c r="E37" i="4"/>
  <c r="D37" i="4"/>
  <c r="C37" i="4"/>
  <c r="B37" i="4"/>
  <c r="E36" i="4"/>
  <c r="D36" i="4"/>
  <c r="C35" i="4"/>
  <c r="B35" i="4"/>
  <c r="E34" i="4"/>
  <c r="D34" i="4"/>
  <c r="E30" i="4"/>
  <c r="C30" i="4"/>
  <c r="B30" i="4"/>
  <c r="C29" i="4"/>
  <c r="B29" i="4"/>
  <c r="E28" i="4"/>
  <c r="D28" i="4"/>
  <c r="D31" i="4" s="1"/>
  <c r="D32" i="4" s="1"/>
  <c r="E25" i="4"/>
  <c r="B20" i="4"/>
  <c r="E19" i="4"/>
  <c r="D19" i="4"/>
  <c r="C19" i="4"/>
  <c r="B19" i="4"/>
  <c r="E18" i="4"/>
  <c r="D18" i="4"/>
  <c r="E14" i="4"/>
  <c r="D14" i="4"/>
  <c r="E10" i="4"/>
  <c r="D10" i="4"/>
  <c r="E19" i="3"/>
  <c r="D19" i="3"/>
  <c r="C21" i="3"/>
  <c r="B21" i="3"/>
  <c r="B15" i="3"/>
  <c r="E14" i="3"/>
  <c r="E11" i="3"/>
  <c r="D11" i="3"/>
  <c r="B10" i="3"/>
  <c r="B14" i="3"/>
  <c r="E9" i="3"/>
  <c r="D9" i="3"/>
  <c r="E6" i="3"/>
  <c r="E5" i="3"/>
  <c r="D6" i="3"/>
  <c r="D5" i="3"/>
  <c r="C48" i="6"/>
  <c r="B48" i="6"/>
  <c r="C57" i="1"/>
  <c r="C11" i="3" s="1"/>
  <c r="B57" i="1"/>
  <c r="B47" i="4" s="1"/>
  <c r="C44" i="1"/>
  <c r="C36" i="4" s="1"/>
  <c r="C54" i="6"/>
  <c r="B44" i="1"/>
  <c r="B36" i="4" s="1"/>
  <c r="B37" i="1"/>
  <c r="B10" i="4" s="1"/>
  <c r="C10" i="5"/>
  <c r="C30" i="1"/>
  <c r="C9" i="3" s="1"/>
  <c r="B18" i="5"/>
  <c r="E31" i="5" l="1"/>
  <c r="E33" i="5" s="1"/>
  <c r="E34" i="5" s="1"/>
  <c r="B25" i="4"/>
  <c r="E18" i="6"/>
  <c r="E20" i="6" s="1"/>
  <c r="E33" i="6"/>
  <c r="E41" i="6"/>
  <c r="D55" i="6"/>
  <c r="B24" i="5"/>
  <c r="B26" i="5" s="1"/>
  <c r="B27" i="5" s="1"/>
  <c r="D16" i="3"/>
  <c r="E16" i="3"/>
  <c r="C20" i="3"/>
  <c r="E11" i="5"/>
  <c r="E31" i="4"/>
  <c r="E32" i="4" s="1"/>
  <c r="G18" i="2"/>
  <c r="K7" i="2" s="1"/>
  <c r="E38" i="4"/>
  <c r="E39" i="4" s="1"/>
  <c r="E26" i="6"/>
  <c r="D71" i="6"/>
  <c r="D33" i="6"/>
  <c r="D20" i="6"/>
  <c r="E20" i="5"/>
  <c r="E6" i="4"/>
  <c r="E14" i="5"/>
  <c r="E15" i="5" s="1"/>
  <c r="E24" i="4"/>
  <c r="E26" i="4" s="1"/>
  <c r="E6" i="5"/>
  <c r="E7" i="5" s="1"/>
  <c r="E44" i="6"/>
  <c r="E45" i="6" s="1"/>
  <c r="B58" i="2"/>
  <c r="D6" i="5"/>
  <c r="D7" i="5" s="1"/>
  <c r="C26" i="6"/>
  <c r="C27" i="6" s="1"/>
  <c r="B38" i="5"/>
  <c r="B40" i="5" s="1"/>
  <c r="B41" i="5" s="1"/>
  <c r="C9" i="6"/>
  <c r="C10" i="6" s="1"/>
  <c r="C27" i="5"/>
  <c r="B5" i="3"/>
  <c r="E37" i="6"/>
  <c r="E49" i="6"/>
  <c r="E51" i="6" s="1"/>
  <c r="D31" i="5"/>
  <c r="D33" i="5" s="1"/>
  <c r="D34" i="5" s="1"/>
  <c r="E26" i="5"/>
  <c r="E27" i="5" s="1"/>
  <c r="C11" i="5"/>
  <c r="E21" i="4"/>
  <c r="D38" i="5"/>
  <c r="D40" i="5" s="1"/>
  <c r="D41" i="5" s="1"/>
  <c r="C43" i="4"/>
  <c r="E5" i="6"/>
  <c r="E9" i="6" s="1"/>
  <c r="E10" i="6" s="1"/>
  <c r="D26" i="6"/>
  <c r="D43" i="4"/>
  <c r="E22" i="6"/>
  <c r="E21" i="5"/>
  <c r="D21" i="4"/>
  <c r="C58" i="2"/>
  <c r="E43" i="4"/>
  <c r="D9" i="6"/>
  <c r="D10" i="6" s="1"/>
  <c r="D38" i="4"/>
  <c r="D39" i="4" s="1"/>
  <c r="B9" i="4"/>
  <c r="D45" i="6"/>
  <c r="C9" i="4"/>
  <c r="C31" i="2"/>
  <c r="E45" i="4" s="1"/>
  <c r="E50" i="4" s="1"/>
  <c r="D27" i="5"/>
  <c r="F18" i="2"/>
  <c r="D22" i="6"/>
  <c r="K15" i="2"/>
  <c r="K23" i="2" s="1"/>
  <c r="K25" i="2" s="1"/>
  <c r="K43" i="2" s="1"/>
  <c r="D11" i="4"/>
  <c r="D24" i="4"/>
  <c r="D26" i="4" s="1"/>
  <c r="E14" i="6"/>
  <c r="D50" i="6"/>
  <c r="D51" i="6" s="1"/>
  <c r="B31" i="2"/>
  <c r="D45" i="4" s="1"/>
  <c r="D50" i="4" s="1"/>
  <c r="E11" i="4"/>
  <c r="D14" i="5"/>
  <c r="D15" i="5" s="1"/>
  <c r="D14" i="6"/>
  <c r="D37" i="6"/>
  <c r="D6" i="4"/>
  <c r="E40" i="5"/>
  <c r="E41" i="5" s="1"/>
  <c r="E55" i="6"/>
  <c r="B19" i="3"/>
  <c r="B19" i="5"/>
  <c r="B20" i="5" s="1"/>
  <c r="B21" i="5" s="1"/>
  <c r="C71" i="6"/>
  <c r="B67" i="6"/>
  <c r="C10" i="4"/>
  <c r="B9" i="6"/>
  <c r="B10" i="6" s="1"/>
  <c r="B33" i="6"/>
  <c r="C33" i="6"/>
  <c r="B11" i="5"/>
  <c r="C31" i="5"/>
  <c r="C33" i="5" s="1"/>
  <c r="C34" i="5" s="1"/>
  <c r="B26" i="6"/>
  <c r="B27" i="6" s="1"/>
  <c r="C38" i="5"/>
  <c r="C40" i="5" s="1"/>
  <c r="C41" i="5" s="1"/>
  <c r="B43" i="4"/>
  <c r="B31" i="5"/>
  <c r="B33" i="5" s="1"/>
  <c r="B34" i="5" s="1"/>
  <c r="C41" i="6"/>
  <c r="C47" i="4"/>
  <c r="B14" i="4"/>
  <c r="B54" i="6"/>
  <c r="C14" i="4"/>
  <c r="C5" i="3"/>
  <c r="B9" i="3"/>
  <c r="C19" i="3"/>
  <c r="C18" i="5"/>
  <c r="E69" i="6"/>
  <c r="E71" i="6" s="1"/>
  <c r="D67" i="6"/>
  <c r="B69" i="6"/>
  <c r="B71" i="6" s="1"/>
  <c r="D41" i="6"/>
  <c r="B41" i="6"/>
  <c r="B6" i="3"/>
  <c r="B7" i="3" s="1"/>
  <c r="B16" i="3"/>
  <c r="B17" i="3" s="1"/>
  <c r="C6" i="3"/>
  <c r="B11" i="3"/>
  <c r="C16" i="3"/>
  <c r="C17" i="3" s="1"/>
  <c r="B20" i="3"/>
  <c r="C19" i="5"/>
  <c r="D20" i="5"/>
  <c r="D21" i="5" s="1"/>
  <c r="D11" i="5"/>
  <c r="E22" i="3"/>
  <c r="D7" i="3"/>
  <c r="D17" i="3"/>
  <c r="E17" i="3"/>
  <c r="D22" i="3"/>
  <c r="D12" i="3"/>
  <c r="E7" i="3"/>
  <c r="C12" i="3"/>
  <c r="E12" i="3"/>
  <c r="C58" i="1"/>
  <c r="B31" i="1"/>
  <c r="B45" i="4" s="1"/>
  <c r="B58" i="1"/>
  <c r="C31" i="1"/>
  <c r="C14" i="5" s="1"/>
  <c r="C15" i="5" s="1"/>
  <c r="C59" i="2" l="1"/>
  <c r="E5" i="4"/>
  <c r="E17" i="4"/>
  <c r="E13" i="4"/>
  <c r="E15" i="4" s="1"/>
  <c r="E22" i="4"/>
  <c r="C13" i="4"/>
  <c r="C5" i="4"/>
  <c r="E7" i="4"/>
  <c r="G24" i="2"/>
  <c r="G30" i="2" s="1"/>
  <c r="B59" i="2"/>
  <c r="D5" i="4"/>
  <c r="D7" i="4" s="1"/>
  <c r="D17" i="4"/>
  <c r="D22" i="4" s="1"/>
  <c r="D13" i="4"/>
  <c r="D15" i="4" s="1"/>
  <c r="E27" i="6"/>
  <c r="F24" i="2"/>
  <c r="F30" i="2" s="1"/>
  <c r="J7" i="2"/>
  <c r="B12" i="3"/>
  <c r="B22" i="3"/>
  <c r="C20" i="5"/>
  <c r="C21" i="5" s="1"/>
  <c r="C22" i="3"/>
  <c r="D27" i="6"/>
  <c r="J15" i="2"/>
  <c r="C7" i="3"/>
  <c r="C47" i="6"/>
  <c r="C49" i="6" s="1"/>
  <c r="C35" i="6"/>
  <c r="C37" i="6" s="1"/>
  <c r="C34" i="4"/>
  <c r="C38" i="4" s="1"/>
  <c r="C39" i="4" s="1"/>
  <c r="C28" i="4"/>
  <c r="C31" i="4" s="1"/>
  <c r="C32" i="4" s="1"/>
  <c r="C18" i="4"/>
  <c r="C21" i="4" s="1"/>
  <c r="C16" i="6"/>
  <c r="C18" i="6" s="1"/>
  <c r="C20" i="6" s="1"/>
  <c r="B35" i="6"/>
  <c r="B37" i="6" s="1"/>
  <c r="B16" i="6"/>
  <c r="B18" i="6" s="1"/>
  <c r="B20" i="6" s="1"/>
  <c r="B34" i="4"/>
  <c r="B38" i="4" s="1"/>
  <c r="B39" i="4" s="1"/>
  <c r="B28" i="4"/>
  <c r="B31" i="4" s="1"/>
  <c r="B32" i="4" s="1"/>
  <c r="B18" i="4"/>
  <c r="B47" i="6"/>
  <c r="B49" i="6" s="1"/>
  <c r="C50" i="6"/>
  <c r="C6" i="5"/>
  <c r="C7" i="5" s="1"/>
  <c r="C45" i="4"/>
  <c r="C50" i="4" s="1"/>
  <c r="C24" i="4"/>
  <c r="C26" i="4" s="1"/>
  <c r="C44" i="6"/>
  <c r="C6" i="4"/>
  <c r="B6" i="4"/>
  <c r="B44" i="6"/>
  <c r="B50" i="4"/>
  <c r="B24" i="4"/>
  <c r="B26" i="4" s="1"/>
  <c r="B14" i="5"/>
  <c r="B15" i="5" s="1"/>
  <c r="B50" i="6"/>
  <c r="B6" i="5"/>
  <c r="B7" i="5" s="1"/>
  <c r="B59" i="1"/>
  <c r="B17" i="4"/>
  <c r="B13" i="4"/>
  <c r="B15" i="4" s="1"/>
  <c r="B11" i="4"/>
  <c r="B5" i="4"/>
  <c r="C59" i="1"/>
  <c r="C11" i="4"/>
  <c r="C15" i="4"/>
  <c r="C17" i="4"/>
  <c r="J23" i="2" l="1"/>
  <c r="J25" i="2" s="1"/>
  <c r="J43" i="2" s="1"/>
  <c r="C7" i="4"/>
  <c r="C51" i="6"/>
  <c r="B22" i="4"/>
  <c r="C22" i="4"/>
  <c r="B43" i="6"/>
  <c r="B45" i="6" s="1"/>
  <c r="B12" i="6"/>
  <c r="B14" i="6" s="1"/>
  <c r="B53" i="6"/>
  <c r="B55" i="6" s="1"/>
  <c r="B51" i="6"/>
  <c r="G33" i="1"/>
  <c r="C43" i="6"/>
  <c r="C45" i="6" s="1"/>
  <c r="C53" i="6"/>
  <c r="C55" i="6" s="1"/>
  <c r="C12" i="6"/>
  <c r="C14" i="6" s="1"/>
  <c r="B7" i="4"/>
</calcChain>
</file>

<file path=xl/sharedStrings.xml><?xml version="1.0" encoding="utf-8"?>
<sst xmlns="http://schemas.openxmlformats.org/spreadsheetml/2006/main" count="590" uniqueCount="261">
  <si>
    <t>Particulars</t>
  </si>
  <si>
    <t>As on 31-03-2021</t>
  </si>
  <si>
    <t>As on 31-03-2020</t>
  </si>
  <si>
    <t>Consolidated Balance Sheet</t>
  </si>
  <si>
    <t>ASSETS</t>
  </si>
  <si>
    <t>Non-Current Assets</t>
  </si>
  <si>
    <t>Property, Plant &amp; Equipment</t>
  </si>
  <si>
    <t>Right-of-use Assets</t>
  </si>
  <si>
    <t>Capital Work-in-progress</t>
  </si>
  <si>
    <t>Investment Properties</t>
  </si>
  <si>
    <t>Intangible Assets</t>
  </si>
  <si>
    <t>Investment accounted for using the equity method</t>
  </si>
  <si>
    <t>Financial Assets</t>
  </si>
  <si>
    <t>Loans</t>
  </si>
  <si>
    <t>Other Financial Assets</t>
  </si>
  <si>
    <t>Deferred Tax Assets (Net)</t>
  </si>
  <si>
    <t>Other Non-Current Assets</t>
  </si>
  <si>
    <t>Total Non-Current Assets</t>
  </si>
  <si>
    <t>Current Assets</t>
  </si>
  <si>
    <t>Inventories</t>
  </si>
  <si>
    <t>Trade Receivables</t>
  </si>
  <si>
    <t>Cash &amp; Cash Equivalents</t>
  </si>
  <si>
    <t>Bank Balance Other than Above</t>
  </si>
  <si>
    <t>Other Current Assets</t>
  </si>
  <si>
    <t>Total Current Assets</t>
  </si>
  <si>
    <t>TOTAL ASSETS</t>
  </si>
  <si>
    <t>Non-Current Tax Assets (Net)</t>
  </si>
  <si>
    <t>EQUITIES AND LIABILITIES</t>
  </si>
  <si>
    <t>Equity</t>
  </si>
  <si>
    <t>Equity Share Capital</t>
  </si>
  <si>
    <t>Other Equity</t>
  </si>
  <si>
    <t>Reserves &amp; Surplus</t>
  </si>
  <si>
    <t>Total Equity</t>
  </si>
  <si>
    <t>Liabilities</t>
  </si>
  <si>
    <t>Non-Current Liabilities</t>
  </si>
  <si>
    <t>Financial Liabilities</t>
  </si>
  <si>
    <t>Lease Liabilities</t>
  </si>
  <si>
    <t>Provisions</t>
  </si>
  <si>
    <t>Employee Benefit Obligation</t>
  </si>
  <si>
    <t>Total Non-Current Liabilities</t>
  </si>
  <si>
    <t>Current Liabilities</t>
  </si>
  <si>
    <t>Trade Payables</t>
  </si>
  <si>
    <t>Outstanding dues of micro &amp; small enterprises</t>
  </si>
  <si>
    <t>Outstanding dues other than micro &amp; small enterprises</t>
  </si>
  <si>
    <t>Other Financial Liabilities</t>
  </si>
  <si>
    <t>Other Current Liabilities</t>
  </si>
  <si>
    <t>Total Current Liabilities</t>
  </si>
  <si>
    <t>Total Liabilities</t>
  </si>
  <si>
    <t>TOTAL EQUITY AND LIABILITIES</t>
  </si>
  <si>
    <t>Investments</t>
  </si>
  <si>
    <t>Borrowings</t>
  </si>
  <si>
    <t>Current Tax Liabilities (Net)</t>
  </si>
  <si>
    <t xml:space="preserve">Consolidated Statement of Profit &amp; Loss </t>
  </si>
  <si>
    <t>Revenue from Operations</t>
  </si>
  <si>
    <t>Other Income</t>
  </si>
  <si>
    <t>Total Income</t>
  </si>
  <si>
    <t>Expenses</t>
  </si>
  <si>
    <t>Cost of Material Consumed</t>
  </si>
  <si>
    <t>Purchases of stock-in-trade</t>
  </si>
  <si>
    <t>Changes in inventories of finished goods, work-in-progress and stock-in-trade</t>
  </si>
  <si>
    <t>Employee Benefit Expense</t>
  </si>
  <si>
    <t>Depreciation and Amortisation Expense</t>
  </si>
  <si>
    <t>Other Expense</t>
  </si>
  <si>
    <t>Finance Cost</t>
  </si>
  <si>
    <t>Total Expense</t>
  </si>
  <si>
    <t>Profit before Tax</t>
  </si>
  <si>
    <t>Income Tax Expense</t>
  </si>
  <si>
    <t>Current Tax</t>
  </si>
  <si>
    <t>Deferred Tax Charge/(Credit)</t>
  </si>
  <si>
    <t>Short/(Excess) tax provision for earlier years</t>
  </si>
  <si>
    <t>Total Tax Expense</t>
  </si>
  <si>
    <t>Profit for the Year</t>
  </si>
  <si>
    <t>Other Comprehensive Income, net of tax</t>
  </si>
  <si>
    <t>Remeasurement of post employment benefits obligation</t>
  </si>
  <si>
    <t>Income Tax (charge)/credit relating to these items</t>
  </si>
  <si>
    <t>Other Comprehensive Income for the year (net of tax)</t>
  </si>
  <si>
    <t>Total Comprehensive Income for the year</t>
  </si>
  <si>
    <t>Earnings per equity share (nominal value of share INR 10)</t>
  </si>
  <si>
    <t>Basic and Diluted</t>
  </si>
  <si>
    <t>Items that will not be reclassified to profit and loss</t>
  </si>
  <si>
    <t>Consolidated Statement of Cash Flows</t>
  </si>
  <si>
    <t>Profit Before Tax</t>
  </si>
  <si>
    <t>Adjusted For:</t>
  </si>
  <si>
    <t>Depreciation and Amortisation</t>
  </si>
  <si>
    <t>Allowance for Doubtful Receivales</t>
  </si>
  <si>
    <t>Profit on Sale of Fixed Assets (Net)</t>
  </si>
  <si>
    <t>Interest Income</t>
  </si>
  <si>
    <t>Operating Profit before Working Capital Changes</t>
  </si>
  <si>
    <t>Decrease/(Increase) in Inventories</t>
  </si>
  <si>
    <t>Decrease/(Increase) in Trade Receivables</t>
  </si>
  <si>
    <t>Decrease/(Increase) in Current &amp; Non-Current Assets</t>
  </si>
  <si>
    <t>(Decrease)/Increase in Other Liabilities &amp; Provisions</t>
  </si>
  <si>
    <t>Cash Generated from Operations</t>
  </si>
  <si>
    <t>Income taxes Paid</t>
  </si>
  <si>
    <t>Net Cash Flow from Operating Activities</t>
  </si>
  <si>
    <t>I.) Cash Flow from Operating Activities</t>
  </si>
  <si>
    <t>II.) Cash From from Investing Activities</t>
  </si>
  <si>
    <t>Investment in Associate Company</t>
  </si>
  <si>
    <t>Purchase of Property, Plant &amp; Equipment</t>
  </si>
  <si>
    <t>Sale of Property, Plant &amp; Equipment</t>
  </si>
  <si>
    <t>Deposits placed during the year</t>
  </si>
  <si>
    <t>Deposits matured during the year</t>
  </si>
  <si>
    <t>Interest Received</t>
  </si>
  <si>
    <t>Interest Received on loan to related party</t>
  </si>
  <si>
    <t>Repayment of loan by related party</t>
  </si>
  <si>
    <t>Net Cash from/(used in) Investing Activities</t>
  </si>
  <si>
    <t>III.) Cash Flow from Financing Activities</t>
  </si>
  <si>
    <t>Principal Elements of Lease Payments</t>
  </si>
  <si>
    <t>Net Cash Use in Financing Activities</t>
  </si>
  <si>
    <t>Net Changes in Cash &amp; Cash Equivalents (I+II+III)</t>
  </si>
  <si>
    <t>Cash and Cash Equivalents at the beginning of the year</t>
  </si>
  <si>
    <t>Cash and Cash Equivalents at the end of the year</t>
  </si>
  <si>
    <t>Net Changes in Cash &amp; Cash Equivalents</t>
  </si>
  <si>
    <t>(Decrease)/Increase in Trade Payables</t>
  </si>
  <si>
    <t>Sale/(Purchase) of Investments</t>
  </si>
  <si>
    <t>Proceeds/(Repayments) of Borrowings (Net)</t>
  </si>
  <si>
    <t>Dividend Paid (Including Dividend Distribution Tax)</t>
  </si>
  <si>
    <t>Other Expenses</t>
  </si>
  <si>
    <t>Interest Expense</t>
  </si>
  <si>
    <t>Computation of Liquidity Ratios</t>
  </si>
  <si>
    <t>Current Ratio</t>
  </si>
  <si>
    <t>Current Ratio = Current Asset/Current Liabilities</t>
  </si>
  <si>
    <t>Inventory</t>
  </si>
  <si>
    <t>Quick Ratio</t>
  </si>
  <si>
    <t>Cash and Cash Equivalents</t>
  </si>
  <si>
    <t>Cash Ratio</t>
  </si>
  <si>
    <t>Quick Ratio or Acid Test Ratio = (Current Asset - Inventory)/Current Liabilities</t>
  </si>
  <si>
    <t>Cash Ratio = (Cash and Cash Equivalents + Current Investment)/Current Liabilities</t>
  </si>
  <si>
    <t>Current Investment</t>
  </si>
  <si>
    <t>Net Working Capital = Current Asset - Current Liabilities (Excluding Short Term Bank Borrowings)</t>
  </si>
  <si>
    <t>Short Term Bank Borrowings</t>
  </si>
  <si>
    <t>Net Working Capital</t>
  </si>
  <si>
    <t>Debt to Asset Ratio = Total Debt/Total Assets</t>
  </si>
  <si>
    <t>Total Debt</t>
  </si>
  <si>
    <t>Total Asset</t>
  </si>
  <si>
    <t>Debt to Asset Ratio</t>
  </si>
  <si>
    <t>Debt to Equity Ratio</t>
  </si>
  <si>
    <t>Debt to Capital Ratio = Total Debt/(Total Debt+Total Equity)</t>
  </si>
  <si>
    <t>Debt to Capital Ratio</t>
  </si>
  <si>
    <t>Debt to EBITDA Ratio = Total Debt/Earnings Before Interest Tax Depreciation and Amortisation</t>
  </si>
  <si>
    <t>Depreciation</t>
  </si>
  <si>
    <t>EBITDA</t>
  </si>
  <si>
    <t>Debt to EBITDA Ratio</t>
  </si>
  <si>
    <t>Asset to Equity Ratio = Total Asset/Total Equity</t>
  </si>
  <si>
    <t>Asset to Equity Ratio</t>
  </si>
  <si>
    <t>Interest Coverage Ratio</t>
  </si>
  <si>
    <t>Interest</t>
  </si>
  <si>
    <t>Principal Debt</t>
  </si>
  <si>
    <t>Interest Coverage Ratio = EBITDA/Interest Expense</t>
  </si>
  <si>
    <t>Debt-Service Coverage Ratio = EBITDA/Total Debt Service</t>
  </si>
  <si>
    <t>Profit Befor Tax</t>
  </si>
  <si>
    <t>Cash Coverage Ratio = Total Cash/Interest Expense</t>
  </si>
  <si>
    <t>Total Cash &amp; Cash Equivalents</t>
  </si>
  <si>
    <t>Cash Coverage Ratio</t>
  </si>
  <si>
    <t>Asset Coverage Ratio = (Total Assets - Intangible Assets) - (Current Liabilities - Short term Debt)/Interest Expense</t>
  </si>
  <si>
    <t>Total Assets</t>
  </si>
  <si>
    <t>Asset Coverage Ratio</t>
  </si>
  <si>
    <t>Short Term Debt</t>
  </si>
  <si>
    <t>Computation of Turnover Ratios</t>
  </si>
  <si>
    <t>Computation of Capital Structure Ratios</t>
  </si>
  <si>
    <t>Total Asset Turnover Ratio = Revenue from Operations/Total Assets</t>
  </si>
  <si>
    <t>Total Asset Turnover Ratio</t>
  </si>
  <si>
    <t>Fixed Asset Turnover Ratio = Revenue from Operations/Fixed Assets</t>
  </si>
  <si>
    <t>Fixed Assets</t>
  </si>
  <si>
    <t>Fixed Asset Turnover Ratio</t>
  </si>
  <si>
    <t>Capital Turnover Ratio</t>
  </si>
  <si>
    <t>Capital Turnover Ratio = Revenue from Operations/Capital Employed</t>
  </si>
  <si>
    <t>Capital Employed</t>
  </si>
  <si>
    <t>Working Capital Turnover Ratio = Revenue from Operation/Working Capital</t>
  </si>
  <si>
    <t>Working Capital</t>
  </si>
  <si>
    <t>Current Asset</t>
  </si>
  <si>
    <t>Working Capital Turnover Ratio</t>
  </si>
  <si>
    <t>Inventory Turnover Ratio = Revenue from Operation/Average Inventory</t>
  </si>
  <si>
    <t>Opening Inventory</t>
  </si>
  <si>
    <t>Closing Inventory</t>
  </si>
  <si>
    <t>Average Inventory</t>
  </si>
  <si>
    <t>Inventory Turnover Ratio</t>
  </si>
  <si>
    <t>Receivables Turnover Ratio = Revenue from Sales/Accounts Receivables</t>
  </si>
  <si>
    <t>Accounts Reveivables</t>
  </si>
  <si>
    <t>Receivables Turnover Ratio</t>
  </si>
  <si>
    <t>Average Collection Period</t>
  </si>
  <si>
    <t>Average Collection Period = 365 days/Receivables Turnover Ratio</t>
  </si>
  <si>
    <t>Payables Turnover Ratio = Purchases/Account Payables</t>
  </si>
  <si>
    <t>Purchases</t>
  </si>
  <si>
    <t>Accounts Payables</t>
  </si>
  <si>
    <t>Average Payment Period = 365 days/Payables Turnover Ratio</t>
  </si>
  <si>
    <t>Payables Turnover Ratio</t>
  </si>
  <si>
    <t>Computation of Profitability Ratios</t>
  </si>
  <si>
    <t>Gross Profit Ratio = Profit Before Tax/Sales * 100</t>
  </si>
  <si>
    <t>Sales</t>
  </si>
  <si>
    <t>Gross Profit Ratio</t>
  </si>
  <si>
    <t>Net Profit Ratio = Profit After Tax/Sales * 100</t>
  </si>
  <si>
    <t>EBIT</t>
  </si>
  <si>
    <t>Gross Profit</t>
  </si>
  <si>
    <t>Purchases Stock-in-Trade</t>
  </si>
  <si>
    <t>Changes in Inventory</t>
  </si>
  <si>
    <t>Profit After Tax</t>
  </si>
  <si>
    <t>Operating Profit Ratio</t>
  </si>
  <si>
    <t>Operating Profit Ratio = Earnings Before Interest and Tax/Sales * 100</t>
  </si>
  <si>
    <t>Cost of Goods Sold Ratio = Cost of Goods Sold/Sales * 100</t>
  </si>
  <si>
    <t>Cost of Goods Sold</t>
  </si>
  <si>
    <t>Cost of Goods Sold Ratio</t>
  </si>
  <si>
    <t>Operating Expense Ratio = Operating Expenses/Sales * 100</t>
  </si>
  <si>
    <t>Depreciation &amp; Amortisation</t>
  </si>
  <si>
    <t>Operating Expense Ratio</t>
  </si>
  <si>
    <t>Operating Ratio = Profit Before Tax/Sales * 100</t>
  </si>
  <si>
    <t>Operating Ratio</t>
  </si>
  <si>
    <t>Financial Expenses Ratio = Financial Expense/Sales * 100</t>
  </si>
  <si>
    <t>Financial Expense</t>
  </si>
  <si>
    <t>Financial Expenses Ratio</t>
  </si>
  <si>
    <t>Return on Asset = Net Profit After Tax/Average Total Asset</t>
  </si>
  <si>
    <t>Net Profit After Tax</t>
  </si>
  <si>
    <t>Return on Asset</t>
  </si>
  <si>
    <t>Total Fixed Assets</t>
  </si>
  <si>
    <t>Return on Capital Employed = EBIT * (1-Tax)/Average Total Capital Employed * 100</t>
  </si>
  <si>
    <t>Tax</t>
  </si>
  <si>
    <t>Tax %</t>
  </si>
  <si>
    <t>Return on Capital Employed</t>
  </si>
  <si>
    <t>Return on Equity = Net Profit After Tax/Equity Shareholders Fund * 100</t>
  </si>
  <si>
    <t>Equity Shareholders Fund</t>
  </si>
  <si>
    <t>Return on Equity</t>
  </si>
  <si>
    <t>Dividend Payout Ratio = Dividend Per Equity (DPS)/Earning Per Equity Share (EPS)</t>
  </si>
  <si>
    <t>Dividend Per Share (DPS)</t>
  </si>
  <si>
    <t>Equity Per Share (EPS)</t>
  </si>
  <si>
    <t>Dividend Payout Ratio</t>
  </si>
  <si>
    <t>Market Price Per Share (MPS)</t>
  </si>
  <si>
    <t>Dividend Yield</t>
  </si>
  <si>
    <t>Dividend Yield = Dividend Per Share (DPS)/Market Price of Share (as on 31st March of Year) * 100</t>
  </si>
  <si>
    <t>Earnings Yield = Earnings Per Share (EPS)/Market Price of Share (as on 31st March of Year) * 100</t>
  </si>
  <si>
    <t>Earnings Per Share (EPS)</t>
  </si>
  <si>
    <t>Earnings Yield</t>
  </si>
  <si>
    <t>P/E Ratio</t>
  </si>
  <si>
    <t>P/E Ratio = Market Price Per Share (MPS)/Earnings Per Share (EPS)</t>
  </si>
  <si>
    <t>Consolidated Financial Statements for Company 2 (as per Annual Report of Company)</t>
  </si>
  <si>
    <t>INR</t>
  </si>
  <si>
    <t>Company 1</t>
  </si>
  <si>
    <t>Company 2</t>
  </si>
  <si>
    <t>Debt to Equity Ratio = Long Term Debt/Total Equity</t>
  </si>
  <si>
    <t>Long Term Debt</t>
  </si>
  <si>
    <t>-</t>
  </si>
  <si>
    <t>As on 31-03-2022</t>
  </si>
  <si>
    <t>Consolidated Financial Statements for Safari (as per Annual Report of Company)</t>
  </si>
  <si>
    <t>Borrowing</t>
  </si>
  <si>
    <t>Allowance for Doubtful Receivables</t>
  </si>
  <si>
    <t>investments</t>
  </si>
  <si>
    <t>current tax (net)</t>
  </si>
  <si>
    <t>deferred tax liability</t>
  </si>
  <si>
    <t>`</t>
  </si>
  <si>
    <t>FINANCIAL MANAGEMENT - 2
TOPIC :  Financial Statement Analysis 
Company 1 : IMAGICA WORLD ENTERTAINMENT LTD.
Company 2 : MODI RUBBER PVT LTD.
Enrol No:  22BSPHH01C1520, 22BSPHH01C0905
Seat No:  21, 19
Submitted By:  ADITI BARANWAL, REET CHANDEL</t>
  </si>
  <si>
    <t>This is Total Liabilities in company 1 column</t>
  </si>
  <si>
    <t>This is Total non current asset in company 1 column</t>
  </si>
  <si>
    <t>BS</t>
  </si>
  <si>
    <t>PLS</t>
  </si>
  <si>
    <t>This is Total Non - Current Liabilities in company 1 column</t>
  </si>
  <si>
    <t>In Doubt need to conform</t>
  </si>
  <si>
    <t>BS OPERATION</t>
  </si>
  <si>
    <t>OPERATION</t>
  </si>
  <si>
    <t>In Doubt need to ask</t>
  </si>
  <si>
    <t>This is Trade Receivables</t>
  </si>
  <si>
    <t>This is revenue from operations</t>
  </si>
  <si>
    <t>This is finance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</si>
</sst>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44" fontId="3" fillId="0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3"/>
    </xf>
    <xf numFmtId="44" fontId="2" fillId="0" borderId="1" xfId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4"/>
    </xf>
    <xf numFmtId="0" fontId="3" fillId="0" borderId="1" xfId="0" applyFont="1" applyBorder="1" applyAlignment="1">
      <alignment horizontal="left" vertical="center" wrapText="1" indent="5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408108</xdr:colOff>
      <xdr:row>54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07D88F-2D9D-25D6-441B-FEC80C6A0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11</xdr:col>
      <xdr:colOff>408108</xdr:colOff>
      <xdr:row>109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F92559-E308-BD1F-A035-D4BBC5123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2825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11</xdr:col>
      <xdr:colOff>408108</xdr:colOff>
      <xdr:row>164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872695-7AD9-1654-D049-1996754C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25650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11</xdr:col>
      <xdr:colOff>408108</xdr:colOff>
      <xdr:row>219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4321B3-A311-3560-E1DC-A3272D6D9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84750"/>
          <a:ext cx="7113708" cy="10058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D120-F5F9-44FF-951A-AA7DCD0BE399}">
  <sheetPr codeName="Sheet1"/>
  <dimension ref="H5:K5"/>
  <sheetViews>
    <sheetView topLeftCell="A4" workbookViewId="0">
      <selection activeCell="K10" sqref="K10"/>
    </sheetView>
  </sheetViews>
  <sheetFormatPr defaultRowHeight="14.4" x14ac:dyDescent="0.3"/>
  <cols>
    <col min="7" max="7" width="3.21875" customWidth="1"/>
    <col min="8" max="9" width="8.77734375" hidden="1" customWidth="1"/>
    <col min="10" max="10" width="13.77734375" hidden="1" customWidth="1"/>
    <col min="11" max="11" width="61.109375" customWidth="1"/>
  </cols>
  <sheetData>
    <row r="5" spans="11:11" ht="100.8" x14ac:dyDescent="0.3">
      <c r="K5" s="40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89AA-9526-4AAB-9911-8A0607380BB4}">
  <sheetPr codeName="Sheet2"/>
  <dimension ref="A1:L64"/>
  <sheetViews>
    <sheetView showGridLines="0" zoomScale="123" zoomScaleNormal="134" workbookViewId="0">
      <selection activeCell="B58" sqref="B58"/>
    </sheetView>
  </sheetViews>
  <sheetFormatPr defaultColWidth="8.77734375" defaultRowHeight="12" x14ac:dyDescent="0.3"/>
  <cols>
    <col min="1" max="1" width="44" style="29" bestFit="1" customWidth="1"/>
    <col min="2" max="3" width="12.5546875" style="2" bestFit="1" customWidth="1"/>
    <col min="4" max="4" width="2.33203125" style="2" customWidth="1"/>
    <col min="5" max="5" width="53.88671875" style="2" bestFit="1" customWidth="1"/>
    <col min="6" max="7" width="12.5546875" style="2" bestFit="1" customWidth="1"/>
    <col min="8" max="8" width="2.21875" style="2" customWidth="1"/>
    <col min="9" max="9" width="40.5546875" style="2" bestFit="1" customWidth="1"/>
    <col min="10" max="11" width="12.5546875" style="2" bestFit="1" customWidth="1"/>
    <col min="12" max="16384" width="8.77734375" style="2"/>
  </cols>
  <sheetData>
    <row r="1" spans="1:11" x14ac:dyDescent="0.25">
      <c r="A1" s="46" t="s">
        <v>241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3"/>
      <c r="B2" s="4"/>
      <c r="C2" s="4"/>
      <c r="D2" s="5"/>
      <c r="E2" s="4"/>
      <c r="F2" s="4"/>
      <c r="G2" s="4"/>
      <c r="H2" s="5"/>
      <c r="I2" s="5"/>
      <c r="J2" s="5"/>
      <c r="K2" s="5"/>
    </row>
    <row r="3" spans="1:11" x14ac:dyDescent="0.3">
      <c r="A3" s="47" t="s">
        <v>3</v>
      </c>
      <c r="B3" s="47"/>
      <c r="C3" s="47"/>
      <c r="E3" s="47" t="s">
        <v>52</v>
      </c>
      <c r="F3" s="47"/>
      <c r="G3" s="47"/>
      <c r="I3" s="47" t="s">
        <v>80</v>
      </c>
      <c r="J3" s="47"/>
      <c r="K3" s="47"/>
    </row>
    <row r="4" spans="1:11" x14ac:dyDescent="0.3">
      <c r="A4" s="6" t="s">
        <v>0</v>
      </c>
      <c r="B4" s="6" t="s">
        <v>240</v>
      </c>
      <c r="C4" s="6" t="s">
        <v>1</v>
      </c>
      <c r="E4" s="48" t="s">
        <v>0</v>
      </c>
      <c r="F4" s="6" t="s">
        <v>240</v>
      </c>
      <c r="G4" s="6" t="s">
        <v>1</v>
      </c>
      <c r="I4" s="48" t="s">
        <v>0</v>
      </c>
      <c r="J4" s="6" t="s">
        <v>1</v>
      </c>
      <c r="K4" s="6" t="s">
        <v>2</v>
      </c>
    </row>
    <row r="5" spans="1:11" x14ac:dyDescent="0.3">
      <c r="A5" s="7" t="s">
        <v>4</v>
      </c>
      <c r="B5" s="6" t="s">
        <v>234</v>
      </c>
      <c r="C5" s="6" t="s">
        <v>234</v>
      </c>
      <c r="E5" s="48"/>
      <c r="F5" s="6" t="s">
        <v>234</v>
      </c>
      <c r="G5" s="6" t="s">
        <v>234</v>
      </c>
      <c r="I5" s="48"/>
      <c r="J5" s="6" t="s">
        <v>234</v>
      </c>
      <c r="K5" s="6" t="s">
        <v>234</v>
      </c>
    </row>
    <row r="6" spans="1:11" x14ac:dyDescent="0.3">
      <c r="A6" s="8" t="s">
        <v>5</v>
      </c>
      <c r="B6" s="9"/>
      <c r="C6" s="9"/>
      <c r="E6" s="10" t="s">
        <v>53</v>
      </c>
      <c r="F6" s="11">
        <v>7204.41</v>
      </c>
      <c r="G6" s="11">
        <v>2195.79</v>
      </c>
      <c r="I6" s="12" t="s">
        <v>95</v>
      </c>
      <c r="J6" s="15"/>
      <c r="K6" s="9"/>
    </row>
    <row r="7" spans="1:11" x14ac:dyDescent="0.3">
      <c r="A7" s="13" t="s">
        <v>6</v>
      </c>
      <c r="B7" s="14">
        <v>72423.320000000007</v>
      </c>
      <c r="C7" s="14">
        <v>81147.48</v>
      </c>
      <c r="E7" s="10" t="s">
        <v>54</v>
      </c>
      <c r="F7" s="11">
        <v>2604.33</v>
      </c>
      <c r="G7" s="11">
        <v>2450.4299999999998</v>
      </c>
      <c r="I7" s="8" t="s">
        <v>81</v>
      </c>
      <c r="J7" s="15">
        <v>-25212.14</v>
      </c>
      <c r="K7" s="15">
        <v>-26664.45</v>
      </c>
    </row>
    <row r="8" spans="1:11" x14ac:dyDescent="0.3">
      <c r="A8" s="13" t="s">
        <v>7</v>
      </c>
      <c r="B8" s="14"/>
      <c r="C8" s="14"/>
      <c r="E8" s="12" t="s">
        <v>55</v>
      </c>
      <c r="F8" s="15">
        <f>F6+F7</f>
        <v>9808.74</v>
      </c>
      <c r="G8" s="15">
        <f>SUM(G6:G7)</f>
        <v>4646.2199999999993</v>
      </c>
      <c r="I8" s="16" t="s">
        <v>82</v>
      </c>
      <c r="J8" s="11"/>
      <c r="K8" s="11"/>
    </row>
    <row r="9" spans="1:11" x14ac:dyDescent="0.3">
      <c r="A9" s="13" t="s">
        <v>8</v>
      </c>
      <c r="B9" s="14">
        <v>2</v>
      </c>
      <c r="C9" s="14">
        <v>5.0999999999999996</v>
      </c>
      <c r="E9" s="12" t="s">
        <v>56</v>
      </c>
      <c r="F9" s="11">
        <v>0</v>
      </c>
      <c r="G9" s="11"/>
      <c r="I9" s="13" t="s">
        <v>83</v>
      </c>
      <c r="J9" s="11">
        <v>9146.4500000000007</v>
      </c>
      <c r="K9" s="11">
        <v>9561.0400000000009</v>
      </c>
    </row>
    <row r="10" spans="1:11" x14ac:dyDescent="0.3">
      <c r="A10" s="13" t="s">
        <v>9</v>
      </c>
      <c r="B10" s="14">
        <v>10618.16</v>
      </c>
      <c r="C10" s="14">
        <v>8337.6200000000008</v>
      </c>
      <c r="E10" s="16" t="s">
        <v>57</v>
      </c>
      <c r="F10" s="11">
        <v>588.41999999999996</v>
      </c>
      <c r="G10" s="11">
        <v>211.83</v>
      </c>
      <c r="I10" s="13" t="s">
        <v>243</v>
      </c>
      <c r="J10" s="11"/>
      <c r="K10" s="11"/>
    </row>
    <row r="11" spans="1:11" x14ac:dyDescent="0.3">
      <c r="A11" s="13" t="s">
        <v>10</v>
      </c>
      <c r="B11" s="14">
        <v>564.87</v>
      </c>
      <c r="C11" s="14">
        <v>927.98</v>
      </c>
      <c r="E11" s="16" t="s">
        <v>58</v>
      </c>
      <c r="F11" s="11">
        <v>129.86000000000001</v>
      </c>
      <c r="G11" s="11">
        <v>32.409999999999997</v>
      </c>
      <c r="I11" s="13" t="s">
        <v>85</v>
      </c>
      <c r="J11" s="11">
        <v>38.590000000000003</v>
      </c>
      <c r="K11" s="11">
        <v>93.57</v>
      </c>
    </row>
    <row r="12" spans="1:11" ht="24" x14ac:dyDescent="0.3">
      <c r="A12" s="17" t="s">
        <v>11</v>
      </c>
      <c r="B12" s="14"/>
      <c r="C12" s="14"/>
      <c r="E12" s="18" t="s">
        <v>59</v>
      </c>
      <c r="F12" s="11">
        <v>14.88</v>
      </c>
      <c r="G12" s="11">
        <v>37.15</v>
      </c>
      <c r="I12" s="13" t="s">
        <v>63</v>
      </c>
      <c r="J12" s="11">
        <v>18815.63</v>
      </c>
      <c r="K12" s="11">
        <v>16265.6</v>
      </c>
    </row>
    <row r="13" spans="1:11" x14ac:dyDescent="0.3">
      <c r="A13" s="13" t="s">
        <v>12</v>
      </c>
      <c r="B13" s="14">
        <v>42.92</v>
      </c>
      <c r="C13" s="14">
        <v>43.67</v>
      </c>
      <c r="E13" s="16" t="s">
        <v>60</v>
      </c>
      <c r="F13" s="11">
        <v>2460.91</v>
      </c>
      <c r="G13" s="11">
        <v>2801.7</v>
      </c>
      <c r="I13" s="13" t="s">
        <v>86</v>
      </c>
      <c r="J13" s="11">
        <v>-14.71</v>
      </c>
      <c r="K13" s="11">
        <v>-19.22</v>
      </c>
    </row>
    <row r="14" spans="1:11" x14ac:dyDescent="0.3">
      <c r="A14" s="19" t="s">
        <v>13</v>
      </c>
      <c r="B14" s="14"/>
      <c r="C14" s="14"/>
      <c r="E14" s="16" t="s">
        <v>61</v>
      </c>
      <c r="F14" s="11">
        <v>9146.4500000000007</v>
      </c>
      <c r="G14" s="11">
        <v>9561.0400000000009</v>
      </c>
      <c r="I14" s="13" t="s">
        <v>87</v>
      </c>
      <c r="J14" s="15">
        <f>SUM(J7:J13)</f>
        <v>2773.8200000000024</v>
      </c>
      <c r="K14" s="15">
        <f>SUM(K7:K13)</f>
        <v>-763.45999999999981</v>
      </c>
    </row>
    <row r="15" spans="1:11" x14ac:dyDescent="0.3">
      <c r="A15" s="19" t="s">
        <v>14</v>
      </c>
      <c r="B15" s="14">
        <v>42.92</v>
      </c>
      <c r="C15" s="14">
        <v>43.67</v>
      </c>
      <c r="E15" s="16" t="s">
        <v>62</v>
      </c>
      <c r="F15" s="11">
        <v>3864.73</v>
      </c>
      <c r="G15" s="11">
        <v>2400.94</v>
      </c>
      <c r="I15" s="8" t="s">
        <v>82</v>
      </c>
      <c r="J15" s="15"/>
      <c r="K15" s="15"/>
    </row>
    <row r="16" spans="1:11" x14ac:dyDescent="0.3">
      <c r="A16" s="13" t="s">
        <v>15</v>
      </c>
      <c r="B16" s="14"/>
      <c r="C16" s="14"/>
      <c r="E16" s="16" t="s">
        <v>63</v>
      </c>
      <c r="F16" s="11">
        <v>18815.63</v>
      </c>
      <c r="G16" s="11">
        <v>16265.6</v>
      </c>
      <c r="I16" s="16" t="s">
        <v>88</v>
      </c>
      <c r="J16" s="11"/>
      <c r="K16" s="11"/>
    </row>
    <row r="17" spans="1:11" x14ac:dyDescent="0.3">
      <c r="A17" s="13" t="s">
        <v>26</v>
      </c>
      <c r="B17" s="14"/>
      <c r="C17" s="14"/>
      <c r="E17" s="12" t="s">
        <v>64</v>
      </c>
      <c r="F17" s="15">
        <f>SUM(F6:F16)</f>
        <v>54638.36</v>
      </c>
      <c r="G17" s="15">
        <f>SUM(G10:G16)</f>
        <v>31310.670000000002</v>
      </c>
      <c r="I17" s="13" t="s">
        <v>89</v>
      </c>
      <c r="J17" s="11">
        <v>-134.25</v>
      </c>
      <c r="K17" s="11"/>
    </row>
    <row r="18" spans="1:11" x14ac:dyDescent="0.3">
      <c r="A18" s="13" t="s">
        <v>16</v>
      </c>
      <c r="B18" s="14">
        <v>231.69</v>
      </c>
      <c r="C18" s="14">
        <v>197.86</v>
      </c>
      <c r="E18" s="12" t="s">
        <v>65</v>
      </c>
      <c r="F18" s="15">
        <v>-25212.14</v>
      </c>
      <c r="G18" s="15">
        <v>-2664.45</v>
      </c>
      <c r="I18" s="13" t="s">
        <v>90</v>
      </c>
      <c r="J18" s="11">
        <v>565.27</v>
      </c>
      <c r="K18" s="11"/>
    </row>
    <row r="19" spans="1:11" x14ac:dyDescent="0.3">
      <c r="A19" s="8" t="s">
        <v>17</v>
      </c>
      <c r="B19" s="20">
        <f>B7+B9+B11+B12+B15+B18</f>
        <v>73264.800000000003</v>
      </c>
      <c r="C19" s="20">
        <f>C7+C9+C10+C11+C13+C15+C18</f>
        <v>90703.37999999999</v>
      </c>
      <c r="E19" s="12" t="s">
        <v>66</v>
      </c>
      <c r="F19" s="15"/>
      <c r="G19" s="15"/>
      <c r="I19" s="13" t="s">
        <v>113</v>
      </c>
      <c r="J19" s="11">
        <v>-729.3</v>
      </c>
      <c r="K19" s="11"/>
    </row>
    <row r="20" spans="1:11" x14ac:dyDescent="0.3">
      <c r="A20" s="8" t="s">
        <v>18</v>
      </c>
      <c r="B20" s="9"/>
      <c r="C20" s="9"/>
      <c r="E20" s="16" t="s">
        <v>67</v>
      </c>
      <c r="F20" s="15"/>
      <c r="I20" s="13" t="s">
        <v>91</v>
      </c>
      <c r="J20" s="11">
        <v>156.65</v>
      </c>
      <c r="K20" s="11"/>
    </row>
    <row r="21" spans="1:11" x14ac:dyDescent="0.3">
      <c r="A21" s="13" t="s">
        <v>19</v>
      </c>
      <c r="B21" s="11">
        <v>1161.22</v>
      </c>
      <c r="C21" s="11">
        <v>1148.83</v>
      </c>
      <c r="E21" s="16" t="s">
        <v>68</v>
      </c>
      <c r="F21" s="15"/>
      <c r="G21" s="11"/>
      <c r="I21" s="13"/>
      <c r="J21" s="11"/>
      <c r="K21" s="11"/>
    </row>
    <row r="22" spans="1:11" x14ac:dyDescent="0.3">
      <c r="A22" s="13" t="s">
        <v>12</v>
      </c>
      <c r="C22" s="11"/>
      <c r="E22" s="10" t="s">
        <v>69</v>
      </c>
      <c r="F22" s="15"/>
      <c r="G22" s="11"/>
      <c r="I22" s="13" t="s">
        <v>92</v>
      </c>
      <c r="J22" s="15">
        <f>SUM(J9:J20)</f>
        <v>30618.150000000009</v>
      </c>
      <c r="K22" s="15"/>
    </row>
    <row r="23" spans="1:11" x14ac:dyDescent="0.3">
      <c r="A23" s="19" t="s">
        <v>49</v>
      </c>
      <c r="C23" s="11"/>
      <c r="E23" s="12" t="s">
        <v>70</v>
      </c>
      <c r="F23" s="11">
        <f>-F18</f>
        <v>25212.14</v>
      </c>
      <c r="G23" s="11"/>
      <c r="I23" s="8" t="s">
        <v>93</v>
      </c>
      <c r="J23" s="15"/>
      <c r="K23" s="15"/>
    </row>
    <row r="24" spans="1:11" x14ac:dyDescent="0.3">
      <c r="A24" s="19" t="s">
        <v>20</v>
      </c>
      <c r="B24" s="11">
        <v>335.02</v>
      </c>
      <c r="C24" s="11">
        <v>200.77</v>
      </c>
      <c r="E24" s="12" t="s">
        <v>71</v>
      </c>
      <c r="F24" s="11">
        <f>F18</f>
        <v>-25212.14</v>
      </c>
      <c r="G24" s="15">
        <v>-26664.45</v>
      </c>
      <c r="I24" s="13" t="s">
        <v>94</v>
      </c>
      <c r="J24" s="11"/>
      <c r="K24" s="11"/>
    </row>
    <row r="25" spans="1:11" x14ac:dyDescent="0.3">
      <c r="A25" s="19" t="s">
        <v>21</v>
      </c>
      <c r="B25" s="11">
        <v>522.15</v>
      </c>
      <c r="C25" s="11">
        <v>264.85000000000002</v>
      </c>
      <c r="E25" s="12" t="s">
        <v>72</v>
      </c>
      <c r="F25" s="24"/>
      <c r="I25" s="12" t="s">
        <v>96</v>
      </c>
      <c r="J25" s="15"/>
      <c r="K25" s="15"/>
    </row>
    <row r="26" spans="1:11" ht="12.6" thickBot="1" x14ac:dyDescent="0.35">
      <c r="A26" s="19" t="s">
        <v>22</v>
      </c>
      <c r="B26" s="11">
        <v>86.32</v>
      </c>
      <c r="C26" s="11">
        <v>82.71</v>
      </c>
      <c r="E26" s="16" t="s">
        <v>79</v>
      </c>
      <c r="F26" s="21"/>
      <c r="I26" s="12" t="s">
        <v>114</v>
      </c>
      <c r="J26" s="6"/>
      <c r="K26" s="6"/>
    </row>
    <row r="27" spans="1:11" ht="12.6" thickTop="1" x14ac:dyDescent="0.3">
      <c r="A27" s="19" t="s">
        <v>13</v>
      </c>
      <c r="B27" s="11">
        <v>2.0099999999999998</v>
      </c>
      <c r="C27" s="11">
        <v>0.86</v>
      </c>
      <c r="E27" s="13" t="s">
        <v>73</v>
      </c>
      <c r="F27" s="22">
        <v>38.590000000000003</v>
      </c>
      <c r="G27" s="15">
        <v>93.57</v>
      </c>
      <c r="I27" s="16" t="s">
        <v>97</v>
      </c>
      <c r="J27" s="11"/>
      <c r="K27" s="11"/>
    </row>
    <row r="28" spans="1:11" x14ac:dyDescent="0.3">
      <c r="A28" s="19" t="s">
        <v>14</v>
      </c>
      <c r="B28" s="11">
        <v>282.49</v>
      </c>
      <c r="C28" s="11">
        <v>847.44</v>
      </c>
      <c r="E28" s="13" t="s">
        <v>74</v>
      </c>
      <c r="F28" s="11"/>
      <c r="G28" s="15"/>
      <c r="I28" s="16" t="s">
        <v>98</v>
      </c>
      <c r="J28" s="11"/>
      <c r="K28" s="11"/>
    </row>
    <row r="29" spans="1:11" x14ac:dyDescent="0.3">
      <c r="A29" s="13" t="s">
        <v>23</v>
      </c>
      <c r="B29" s="11">
        <v>1140.0899999999999</v>
      </c>
      <c r="C29" s="11">
        <v>1175.3900000000001</v>
      </c>
      <c r="E29" s="12" t="s">
        <v>75</v>
      </c>
      <c r="F29" s="15" t="s">
        <v>239</v>
      </c>
      <c r="G29" s="11"/>
      <c r="I29" s="16" t="s">
        <v>100</v>
      </c>
      <c r="J29" s="11"/>
      <c r="K29" s="11"/>
    </row>
    <row r="30" spans="1:11" x14ac:dyDescent="0.3">
      <c r="A30" s="8" t="s">
        <v>24</v>
      </c>
      <c r="B30" s="15">
        <f>B21+B24+B25+B26+B27+B28+B29</f>
        <v>3529.3</v>
      </c>
      <c r="C30" s="15">
        <f>SUM(C21:C29)</f>
        <v>3720.8500000000004</v>
      </c>
      <c r="E30" s="12" t="s">
        <v>76</v>
      </c>
      <c r="F30" s="38">
        <v>-25173.55</v>
      </c>
      <c r="G30" s="11">
        <v>-26570.880000000001</v>
      </c>
      <c r="I30" s="16" t="s">
        <v>101</v>
      </c>
      <c r="J30" s="11"/>
      <c r="K30" s="11"/>
    </row>
    <row r="31" spans="1:11" ht="12.6" thickBot="1" x14ac:dyDescent="0.35">
      <c r="A31" s="7" t="s">
        <v>25</v>
      </c>
      <c r="B31" s="21">
        <f>B30+B19</f>
        <v>76794.100000000006</v>
      </c>
      <c r="C31" s="21">
        <f>C30+C19</f>
        <v>94424.23</v>
      </c>
      <c r="E31" s="12" t="s">
        <v>77</v>
      </c>
      <c r="G31" s="11"/>
      <c r="I31" s="16" t="s">
        <v>102</v>
      </c>
      <c r="J31" s="11"/>
      <c r="K31" s="11"/>
    </row>
    <row r="32" spans="1:11" ht="12.6" thickTop="1" x14ac:dyDescent="0.3">
      <c r="A32" s="7" t="s">
        <v>27</v>
      </c>
      <c r="B32" s="6" t="s">
        <v>234</v>
      </c>
      <c r="C32" s="6" t="s">
        <v>234</v>
      </c>
      <c r="E32" s="16" t="s">
        <v>78</v>
      </c>
      <c r="F32" s="2">
        <v>-28.62</v>
      </c>
      <c r="G32" s="15">
        <v>-30.28</v>
      </c>
      <c r="I32" s="16" t="s">
        <v>103</v>
      </c>
      <c r="J32" s="11"/>
      <c r="K32" s="11"/>
    </row>
    <row r="33" spans="1:12" ht="12.6" thickBot="1" x14ac:dyDescent="0.35">
      <c r="A33" s="8" t="s">
        <v>28</v>
      </c>
      <c r="B33" s="9"/>
      <c r="C33" s="9"/>
      <c r="E33" s="23"/>
      <c r="G33" s="21">
        <f>G27+G32</f>
        <v>63.289999999999992</v>
      </c>
      <c r="I33" s="16" t="s">
        <v>104</v>
      </c>
      <c r="J33" s="11"/>
      <c r="K33" s="11"/>
    </row>
    <row r="34" spans="1:12" ht="12.6" thickTop="1" x14ac:dyDescent="0.3">
      <c r="A34" s="13" t="s">
        <v>29</v>
      </c>
      <c r="B34" s="11">
        <v>8843.65</v>
      </c>
      <c r="C34" s="11">
        <v>8806.2099999999991</v>
      </c>
      <c r="E34" s="23"/>
      <c r="F34" s="24"/>
      <c r="G34" s="24"/>
      <c r="I34" s="16" t="s">
        <v>105</v>
      </c>
      <c r="J34" s="11"/>
      <c r="K34" s="11"/>
    </row>
    <row r="35" spans="1:12" x14ac:dyDescent="0.3">
      <c r="A35" s="13" t="s">
        <v>30</v>
      </c>
      <c r="B35" s="11">
        <v>-94689.29</v>
      </c>
      <c r="C35" s="11">
        <v>-69561.95</v>
      </c>
      <c r="E35" s="23"/>
      <c r="F35" s="24"/>
      <c r="G35" s="24"/>
      <c r="I35" s="16" t="s">
        <v>106</v>
      </c>
      <c r="J35" s="11"/>
      <c r="K35" s="11"/>
    </row>
    <row r="36" spans="1:12" x14ac:dyDescent="0.3">
      <c r="A36" s="19" t="s">
        <v>31</v>
      </c>
      <c r="B36" s="11"/>
      <c r="C36" s="11"/>
      <c r="E36" s="23"/>
      <c r="F36" s="24"/>
      <c r="G36" s="24"/>
      <c r="I36" s="16" t="s">
        <v>115</v>
      </c>
      <c r="J36" s="15"/>
      <c r="K36" s="15"/>
    </row>
    <row r="37" spans="1:12" x14ac:dyDescent="0.3">
      <c r="A37" s="8" t="s">
        <v>32</v>
      </c>
      <c r="B37" s="15">
        <f>SUM(B34:B36)</f>
        <v>-85845.64</v>
      </c>
      <c r="C37" s="15">
        <f>SUM(C34:C36)</f>
        <v>-60755.74</v>
      </c>
      <c r="E37" s="23"/>
      <c r="F37" s="24"/>
      <c r="G37" s="24"/>
      <c r="I37" s="12" t="s">
        <v>116</v>
      </c>
      <c r="J37" s="6"/>
      <c r="K37" s="6"/>
      <c r="L37" s="24"/>
    </row>
    <row r="38" spans="1:12" x14ac:dyDescent="0.3">
      <c r="A38" s="8" t="s">
        <v>33</v>
      </c>
      <c r="B38" s="11"/>
      <c r="C38" s="11"/>
      <c r="E38" s="23"/>
      <c r="F38" s="24"/>
      <c r="G38" s="24"/>
      <c r="I38" s="16" t="s">
        <v>107</v>
      </c>
      <c r="J38" s="11"/>
      <c r="K38" s="11"/>
      <c r="L38" s="24"/>
    </row>
    <row r="39" spans="1:12" x14ac:dyDescent="0.3">
      <c r="A39" s="25" t="s">
        <v>34</v>
      </c>
      <c r="B39" s="11"/>
      <c r="C39" s="11"/>
      <c r="E39" s="23"/>
      <c r="F39" s="24"/>
      <c r="G39" s="24"/>
      <c r="I39" s="16" t="s">
        <v>63</v>
      </c>
      <c r="J39" s="11"/>
      <c r="K39" s="11"/>
      <c r="L39" s="24"/>
    </row>
    <row r="40" spans="1:12" x14ac:dyDescent="0.3">
      <c r="A40" s="19" t="s">
        <v>35</v>
      </c>
      <c r="B40" s="11"/>
      <c r="C40" s="11"/>
      <c r="F40" s="24"/>
      <c r="G40" s="24"/>
      <c r="I40" s="16" t="s">
        <v>108</v>
      </c>
      <c r="J40" s="11"/>
      <c r="K40" s="11"/>
      <c r="L40" s="24"/>
    </row>
    <row r="41" spans="1:12" x14ac:dyDescent="0.3">
      <c r="A41" s="26" t="s">
        <v>36</v>
      </c>
      <c r="B41" s="11"/>
      <c r="C41" s="11"/>
      <c r="F41" s="24"/>
      <c r="G41" s="24"/>
      <c r="I41" s="16" t="s">
        <v>109</v>
      </c>
      <c r="J41" s="11"/>
      <c r="K41" s="11"/>
      <c r="L41" s="24"/>
    </row>
    <row r="42" spans="1:12" x14ac:dyDescent="0.3">
      <c r="A42" s="19" t="s">
        <v>242</v>
      </c>
      <c r="B42" s="11"/>
      <c r="C42" s="11"/>
      <c r="F42" s="24"/>
      <c r="G42" s="24"/>
      <c r="I42" s="2" t="s">
        <v>110</v>
      </c>
      <c r="J42" s="15"/>
      <c r="K42" s="15"/>
      <c r="L42" s="24"/>
    </row>
    <row r="43" spans="1:12" x14ac:dyDescent="0.3">
      <c r="A43" s="19" t="s">
        <v>37</v>
      </c>
      <c r="B43" s="11">
        <v>53.19</v>
      </c>
      <c r="C43" s="11">
        <v>72.78</v>
      </c>
      <c r="F43" s="24"/>
      <c r="G43" s="24"/>
      <c r="I43" s="12" t="s">
        <v>111</v>
      </c>
      <c r="J43" s="15"/>
      <c r="K43" s="15"/>
      <c r="L43" s="24"/>
    </row>
    <row r="44" spans="1:12" x14ac:dyDescent="0.3">
      <c r="A44" s="25" t="s">
        <v>39</v>
      </c>
      <c r="B44" s="15">
        <f>SUM(B41:B43)</f>
        <v>53.19</v>
      </c>
      <c r="C44" s="15">
        <f>SUM(C41:C43)</f>
        <v>72.78</v>
      </c>
      <c r="F44" s="24"/>
      <c r="G44" s="24"/>
      <c r="I44" s="23" t="s">
        <v>112</v>
      </c>
      <c r="J44" s="11"/>
      <c r="K44" s="11"/>
      <c r="L44" s="24"/>
    </row>
    <row r="45" spans="1:12" x14ac:dyDescent="0.3">
      <c r="A45" s="25" t="s">
        <v>40</v>
      </c>
      <c r="B45" s="11"/>
      <c r="C45" s="11"/>
      <c r="F45" s="24"/>
      <c r="G45" s="24"/>
      <c r="I45" s="10"/>
      <c r="J45" s="11"/>
      <c r="K45" s="11"/>
      <c r="L45" s="24"/>
    </row>
    <row r="46" spans="1:12" x14ac:dyDescent="0.3">
      <c r="A46" s="19" t="s">
        <v>35</v>
      </c>
      <c r="B46" s="11"/>
      <c r="C46" s="11"/>
      <c r="F46" s="24"/>
      <c r="G46" s="24"/>
      <c r="I46" s="12"/>
      <c r="J46" s="15"/>
      <c r="K46" s="15"/>
      <c r="L46" s="24"/>
    </row>
    <row r="47" spans="1:12" x14ac:dyDescent="0.3">
      <c r="A47" s="26" t="s">
        <v>50</v>
      </c>
      <c r="B47" s="11">
        <v>107750.26</v>
      </c>
      <c r="C47" s="11">
        <v>107751.03</v>
      </c>
      <c r="F47" s="24"/>
      <c r="G47" s="24"/>
      <c r="I47" s="23"/>
      <c r="J47" s="24"/>
      <c r="K47" s="24"/>
      <c r="L47" s="24"/>
    </row>
    <row r="48" spans="1:12" x14ac:dyDescent="0.3">
      <c r="A48" s="26" t="s">
        <v>36</v>
      </c>
      <c r="B48" s="11">
        <v>12.03</v>
      </c>
      <c r="C48" s="11">
        <v>44.88</v>
      </c>
      <c r="F48" s="24"/>
      <c r="G48" s="24"/>
      <c r="I48" s="23"/>
      <c r="J48" s="24"/>
      <c r="K48" s="24"/>
      <c r="L48" s="24"/>
    </row>
    <row r="49" spans="1:12" x14ac:dyDescent="0.3">
      <c r="A49" s="26" t="s">
        <v>41</v>
      </c>
      <c r="B49" s="11"/>
      <c r="C49" s="11"/>
      <c r="F49" s="24"/>
      <c r="G49" s="24"/>
      <c r="I49" s="23"/>
      <c r="J49" s="24"/>
      <c r="K49" s="24"/>
      <c r="L49" s="24"/>
    </row>
    <row r="50" spans="1:12" x14ac:dyDescent="0.3">
      <c r="A50" s="27" t="s">
        <v>42</v>
      </c>
      <c r="B50" s="11">
        <v>9.35</v>
      </c>
      <c r="C50" s="11">
        <v>9.9600000000000009</v>
      </c>
      <c r="F50" s="24"/>
      <c r="G50" s="24"/>
      <c r="I50" s="23"/>
      <c r="J50" s="24"/>
      <c r="K50" s="24"/>
      <c r="L50" s="24"/>
    </row>
    <row r="51" spans="1:12" ht="24" x14ac:dyDescent="0.3">
      <c r="A51" s="27" t="s">
        <v>43</v>
      </c>
      <c r="B51" s="11">
        <v>2453.79</v>
      </c>
      <c r="C51" s="11">
        <v>3149.63</v>
      </c>
      <c r="F51" s="24"/>
      <c r="G51" s="24"/>
      <c r="I51" s="23"/>
      <c r="J51" s="24"/>
      <c r="K51" s="24"/>
      <c r="L51" s="24"/>
    </row>
    <row r="52" spans="1:12" x14ac:dyDescent="0.3">
      <c r="A52" s="26" t="s">
        <v>44</v>
      </c>
      <c r="B52" s="11">
        <v>61684.83</v>
      </c>
      <c r="C52" s="11">
        <v>43385.96</v>
      </c>
      <c r="F52" s="24"/>
      <c r="G52" s="24"/>
      <c r="I52" s="23"/>
      <c r="J52" s="24"/>
      <c r="K52" s="24"/>
      <c r="L52" s="24"/>
    </row>
    <row r="53" spans="1:12" x14ac:dyDescent="0.3">
      <c r="A53" s="19" t="s">
        <v>38</v>
      </c>
      <c r="B53" s="11"/>
      <c r="C53" s="11"/>
      <c r="F53" s="24"/>
      <c r="G53" s="24"/>
      <c r="I53" s="23"/>
      <c r="J53" s="24"/>
      <c r="K53" s="24"/>
      <c r="L53" s="24"/>
    </row>
    <row r="54" spans="1:12" x14ac:dyDescent="0.3">
      <c r="A54" s="19" t="s">
        <v>37</v>
      </c>
      <c r="B54" s="11">
        <v>20.21</v>
      </c>
      <c r="C54" s="11">
        <v>26.52</v>
      </c>
      <c r="F54" s="24"/>
      <c r="G54" s="24"/>
      <c r="I54" s="23"/>
      <c r="J54" s="24"/>
      <c r="K54" s="24"/>
      <c r="L54" s="24"/>
    </row>
    <row r="55" spans="1:12" x14ac:dyDescent="0.3">
      <c r="A55" s="19" t="s">
        <v>51</v>
      </c>
      <c r="B55" s="11"/>
      <c r="C55" s="11"/>
      <c r="F55" s="24"/>
      <c r="G55" s="24"/>
      <c r="I55" s="23"/>
      <c r="J55" s="24"/>
      <c r="K55" s="24"/>
      <c r="L55" s="24"/>
    </row>
    <row r="56" spans="1:12" x14ac:dyDescent="0.3">
      <c r="A56" s="19" t="s">
        <v>45</v>
      </c>
      <c r="B56" s="11">
        <v>1316.21</v>
      </c>
      <c r="C56" s="11">
        <v>799.76</v>
      </c>
      <c r="F56" s="24"/>
      <c r="G56" s="24"/>
      <c r="I56" s="23"/>
      <c r="J56" s="24"/>
      <c r="K56" s="24"/>
      <c r="L56" s="24"/>
    </row>
    <row r="57" spans="1:12" x14ac:dyDescent="0.3">
      <c r="A57" s="25" t="s">
        <v>46</v>
      </c>
      <c r="B57" s="15">
        <f>SUM(B47:B56)</f>
        <v>173246.68</v>
      </c>
      <c r="C57" s="15">
        <f>SUM(C47:C56)</f>
        <v>155167.74000000002</v>
      </c>
      <c r="F57" s="24"/>
      <c r="G57" s="24"/>
      <c r="I57" s="23"/>
      <c r="J57" s="24"/>
      <c r="K57" s="24"/>
      <c r="L57" s="24"/>
    </row>
    <row r="58" spans="1:12" x14ac:dyDescent="0.3">
      <c r="A58" s="8" t="s">
        <v>47</v>
      </c>
      <c r="B58" s="15">
        <f>B57+B44</f>
        <v>173299.87</v>
      </c>
      <c r="C58" s="15">
        <f>C57+C44</f>
        <v>155240.52000000002</v>
      </c>
      <c r="F58" s="24"/>
      <c r="G58" s="24"/>
      <c r="I58" s="23"/>
      <c r="J58" s="24"/>
      <c r="K58" s="24"/>
      <c r="L58" s="24"/>
    </row>
    <row r="59" spans="1:12" ht="12.6" thickBot="1" x14ac:dyDescent="0.35">
      <c r="A59" s="7" t="s">
        <v>48</v>
      </c>
      <c r="B59" s="21">
        <f>B58+B37</f>
        <v>87454.23</v>
      </c>
      <c r="C59" s="21">
        <f>C58+C37</f>
        <v>94484.780000000028</v>
      </c>
      <c r="F59" s="24"/>
      <c r="G59" s="24"/>
      <c r="I59" s="23"/>
      <c r="J59" s="24"/>
      <c r="K59" s="24"/>
      <c r="L59" s="24"/>
    </row>
    <row r="60" spans="1:12" ht="12.6" thickTop="1" x14ac:dyDescent="0.3">
      <c r="A60" s="28"/>
      <c r="I60" s="23"/>
      <c r="J60" s="24"/>
      <c r="K60" s="24"/>
      <c r="L60" s="24"/>
    </row>
    <row r="61" spans="1:12" x14ac:dyDescent="0.3">
      <c r="A61" s="28"/>
      <c r="I61" s="23"/>
      <c r="J61" s="24"/>
      <c r="K61" s="24"/>
      <c r="L61" s="24"/>
    </row>
    <row r="62" spans="1:12" x14ac:dyDescent="0.3">
      <c r="I62" s="23"/>
      <c r="J62" s="24"/>
      <c r="K62" s="24"/>
      <c r="L62" s="24"/>
    </row>
    <row r="63" spans="1:12" x14ac:dyDescent="0.3">
      <c r="J63" s="24"/>
      <c r="K63" s="24"/>
    </row>
    <row r="64" spans="1:12" x14ac:dyDescent="0.3">
      <c r="J64" s="24"/>
      <c r="K64" s="24"/>
    </row>
  </sheetData>
  <mergeCells count="6">
    <mergeCell ref="A1:K1"/>
    <mergeCell ref="A3:C3"/>
    <mergeCell ref="E3:G3"/>
    <mergeCell ref="E4:E5"/>
    <mergeCell ref="I3:K3"/>
    <mergeCell ref="I4:I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6724-F510-48BA-8862-6689C4BCCCDE}">
  <sheetPr codeName="Sheet3"/>
  <dimension ref="A1:K60"/>
  <sheetViews>
    <sheetView showGridLines="0" topLeftCell="A17" zoomScale="126" workbookViewId="0">
      <selection activeCell="F4" sqref="F4"/>
    </sheetView>
  </sheetViews>
  <sheetFormatPr defaultColWidth="8.77734375" defaultRowHeight="12" x14ac:dyDescent="0.25"/>
  <cols>
    <col min="1" max="1" width="31.109375" style="30" bestFit="1" customWidth="1"/>
    <col min="2" max="3" width="12.6640625" style="30" bestFit="1" customWidth="1"/>
    <col min="4" max="4" width="2.21875" style="30" customWidth="1"/>
    <col min="5" max="5" width="50.6640625" style="30" bestFit="1" customWidth="1"/>
    <col min="6" max="7" width="12.6640625" style="30" bestFit="1" customWidth="1"/>
    <col min="8" max="8" width="2.21875" style="30" customWidth="1"/>
    <col min="9" max="9" width="39.21875" style="30" bestFit="1" customWidth="1"/>
    <col min="10" max="11" width="12.6640625" style="30" bestFit="1" customWidth="1"/>
    <col min="12" max="16384" width="8.77734375" style="30"/>
  </cols>
  <sheetData>
    <row r="1" spans="1:11" x14ac:dyDescent="0.25">
      <c r="A1" s="46" t="s">
        <v>233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3"/>
      <c r="B2" s="4"/>
      <c r="C2" s="4"/>
      <c r="D2" s="5"/>
      <c r="E2" s="4"/>
      <c r="F2" s="4"/>
      <c r="G2" s="4"/>
      <c r="H2" s="5"/>
      <c r="I2" s="5"/>
      <c r="J2" s="5"/>
      <c r="K2" s="5"/>
    </row>
    <row r="3" spans="1:11" x14ac:dyDescent="0.25">
      <c r="A3" s="47" t="s">
        <v>3</v>
      </c>
      <c r="B3" s="47"/>
      <c r="C3" s="47"/>
      <c r="D3" s="2"/>
      <c r="E3" s="47" t="s">
        <v>52</v>
      </c>
      <c r="F3" s="47"/>
      <c r="G3" s="47"/>
      <c r="H3" s="2"/>
      <c r="I3" s="47" t="s">
        <v>80</v>
      </c>
      <c r="J3" s="47"/>
      <c r="K3" s="47"/>
    </row>
    <row r="4" spans="1:11" x14ac:dyDescent="0.25">
      <c r="A4" s="6" t="s">
        <v>0</v>
      </c>
      <c r="B4" s="6" t="s">
        <v>240</v>
      </c>
      <c r="C4" s="6" t="s">
        <v>1</v>
      </c>
      <c r="D4" s="2"/>
      <c r="E4" s="48" t="s">
        <v>0</v>
      </c>
      <c r="F4" s="6" t="s">
        <v>240</v>
      </c>
      <c r="G4" s="6" t="s">
        <v>1</v>
      </c>
      <c r="H4" s="2"/>
      <c r="I4" s="48" t="s">
        <v>0</v>
      </c>
      <c r="J4" s="6" t="s">
        <v>1</v>
      </c>
      <c r="K4" s="6" t="s">
        <v>2</v>
      </c>
    </row>
    <row r="5" spans="1:11" x14ac:dyDescent="0.25">
      <c r="A5" s="7" t="s">
        <v>4</v>
      </c>
      <c r="B5" s="6" t="s">
        <v>234</v>
      </c>
      <c r="C5" s="6" t="s">
        <v>234</v>
      </c>
      <c r="D5" s="2"/>
      <c r="E5" s="48"/>
      <c r="F5" s="6" t="s">
        <v>234</v>
      </c>
      <c r="G5" s="6" t="s">
        <v>234</v>
      </c>
      <c r="H5" s="2"/>
      <c r="I5" s="48"/>
      <c r="J5" s="6" t="s">
        <v>234</v>
      </c>
      <c r="K5" s="6" t="s">
        <v>234</v>
      </c>
    </row>
    <row r="6" spans="1:11" x14ac:dyDescent="0.25">
      <c r="A6" s="8" t="s">
        <v>5</v>
      </c>
      <c r="B6" s="9"/>
      <c r="C6" s="9"/>
      <c r="D6" s="2"/>
      <c r="E6" s="10" t="s">
        <v>53</v>
      </c>
      <c r="F6" s="11">
        <v>512.69000000000005</v>
      </c>
      <c r="G6" s="11">
        <v>277.17</v>
      </c>
      <c r="H6" s="2"/>
      <c r="I6" s="12" t="s">
        <v>95</v>
      </c>
      <c r="J6" s="9"/>
      <c r="K6" s="9"/>
    </row>
    <row r="7" spans="1:11" x14ac:dyDescent="0.25">
      <c r="A7" s="13" t="s">
        <v>6</v>
      </c>
      <c r="B7" s="14">
        <v>21442.080000000002</v>
      </c>
      <c r="C7" s="14">
        <v>2572.64</v>
      </c>
      <c r="D7" s="2"/>
      <c r="E7" s="10" t="s">
        <v>54</v>
      </c>
      <c r="F7" s="11">
        <v>810.8</v>
      </c>
      <c r="G7" s="11">
        <v>1330.76</v>
      </c>
      <c r="H7" s="2"/>
      <c r="I7" s="8" t="s">
        <v>81</v>
      </c>
      <c r="J7" s="15">
        <f>F18</f>
        <v>-1686.9999999999998</v>
      </c>
      <c r="K7" s="15">
        <f>G18</f>
        <v>-748.53</v>
      </c>
    </row>
    <row r="8" spans="1:11" x14ac:dyDescent="0.25">
      <c r="A8" s="13" t="s">
        <v>7</v>
      </c>
      <c r="B8" s="14">
        <v>112.53</v>
      </c>
      <c r="C8" s="14">
        <v>126.89</v>
      </c>
      <c r="D8" s="2"/>
      <c r="E8" s="12" t="s">
        <v>55</v>
      </c>
      <c r="F8" s="15">
        <f>SUM(F6:F7)</f>
        <v>1323.49</v>
      </c>
      <c r="G8" s="15">
        <f>SUM(G6:G7)</f>
        <v>1607.93</v>
      </c>
      <c r="H8" s="2"/>
      <c r="I8" s="16" t="s">
        <v>82</v>
      </c>
      <c r="J8" s="11"/>
      <c r="K8" s="11"/>
    </row>
    <row r="9" spans="1:11" x14ac:dyDescent="0.25">
      <c r="A9" s="13" t="s">
        <v>8</v>
      </c>
      <c r="B9" s="14">
        <v>167.09</v>
      </c>
      <c r="C9" s="14">
        <v>25.1</v>
      </c>
      <c r="D9" s="2"/>
      <c r="E9" s="12" t="s">
        <v>56</v>
      </c>
      <c r="F9" s="11"/>
      <c r="G9" s="11"/>
      <c r="H9" s="2"/>
      <c r="I9" s="13" t="s">
        <v>83</v>
      </c>
      <c r="J9" s="11"/>
      <c r="K9" s="11"/>
    </row>
    <row r="10" spans="1:11" x14ac:dyDescent="0.25">
      <c r="A10" s="13" t="s">
        <v>9</v>
      </c>
      <c r="B10" s="14">
        <v>20739.28</v>
      </c>
      <c r="C10" s="14">
        <v>18785.830000000002</v>
      </c>
      <c r="D10" s="2"/>
      <c r="E10" s="16" t="s">
        <v>57</v>
      </c>
      <c r="F10" s="11"/>
      <c r="G10" s="11"/>
      <c r="H10" s="2"/>
      <c r="I10" s="13" t="s">
        <v>84</v>
      </c>
      <c r="J10" s="11"/>
      <c r="K10" s="11"/>
    </row>
    <row r="11" spans="1:11" x14ac:dyDescent="0.25">
      <c r="A11" s="13" t="s">
        <v>10</v>
      </c>
      <c r="B11" s="14">
        <v>0.73</v>
      </c>
      <c r="C11" s="14">
        <v>1.3</v>
      </c>
      <c r="D11" s="2"/>
      <c r="E11" s="16" t="s">
        <v>58</v>
      </c>
      <c r="F11" s="11">
        <v>332.55</v>
      </c>
      <c r="G11" s="11">
        <v>335</v>
      </c>
      <c r="H11" s="2"/>
      <c r="I11" s="13" t="s">
        <v>85</v>
      </c>
      <c r="J11" s="11"/>
      <c r="K11" s="11"/>
    </row>
    <row r="12" spans="1:11" ht="24" x14ac:dyDescent="0.25">
      <c r="A12" s="17" t="s">
        <v>11</v>
      </c>
      <c r="B12" s="14"/>
      <c r="C12" s="14"/>
      <c r="D12" s="2"/>
      <c r="E12" s="18" t="s">
        <v>59</v>
      </c>
      <c r="F12" s="11"/>
      <c r="G12" s="11"/>
      <c r="H12" s="2"/>
      <c r="I12" s="13" t="s">
        <v>63</v>
      </c>
      <c r="J12" s="11"/>
      <c r="K12" s="11"/>
    </row>
    <row r="13" spans="1:11" x14ac:dyDescent="0.25">
      <c r="A13" s="13" t="s">
        <v>12</v>
      </c>
      <c r="B13" s="14"/>
      <c r="C13" s="14"/>
      <c r="D13" s="2"/>
      <c r="E13" s="16" t="s">
        <v>60</v>
      </c>
      <c r="F13" s="11">
        <v>357.21</v>
      </c>
      <c r="G13" s="11">
        <v>413.08</v>
      </c>
      <c r="H13" s="2"/>
      <c r="I13" s="13" t="s">
        <v>86</v>
      </c>
      <c r="J13" s="11"/>
      <c r="K13" s="11"/>
    </row>
    <row r="14" spans="1:11" x14ac:dyDescent="0.25">
      <c r="A14" s="19" t="s">
        <v>244</v>
      </c>
      <c r="B14" s="14">
        <v>11539.67</v>
      </c>
      <c r="C14" s="14">
        <v>10411.93</v>
      </c>
      <c r="D14" s="2"/>
      <c r="E14" s="16" t="s">
        <v>61</v>
      </c>
      <c r="F14" s="11">
        <v>259.81</v>
      </c>
      <c r="G14" s="11">
        <v>267.99</v>
      </c>
      <c r="H14" s="2"/>
      <c r="I14" s="13"/>
      <c r="J14" s="15">
        <f>SUM(J9:J13)</f>
        <v>0</v>
      </c>
      <c r="K14" s="15">
        <f t="shared" ref="K14" si="0">SUM(K9:K13)</f>
        <v>0</v>
      </c>
    </row>
    <row r="15" spans="1:11" x14ac:dyDescent="0.25">
      <c r="A15" s="19" t="s">
        <v>14</v>
      </c>
      <c r="B15" s="14">
        <v>4531.21</v>
      </c>
      <c r="C15" s="14">
        <v>1357.62</v>
      </c>
      <c r="D15" s="2"/>
      <c r="E15" s="16" t="s">
        <v>62</v>
      </c>
      <c r="F15" s="11">
        <v>2001.62</v>
      </c>
      <c r="G15" s="11">
        <v>1276.74</v>
      </c>
      <c r="H15" s="2"/>
      <c r="I15" s="8" t="s">
        <v>87</v>
      </c>
      <c r="J15" s="15">
        <f>J7+J14</f>
        <v>-1686.9999999999998</v>
      </c>
      <c r="K15" s="15">
        <f>K7+K14</f>
        <v>-748.53</v>
      </c>
    </row>
    <row r="16" spans="1:11" x14ac:dyDescent="0.25">
      <c r="A16" s="13" t="s">
        <v>15</v>
      </c>
      <c r="B16" s="14">
        <v>337.51</v>
      </c>
      <c r="C16" s="14">
        <v>336.13</v>
      </c>
      <c r="D16" s="2"/>
      <c r="E16" s="16" t="s">
        <v>63</v>
      </c>
      <c r="F16" s="11">
        <v>59.3</v>
      </c>
      <c r="G16" s="11">
        <v>63.65</v>
      </c>
      <c r="H16" s="2"/>
      <c r="I16" s="16" t="s">
        <v>82</v>
      </c>
      <c r="J16" s="11"/>
      <c r="K16" s="11"/>
    </row>
    <row r="17" spans="1:11" x14ac:dyDescent="0.25">
      <c r="A17" s="13" t="s">
        <v>26</v>
      </c>
      <c r="B17" s="14"/>
      <c r="C17" s="14"/>
      <c r="D17" s="2"/>
      <c r="E17" s="12" t="s">
        <v>64</v>
      </c>
      <c r="F17" s="15">
        <f>SUM(F10:F16)</f>
        <v>3010.49</v>
      </c>
      <c r="G17" s="15">
        <f t="shared" ref="G17" si="1">SUM(G10:G16)</f>
        <v>2356.46</v>
      </c>
      <c r="H17" s="2"/>
      <c r="I17" s="13" t="s">
        <v>88</v>
      </c>
      <c r="J17" s="11"/>
      <c r="K17" s="11"/>
    </row>
    <row r="18" spans="1:11" x14ac:dyDescent="0.25">
      <c r="A18" s="13" t="s">
        <v>16</v>
      </c>
      <c r="B18" s="14">
        <v>69.510000000000005</v>
      </c>
      <c r="C18" s="14">
        <v>640.13</v>
      </c>
      <c r="D18" s="2"/>
      <c r="E18" s="12" t="s">
        <v>65</v>
      </c>
      <c r="F18" s="15">
        <f>F8-F17</f>
        <v>-1686.9999999999998</v>
      </c>
      <c r="G18" s="15">
        <f>G8-G17</f>
        <v>-748.53</v>
      </c>
      <c r="H18" s="2"/>
      <c r="I18" s="13" t="s">
        <v>89</v>
      </c>
      <c r="J18" s="11"/>
      <c r="K18" s="11"/>
    </row>
    <row r="19" spans="1:11" x14ac:dyDescent="0.25">
      <c r="A19" s="8" t="s">
        <v>17</v>
      </c>
      <c r="B19" s="20">
        <f>SUM(B7:B18)</f>
        <v>58939.61</v>
      </c>
      <c r="C19" s="20">
        <f>SUM(C7:C18)</f>
        <v>34257.57</v>
      </c>
      <c r="D19" s="2"/>
      <c r="E19" s="12" t="s">
        <v>66</v>
      </c>
      <c r="F19" s="15"/>
      <c r="G19" s="15"/>
      <c r="H19" s="2"/>
      <c r="I19" s="13" t="s">
        <v>90</v>
      </c>
      <c r="J19" s="11"/>
      <c r="K19" s="11"/>
    </row>
    <row r="20" spans="1:11" x14ac:dyDescent="0.25">
      <c r="A20" s="8" t="s">
        <v>18</v>
      </c>
      <c r="B20" s="9"/>
      <c r="C20" s="9"/>
      <c r="D20" s="2"/>
      <c r="E20" s="16" t="s">
        <v>67</v>
      </c>
      <c r="F20" s="11">
        <v>235.73</v>
      </c>
      <c r="G20" s="11">
        <v>167.34</v>
      </c>
      <c r="H20" s="2"/>
      <c r="I20" s="13" t="s">
        <v>113</v>
      </c>
      <c r="J20" s="11"/>
      <c r="K20" s="11"/>
    </row>
    <row r="21" spans="1:11" x14ac:dyDescent="0.25">
      <c r="A21" s="13" t="s">
        <v>19</v>
      </c>
      <c r="B21" s="11"/>
      <c r="C21" s="11"/>
      <c r="D21" s="2"/>
      <c r="E21" s="16" t="s">
        <v>68</v>
      </c>
      <c r="F21" s="11">
        <v>-44.82</v>
      </c>
      <c r="G21" s="11">
        <v>-256.43</v>
      </c>
      <c r="H21" s="2"/>
      <c r="I21" s="13" t="s">
        <v>91</v>
      </c>
      <c r="J21" s="11"/>
      <c r="K21" s="11"/>
    </row>
    <row r="22" spans="1:11" x14ac:dyDescent="0.25">
      <c r="A22" s="13" t="s">
        <v>12</v>
      </c>
      <c r="B22" s="11"/>
      <c r="C22" s="11"/>
      <c r="D22" s="2"/>
      <c r="E22" s="10" t="s">
        <v>69</v>
      </c>
      <c r="F22" s="11"/>
      <c r="G22" s="11"/>
      <c r="H22" s="2"/>
      <c r="I22" s="13"/>
      <c r="J22" s="15">
        <f>SUM(J17:J21)</f>
        <v>0</v>
      </c>
      <c r="K22" s="15">
        <f>SUM(K17:K21)</f>
        <v>0</v>
      </c>
    </row>
    <row r="23" spans="1:11" x14ac:dyDescent="0.25">
      <c r="A23" s="19" t="s">
        <v>49</v>
      </c>
      <c r="B23" s="11">
        <v>7972.6</v>
      </c>
      <c r="C23" s="11">
        <v>7837.48</v>
      </c>
      <c r="D23" s="2"/>
      <c r="E23" s="12" t="s">
        <v>70</v>
      </c>
      <c r="F23" s="15">
        <f>SUM(F20:F22)</f>
        <v>190.91</v>
      </c>
      <c r="G23" s="15">
        <f t="shared" ref="G23" si="2">SUM(G20:G22)</f>
        <v>-89.09</v>
      </c>
      <c r="H23" s="2"/>
      <c r="I23" s="8" t="s">
        <v>92</v>
      </c>
      <c r="J23" s="15">
        <f>J15+J22</f>
        <v>-1686.9999999999998</v>
      </c>
      <c r="K23" s="15">
        <f>K15+K22</f>
        <v>-748.53</v>
      </c>
    </row>
    <row r="24" spans="1:11" x14ac:dyDescent="0.25">
      <c r="A24" s="19" t="s">
        <v>20</v>
      </c>
      <c r="B24" s="11">
        <v>29.85</v>
      </c>
      <c r="C24" s="11">
        <v>79.03</v>
      </c>
      <c r="D24" s="2"/>
      <c r="E24" s="12" t="s">
        <v>71</v>
      </c>
      <c r="F24" s="15">
        <f>F18-F23</f>
        <v>-1877.9099999999999</v>
      </c>
      <c r="G24" s="15">
        <f t="shared" ref="G24" si="3">G18-G23</f>
        <v>-659.43999999999994</v>
      </c>
      <c r="H24" s="2"/>
      <c r="I24" s="13" t="s">
        <v>93</v>
      </c>
      <c r="J24" s="11"/>
      <c r="K24" s="11"/>
    </row>
    <row r="25" spans="1:11" x14ac:dyDescent="0.25">
      <c r="A25" s="19" t="s">
        <v>21</v>
      </c>
      <c r="B25" s="11">
        <v>230.67</v>
      </c>
      <c r="C25" s="11">
        <v>102.97</v>
      </c>
      <c r="D25" s="2"/>
      <c r="E25" s="12" t="s">
        <v>72</v>
      </c>
      <c r="F25" s="15"/>
      <c r="G25" s="15"/>
      <c r="H25" s="2"/>
      <c r="I25" s="12" t="s">
        <v>94</v>
      </c>
      <c r="J25" s="15">
        <f>SUM(J23:J24)</f>
        <v>-1686.9999999999998</v>
      </c>
      <c r="K25" s="15">
        <f>SUM(K23:K24)</f>
        <v>-748.53</v>
      </c>
    </row>
    <row r="26" spans="1:11" x14ac:dyDescent="0.25">
      <c r="A26" s="19" t="s">
        <v>245</v>
      </c>
      <c r="B26" s="11">
        <v>82.71</v>
      </c>
      <c r="C26" s="11">
        <v>13.02</v>
      </c>
      <c r="D26" s="2"/>
      <c r="E26" s="16" t="s">
        <v>79</v>
      </c>
      <c r="F26" s="11"/>
      <c r="G26" s="11"/>
      <c r="H26" s="2"/>
      <c r="I26" s="12" t="s">
        <v>96</v>
      </c>
      <c r="J26" s="6"/>
      <c r="K26" s="6"/>
    </row>
    <row r="27" spans="1:11" x14ac:dyDescent="0.25">
      <c r="A27" s="19" t="s">
        <v>13</v>
      </c>
      <c r="B27" s="11">
        <v>273.2</v>
      </c>
      <c r="C27" s="11">
        <v>180.75</v>
      </c>
      <c r="D27" s="2"/>
      <c r="E27" s="13" t="s">
        <v>73</v>
      </c>
      <c r="F27" s="11">
        <v>6.96</v>
      </c>
      <c r="G27" s="11">
        <v>31.51</v>
      </c>
      <c r="H27" s="2"/>
      <c r="I27" s="16" t="s">
        <v>114</v>
      </c>
      <c r="J27" s="11"/>
      <c r="K27" s="11"/>
    </row>
    <row r="28" spans="1:11" x14ac:dyDescent="0.25">
      <c r="A28" s="19" t="s">
        <v>14</v>
      </c>
      <c r="B28" s="11">
        <v>18.989999999999998</v>
      </c>
      <c r="C28" s="11">
        <v>3053.76</v>
      </c>
      <c r="D28" s="2"/>
      <c r="E28" s="13" t="s">
        <v>74</v>
      </c>
      <c r="F28" s="11"/>
      <c r="G28" s="11"/>
      <c r="H28" s="2"/>
      <c r="I28" s="16" t="s">
        <v>97</v>
      </c>
      <c r="J28" s="11"/>
      <c r="K28" s="11"/>
    </row>
    <row r="29" spans="1:11" x14ac:dyDescent="0.25">
      <c r="A29" s="13" t="s">
        <v>23</v>
      </c>
      <c r="B29" s="11">
        <v>832.29</v>
      </c>
      <c r="C29" s="11">
        <v>256.47000000000003</v>
      </c>
      <c r="D29" s="2"/>
      <c r="E29" s="12" t="s">
        <v>75</v>
      </c>
      <c r="F29" s="15">
        <f>SUM(F27:F28)</f>
        <v>6.96</v>
      </c>
      <c r="G29" s="15">
        <f>SUM(G27:G28)</f>
        <v>31.51</v>
      </c>
      <c r="H29" s="2"/>
      <c r="I29" s="16" t="s">
        <v>98</v>
      </c>
      <c r="J29" s="11"/>
      <c r="K29" s="11"/>
    </row>
    <row r="30" spans="1:11" ht="12.6" thickBot="1" x14ac:dyDescent="0.3">
      <c r="A30" s="8" t="s">
        <v>24</v>
      </c>
      <c r="B30" s="15">
        <f>SUM(B21:B29)</f>
        <v>9440.3100000000013</v>
      </c>
      <c r="C30" s="15">
        <f>SUM(C21:C29)</f>
        <v>11523.48</v>
      </c>
      <c r="D30" s="2"/>
      <c r="E30" s="12" t="s">
        <v>76</v>
      </c>
      <c r="F30" s="21">
        <f>F24+F29</f>
        <v>-1870.9499999999998</v>
      </c>
      <c r="G30" s="21">
        <f>G24+G29</f>
        <v>-627.92999999999995</v>
      </c>
      <c r="H30" s="2"/>
      <c r="I30" s="16" t="s">
        <v>99</v>
      </c>
      <c r="J30" s="11"/>
      <c r="K30" s="11"/>
    </row>
    <row r="31" spans="1:11" ht="13.2" thickTop="1" thickBot="1" x14ac:dyDescent="0.3">
      <c r="A31" s="7" t="s">
        <v>25</v>
      </c>
      <c r="B31" s="21">
        <f>B30+B19</f>
        <v>68379.92</v>
      </c>
      <c r="C31" s="21">
        <f>C30+C19</f>
        <v>45781.05</v>
      </c>
      <c r="D31" s="2"/>
      <c r="E31" s="12" t="s">
        <v>77</v>
      </c>
      <c r="F31" s="22">
        <v>16202.45</v>
      </c>
      <c r="G31" s="22">
        <v>1909.75</v>
      </c>
      <c r="H31" s="2"/>
      <c r="I31" s="16" t="s">
        <v>100</v>
      </c>
      <c r="J31" s="11"/>
      <c r="K31" s="11"/>
    </row>
    <row r="32" spans="1:11" ht="12.6" thickTop="1" x14ac:dyDescent="0.25">
      <c r="A32" s="7" t="s">
        <v>27</v>
      </c>
      <c r="B32" s="6" t="s">
        <v>234</v>
      </c>
      <c r="C32" s="6" t="s">
        <v>234</v>
      </c>
      <c r="D32" s="2"/>
      <c r="E32" s="16" t="s">
        <v>78</v>
      </c>
      <c r="F32" s="11">
        <v>2.09</v>
      </c>
      <c r="G32" s="11">
        <v>3.08</v>
      </c>
      <c r="H32" s="2"/>
      <c r="I32" s="16" t="s">
        <v>101</v>
      </c>
      <c r="J32" s="11"/>
      <c r="K32" s="11"/>
    </row>
    <row r="33" spans="1:11" x14ac:dyDescent="0.25">
      <c r="A33" s="8" t="s">
        <v>28</v>
      </c>
      <c r="B33" s="9"/>
      <c r="C33" s="9"/>
      <c r="D33" s="2"/>
      <c r="E33" s="23"/>
      <c r="F33" s="24"/>
      <c r="G33" s="24"/>
      <c r="H33" s="2"/>
      <c r="I33" s="16" t="s">
        <v>102</v>
      </c>
      <c r="J33" s="11"/>
      <c r="K33" s="11"/>
    </row>
    <row r="34" spans="1:11" x14ac:dyDescent="0.25">
      <c r="A34" s="13" t="s">
        <v>29</v>
      </c>
      <c r="B34" s="11">
        <v>2504.0500000000002</v>
      </c>
      <c r="C34" s="11">
        <v>2504.0500000000002</v>
      </c>
      <c r="D34" s="2"/>
      <c r="E34" s="23"/>
      <c r="F34" s="24"/>
      <c r="G34" s="24"/>
      <c r="H34" s="2"/>
      <c r="I34" s="16" t="s">
        <v>103</v>
      </c>
      <c r="J34" s="11"/>
      <c r="K34" s="11"/>
    </row>
    <row r="35" spans="1:11" x14ac:dyDescent="0.25">
      <c r="A35" s="13" t="s">
        <v>30</v>
      </c>
      <c r="B35" s="11">
        <v>59399.71</v>
      </c>
      <c r="C35" s="11">
        <v>40880.33</v>
      </c>
      <c r="D35" s="2"/>
      <c r="E35" s="23"/>
      <c r="F35" s="24"/>
      <c r="G35" s="24"/>
      <c r="H35" s="2"/>
      <c r="I35" s="16" t="s">
        <v>104</v>
      </c>
      <c r="J35" s="11"/>
      <c r="K35" s="11"/>
    </row>
    <row r="36" spans="1:11" x14ac:dyDescent="0.25">
      <c r="A36" s="19" t="s">
        <v>31</v>
      </c>
      <c r="B36" s="11"/>
      <c r="C36" s="11"/>
      <c r="D36" s="2"/>
      <c r="E36" s="23"/>
      <c r="F36" s="24"/>
      <c r="G36" s="24"/>
      <c r="H36" s="2"/>
      <c r="I36" s="12" t="s">
        <v>105</v>
      </c>
      <c r="J36" s="15">
        <f>SUM(J27:J35)</f>
        <v>0</v>
      </c>
      <c r="K36" s="15">
        <f>SUM(K27:K35)</f>
        <v>0</v>
      </c>
    </row>
    <row r="37" spans="1:11" x14ac:dyDescent="0.25">
      <c r="A37" s="8" t="s">
        <v>32</v>
      </c>
      <c r="B37" s="15">
        <f>SUM(B34:B36)</f>
        <v>61903.76</v>
      </c>
      <c r="C37" s="15">
        <f>SUM(C34:C36)</f>
        <v>43384.380000000005</v>
      </c>
      <c r="D37" s="2"/>
      <c r="E37" s="23"/>
      <c r="F37" s="24"/>
      <c r="G37" s="24"/>
      <c r="H37" s="2"/>
      <c r="I37" s="12" t="s">
        <v>106</v>
      </c>
      <c r="J37" s="6"/>
      <c r="K37" s="6"/>
    </row>
    <row r="38" spans="1:11" x14ac:dyDescent="0.25">
      <c r="A38" s="8" t="s">
        <v>33</v>
      </c>
      <c r="B38" s="11"/>
      <c r="C38" s="11"/>
      <c r="D38" s="2"/>
      <c r="E38" s="23"/>
      <c r="F38" s="24"/>
      <c r="G38" s="24"/>
      <c r="H38" s="2"/>
      <c r="I38" s="16" t="s">
        <v>115</v>
      </c>
      <c r="J38" s="11"/>
      <c r="K38" s="11"/>
    </row>
    <row r="39" spans="1:11" x14ac:dyDescent="0.25">
      <c r="A39" s="25" t="s">
        <v>34</v>
      </c>
      <c r="B39" s="11"/>
      <c r="C39" s="11"/>
      <c r="D39" s="2"/>
      <c r="E39" s="23"/>
      <c r="F39" s="24"/>
      <c r="G39" s="24"/>
      <c r="H39" s="2"/>
      <c r="I39" s="16" t="s">
        <v>116</v>
      </c>
      <c r="J39" s="11"/>
      <c r="K39" s="11"/>
    </row>
    <row r="40" spans="1:11" x14ac:dyDescent="0.25">
      <c r="A40" s="19" t="s">
        <v>35</v>
      </c>
      <c r="B40" s="11"/>
      <c r="C40" s="11"/>
      <c r="D40" s="2"/>
      <c r="E40" s="2"/>
      <c r="F40" s="24"/>
      <c r="G40" s="24"/>
      <c r="H40" s="2"/>
      <c r="I40" s="16" t="s">
        <v>107</v>
      </c>
      <c r="J40" s="11"/>
      <c r="K40" s="11"/>
    </row>
    <row r="41" spans="1:11" x14ac:dyDescent="0.25">
      <c r="A41" s="26" t="s">
        <v>36</v>
      </c>
      <c r="B41" s="11">
        <v>114.85</v>
      </c>
      <c r="C41" s="11">
        <v>127.23</v>
      </c>
      <c r="D41" s="2"/>
      <c r="E41" s="2"/>
      <c r="F41" s="24"/>
      <c r="G41" s="24"/>
      <c r="H41" s="2"/>
      <c r="I41" s="16" t="s">
        <v>63</v>
      </c>
      <c r="J41" s="11"/>
      <c r="K41" s="11"/>
    </row>
    <row r="42" spans="1:11" x14ac:dyDescent="0.25">
      <c r="A42" s="19" t="s">
        <v>246</v>
      </c>
      <c r="B42" s="11">
        <v>4214.96</v>
      </c>
      <c r="C42" s="11"/>
      <c r="D42" s="2"/>
      <c r="E42" s="2"/>
      <c r="F42" s="24"/>
      <c r="G42" s="24"/>
      <c r="H42" s="2"/>
      <c r="I42" s="12" t="s">
        <v>108</v>
      </c>
      <c r="J42" s="15">
        <f>SUM(J38:J41)</f>
        <v>0</v>
      </c>
      <c r="K42" s="15">
        <f>SUM(K38:K41)</f>
        <v>0</v>
      </c>
    </row>
    <row r="43" spans="1:11" x14ac:dyDescent="0.25">
      <c r="A43" s="19" t="s">
        <v>50</v>
      </c>
      <c r="B43" s="11">
        <v>250</v>
      </c>
      <c r="C43" s="11">
        <v>261.51</v>
      </c>
      <c r="D43" s="2"/>
      <c r="E43" s="2"/>
      <c r="F43" s="24"/>
      <c r="G43" s="24"/>
      <c r="H43" s="2"/>
      <c r="I43" s="12" t="s">
        <v>109</v>
      </c>
      <c r="J43" s="15">
        <f>J42+J36+J25</f>
        <v>-1686.9999999999998</v>
      </c>
      <c r="K43" s="15">
        <f>K42+K36+K25</f>
        <v>-748.53</v>
      </c>
    </row>
    <row r="44" spans="1:11" x14ac:dyDescent="0.25">
      <c r="A44" s="25" t="s">
        <v>39</v>
      </c>
      <c r="B44" s="15">
        <f>SUM(B41:B43)</f>
        <v>4579.8100000000004</v>
      </c>
      <c r="C44" s="15">
        <f>SUM(C41:C43)</f>
        <v>388.74</v>
      </c>
      <c r="D44" s="2"/>
      <c r="E44" s="2"/>
      <c r="F44" s="24"/>
      <c r="G44" s="24"/>
      <c r="H44" s="2"/>
      <c r="I44" s="10" t="s">
        <v>110</v>
      </c>
      <c r="J44" s="11"/>
      <c r="K44" s="11"/>
    </row>
    <row r="45" spans="1:11" x14ac:dyDescent="0.25">
      <c r="A45" s="25" t="s">
        <v>40</v>
      </c>
      <c r="B45" s="11"/>
      <c r="C45" s="11"/>
      <c r="D45" s="2"/>
      <c r="E45" s="2"/>
      <c r="F45" s="24"/>
      <c r="G45" s="24"/>
      <c r="H45" s="2"/>
      <c r="I45" s="10" t="s">
        <v>111</v>
      </c>
      <c r="J45" s="11"/>
      <c r="K45" s="11"/>
    </row>
    <row r="46" spans="1:11" x14ac:dyDescent="0.25">
      <c r="A46" s="19" t="s">
        <v>35</v>
      </c>
      <c r="B46" s="11"/>
      <c r="C46" s="11"/>
      <c r="D46" s="2"/>
      <c r="E46" s="2"/>
      <c r="F46" s="24"/>
      <c r="G46" s="24"/>
      <c r="H46" s="2"/>
      <c r="I46" s="12" t="s">
        <v>112</v>
      </c>
      <c r="J46" s="15">
        <f>J45-J44</f>
        <v>0</v>
      </c>
      <c r="K46" s="15">
        <f>K45-K44</f>
        <v>0</v>
      </c>
    </row>
    <row r="47" spans="1:11" x14ac:dyDescent="0.25">
      <c r="A47" s="26" t="s">
        <v>50</v>
      </c>
      <c r="B47" s="11">
        <v>11.51</v>
      </c>
      <c r="C47" s="11">
        <v>30.23</v>
      </c>
      <c r="D47" s="2"/>
      <c r="E47" s="2"/>
      <c r="F47" s="24"/>
      <c r="G47" s="24"/>
      <c r="H47" s="2"/>
      <c r="I47" s="23"/>
      <c r="J47" s="24"/>
      <c r="K47" s="24"/>
    </row>
    <row r="48" spans="1:11" x14ac:dyDescent="0.25">
      <c r="A48" s="26" t="s">
        <v>36</v>
      </c>
      <c r="B48" s="11">
        <v>17.16</v>
      </c>
      <c r="C48" s="11">
        <v>14.85</v>
      </c>
      <c r="D48" s="2"/>
      <c r="E48" s="2"/>
      <c r="F48" s="24"/>
      <c r="G48" s="24"/>
      <c r="H48" s="2"/>
      <c r="I48" s="23"/>
      <c r="J48" s="24"/>
      <c r="K48" s="24"/>
    </row>
    <row r="49" spans="1:11" x14ac:dyDescent="0.25">
      <c r="A49" s="26" t="s">
        <v>41</v>
      </c>
      <c r="B49" s="11"/>
      <c r="C49" s="11"/>
      <c r="D49" s="2"/>
      <c r="E49" s="2"/>
      <c r="F49" s="24"/>
      <c r="G49" s="24"/>
      <c r="H49" s="2"/>
      <c r="I49" s="23"/>
      <c r="J49" s="24"/>
      <c r="K49" s="24"/>
    </row>
    <row r="50" spans="1:11" ht="24" x14ac:dyDescent="0.25">
      <c r="A50" s="27" t="s">
        <v>42</v>
      </c>
      <c r="B50" s="11"/>
      <c r="C50" s="11"/>
      <c r="D50" s="2"/>
      <c r="E50" s="2"/>
      <c r="F50" s="24"/>
      <c r="G50" s="24"/>
      <c r="H50" s="2"/>
      <c r="I50" s="23"/>
      <c r="J50" s="24"/>
      <c r="K50" s="24"/>
    </row>
    <row r="51" spans="1:11" ht="24" x14ac:dyDescent="0.25">
      <c r="A51" s="27" t="s">
        <v>43</v>
      </c>
      <c r="B51" s="11">
        <v>136.9</v>
      </c>
      <c r="C51" s="11">
        <v>138.68</v>
      </c>
      <c r="D51" s="2"/>
      <c r="E51" s="2"/>
      <c r="F51" s="24"/>
      <c r="G51" s="24"/>
      <c r="H51" s="2"/>
      <c r="I51" s="23"/>
      <c r="J51" s="24"/>
      <c r="K51" s="24"/>
    </row>
    <row r="52" spans="1:11" x14ac:dyDescent="0.25">
      <c r="A52" s="26" t="s">
        <v>44</v>
      </c>
      <c r="B52" s="11">
        <v>955.44</v>
      </c>
      <c r="C52" s="11">
        <v>668.26</v>
      </c>
      <c r="D52" s="2"/>
      <c r="E52" s="2"/>
      <c r="F52" s="24"/>
      <c r="G52" s="24"/>
      <c r="H52" s="2"/>
      <c r="I52" s="23"/>
      <c r="J52" s="24"/>
      <c r="K52" s="24"/>
    </row>
    <row r="53" spans="1:11" x14ac:dyDescent="0.25">
      <c r="A53" s="19" t="s">
        <v>38</v>
      </c>
      <c r="B53" s="11"/>
      <c r="C53" s="11"/>
      <c r="D53" s="2"/>
      <c r="E53" s="2"/>
      <c r="F53" s="24"/>
      <c r="G53" s="24"/>
      <c r="H53" s="2"/>
      <c r="I53" s="23"/>
      <c r="J53" s="24"/>
      <c r="K53" s="24"/>
    </row>
    <row r="54" spans="1:11" x14ac:dyDescent="0.25">
      <c r="A54" s="19" t="s">
        <v>37</v>
      </c>
      <c r="B54" s="11"/>
      <c r="C54" s="11"/>
      <c r="D54" s="2"/>
      <c r="E54" s="2"/>
      <c r="F54" s="24"/>
      <c r="G54" s="24"/>
      <c r="H54" s="2"/>
      <c r="I54" s="23"/>
      <c r="J54" s="24"/>
      <c r="K54" s="24"/>
    </row>
    <row r="55" spans="1:11" x14ac:dyDescent="0.25">
      <c r="A55" s="19" t="s">
        <v>51</v>
      </c>
      <c r="B55" s="11"/>
      <c r="C55" s="11"/>
      <c r="D55" s="2"/>
      <c r="E55" s="2"/>
      <c r="F55" s="24"/>
      <c r="G55" s="24"/>
      <c r="H55" s="2"/>
      <c r="I55" s="23"/>
      <c r="J55" s="24"/>
      <c r="K55" s="24"/>
    </row>
    <row r="56" spans="1:11" x14ac:dyDescent="0.25">
      <c r="A56" s="19" t="s">
        <v>45</v>
      </c>
      <c r="B56" s="11">
        <v>1324.54</v>
      </c>
      <c r="C56" s="11">
        <v>1334.99</v>
      </c>
      <c r="D56" s="2"/>
      <c r="E56" s="2"/>
      <c r="F56" s="24"/>
      <c r="G56" s="24"/>
      <c r="H56" s="2"/>
      <c r="I56" s="23"/>
      <c r="J56" s="24"/>
      <c r="K56" s="24"/>
    </row>
    <row r="57" spans="1:11" x14ac:dyDescent="0.25">
      <c r="A57" s="25" t="s">
        <v>46</v>
      </c>
      <c r="B57" s="15">
        <f>SUM(B47:B56)</f>
        <v>2445.5500000000002</v>
      </c>
      <c r="C57" s="15">
        <f>SUM(C47:C56)</f>
        <v>2187.0100000000002</v>
      </c>
      <c r="D57" s="2"/>
      <c r="E57" s="2"/>
      <c r="F57" s="24"/>
      <c r="G57" s="24"/>
      <c r="H57" s="2"/>
      <c r="I57" s="23"/>
      <c r="J57" s="24"/>
      <c r="K57" s="24"/>
    </row>
    <row r="58" spans="1:11" x14ac:dyDescent="0.25">
      <c r="A58" s="8" t="s">
        <v>47</v>
      </c>
      <c r="B58" s="15">
        <f>B57+B44</f>
        <v>7025.3600000000006</v>
      </c>
      <c r="C58" s="15">
        <f>C57+C44</f>
        <v>2575.75</v>
      </c>
      <c r="D58" s="2"/>
      <c r="E58" s="2"/>
      <c r="F58" s="24"/>
      <c r="G58" s="24"/>
      <c r="H58" s="2"/>
      <c r="I58" s="23"/>
      <c r="J58" s="24"/>
      <c r="K58" s="24"/>
    </row>
    <row r="59" spans="1:11" ht="12.6" thickBot="1" x14ac:dyDescent="0.3">
      <c r="A59" s="7" t="s">
        <v>48</v>
      </c>
      <c r="B59" s="21">
        <f>B58+B37</f>
        <v>68929.119999999995</v>
      </c>
      <c r="C59" s="21">
        <f>C58+C37</f>
        <v>45960.130000000005</v>
      </c>
      <c r="D59" s="2"/>
      <c r="E59" s="2"/>
      <c r="F59" s="24"/>
      <c r="G59" s="24"/>
      <c r="H59" s="2"/>
      <c r="I59" s="23"/>
      <c r="J59" s="24"/>
      <c r="K59" s="24"/>
    </row>
    <row r="60" spans="1:11" ht="12.6" thickTop="1" x14ac:dyDescent="0.25">
      <c r="D60" s="2"/>
    </row>
  </sheetData>
  <mergeCells count="6">
    <mergeCell ref="A1:K1"/>
    <mergeCell ref="A3:C3"/>
    <mergeCell ref="E3:G3"/>
    <mergeCell ref="E4:E5"/>
    <mergeCell ref="I3:K3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D812-60F9-4B08-A20E-6CF1C34F79E7}">
  <sheetPr codeName="Sheet4">
    <tabColor rgb="FF00B050"/>
    <pageSetUpPr fitToPage="1"/>
  </sheetPr>
  <dimension ref="A1:F22"/>
  <sheetViews>
    <sheetView zoomScale="137" workbookViewId="0">
      <selection activeCell="G19" sqref="G19"/>
    </sheetView>
  </sheetViews>
  <sheetFormatPr defaultColWidth="8.77734375" defaultRowHeight="12" x14ac:dyDescent="0.3"/>
  <cols>
    <col min="1" max="1" width="24.88671875" style="2" customWidth="1"/>
    <col min="2" max="2" width="14.44140625" style="2" customWidth="1"/>
    <col min="3" max="5" width="14.21875" style="2" customWidth="1"/>
    <col min="6" max="6" width="8.77734375" style="2"/>
    <col min="7" max="7" width="8.77734375" style="2" customWidth="1"/>
    <col min="8" max="8" width="4" style="2" customWidth="1"/>
    <col min="9" max="9" width="37.77734375" style="2" customWidth="1"/>
    <col min="10" max="10" width="4.44140625" style="2" customWidth="1"/>
    <col min="11" max="11" width="16.21875" style="2" customWidth="1"/>
    <col min="12" max="12" width="4.5546875" style="2" customWidth="1"/>
    <col min="13" max="13" width="37.6640625" style="2" customWidth="1"/>
    <col min="14" max="16384" width="8.77734375" style="2"/>
  </cols>
  <sheetData>
    <row r="1" spans="1:6" x14ac:dyDescent="0.3">
      <c r="A1" s="47" t="s">
        <v>119</v>
      </c>
      <c r="B1" s="47"/>
      <c r="C1" s="47"/>
      <c r="D1" s="47"/>
      <c r="E1" s="47"/>
    </row>
    <row r="2" spans="1:6" x14ac:dyDescent="0.3">
      <c r="A2" s="47" t="s">
        <v>0</v>
      </c>
      <c r="B2" s="47" t="s">
        <v>235</v>
      </c>
      <c r="C2" s="47"/>
      <c r="D2" s="47" t="s">
        <v>236</v>
      </c>
      <c r="E2" s="47"/>
    </row>
    <row r="3" spans="1:6" x14ac:dyDescent="0.3">
      <c r="A3" s="47"/>
      <c r="B3" s="6" t="s">
        <v>240</v>
      </c>
      <c r="C3" s="6" t="s">
        <v>1</v>
      </c>
      <c r="D3" s="6" t="s">
        <v>240</v>
      </c>
      <c r="E3" s="6" t="s">
        <v>1</v>
      </c>
    </row>
    <row r="4" spans="1:6" x14ac:dyDescent="0.3">
      <c r="A4" s="47" t="s">
        <v>121</v>
      </c>
      <c r="B4" s="47"/>
      <c r="C4" s="47"/>
      <c r="D4" s="47"/>
      <c r="E4" s="47"/>
    </row>
    <row r="5" spans="1:6" x14ac:dyDescent="0.3">
      <c r="A5" s="9" t="s">
        <v>18</v>
      </c>
      <c r="B5" s="11">
        <f>'Company 1'!B30</f>
        <v>3529.3</v>
      </c>
      <c r="C5" s="11">
        <f>'Company 1'!C30</f>
        <v>3720.8500000000004</v>
      </c>
      <c r="D5" s="11">
        <f>'Company 2'!B29</f>
        <v>832.29</v>
      </c>
      <c r="E5" s="11">
        <f>'Company 2'!C29</f>
        <v>256.47000000000003</v>
      </c>
      <c r="F5" s="42" t="s">
        <v>251</v>
      </c>
    </row>
    <row r="6" spans="1:6" x14ac:dyDescent="0.3">
      <c r="A6" s="9" t="s">
        <v>40</v>
      </c>
      <c r="B6" s="11">
        <f>'Company 1'!B57</f>
        <v>173246.68</v>
      </c>
      <c r="C6" s="11">
        <f>'Company 1'!C57</f>
        <v>155167.74000000002</v>
      </c>
      <c r="D6" s="11">
        <f>'Company 2'!B52</f>
        <v>955.44</v>
      </c>
      <c r="E6" s="11">
        <f>'Company 2'!C52</f>
        <v>668.26</v>
      </c>
      <c r="F6" s="42" t="s">
        <v>251</v>
      </c>
    </row>
    <row r="7" spans="1:6" x14ac:dyDescent="0.3">
      <c r="A7" s="6" t="s">
        <v>120</v>
      </c>
      <c r="B7" s="31">
        <f>B5/B6</f>
        <v>2.0371530351981349E-2</v>
      </c>
      <c r="C7" s="31">
        <f>C5/C6</f>
        <v>2.3979533374656355E-2</v>
      </c>
      <c r="D7" s="31">
        <f>D5/D6</f>
        <v>0.8711065059030394</v>
      </c>
      <c r="E7" s="31">
        <f>E5/E6</f>
        <v>0.38378774728399129</v>
      </c>
    </row>
    <row r="8" spans="1:6" x14ac:dyDescent="0.3">
      <c r="A8" s="47" t="s">
        <v>126</v>
      </c>
      <c r="B8" s="47"/>
      <c r="C8" s="47"/>
      <c r="D8" s="47"/>
      <c r="E8" s="47"/>
    </row>
    <row r="9" spans="1:6" x14ac:dyDescent="0.3">
      <c r="A9" s="9" t="s">
        <v>18</v>
      </c>
      <c r="B9" s="11">
        <f>'Company 1'!B30</f>
        <v>3529.3</v>
      </c>
      <c r="C9" s="11">
        <f>'Company 1'!C30</f>
        <v>3720.8500000000004</v>
      </c>
      <c r="D9" s="11">
        <f>'Company 2'!B29</f>
        <v>832.29</v>
      </c>
      <c r="E9" s="11">
        <f>'Company 2'!C29</f>
        <v>256.47000000000003</v>
      </c>
      <c r="F9" s="42" t="s">
        <v>251</v>
      </c>
    </row>
    <row r="10" spans="1:6" x14ac:dyDescent="0.3">
      <c r="A10" s="9" t="s">
        <v>122</v>
      </c>
      <c r="B10" s="11">
        <f>'Company 1'!B21</f>
        <v>1161.22</v>
      </c>
      <c r="C10" s="11">
        <f>'Company 1'!C21</f>
        <v>1148.83</v>
      </c>
      <c r="D10" s="11"/>
      <c r="E10" s="11">
        <v>0</v>
      </c>
      <c r="F10" s="42" t="s">
        <v>251</v>
      </c>
    </row>
    <row r="11" spans="1:6" x14ac:dyDescent="0.3">
      <c r="A11" s="9" t="s">
        <v>40</v>
      </c>
      <c r="B11" s="11">
        <f>'Company 1'!B57</f>
        <v>173246.68</v>
      </c>
      <c r="C11" s="11">
        <f>'Company 1'!C57</f>
        <v>155167.74000000002</v>
      </c>
      <c r="D11" s="11">
        <f>'Company 2'!B52</f>
        <v>955.44</v>
      </c>
      <c r="E11" s="11">
        <f>'Company 2'!C52</f>
        <v>668.26</v>
      </c>
      <c r="F11" s="42" t="s">
        <v>251</v>
      </c>
    </row>
    <row r="12" spans="1:6" x14ac:dyDescent="0.3">
      <c r="A12" s="6" t="s">
        <v>123</v>
      </c>
      <c r="B12" s="31">
        <f>(B9-B10)/B11</f>
        <v>1.3668833365233897E-2</v>
      </c>
      <c r="C12" s="31">
        <f>(C9-C10)/C11</f>
        <v>1.6575739261266549E-2</v>
      </c>
      <c r="D12" s="31">
        <f>(D9-D10)/D11</f>
        <v>0.8711065059030394</v>
      </c>
      <c r="E12" s="31">
        <f>(E9-E10)/E11</f>
        <v>0.38378774728399129</v>
      </c>
    </row>
    <row r="13" spans="1:6" x14ac:dyDescent="0.3">
      <c r="A13" s="47" t="s">
        <v>127</v>
      </c>
      <c r="B13" s="47"/>
      <c r="C13" s="47"/>
      <c r="D13" s="47"/>
      <c r="E13" s="47"/>
    </row>
    <row r="14" spans="1:6" x14ac:dyDescent="0.3">
      <c r="A14" s="9" t="s">
        <v>124</v>
      </c>
      <c r="B14" s="11">
        <f>'Company 1'!B27</f>
        <v>2.0099999999999998</v>
      </c>
      <c r="C14" s="11">
        <f>'Company 1'!C25</f>
        <v>264.85000000000002</v>
      </c>
      <c r="D14" s="11">
        <f>'Company 2'!B23</f>
        <v>7972.6</v>
      </c>
      <c r="E14" s="11">
        <f>'Company 2'!C23</f>
        <v>7837.48</v>
      </c>
      <c r="F14" s="42" t="s">
        <v>251</v>
      </c>
    </row>
    <row r="15" spans="1:6" x14ac:dyDescent="0.3">
      <c r="A15" s="9" t="s">
        <v>128</v>
      </c>
      <c r="B15" s="11">
        <f>'Company 1'!B25</f>
        <v>522.15</v>
      </c>
      <c r="C15" s="11">
        <f>'Company 1'!C25</f>
        <v>264.85000000000002</v>
      </c>
      <c r="D15" s="11">
        <f>'Company 2'!B25</f>
        <v>230.67</v>
      </c>
      <c r="E15" s="11">
        <f>'Company 2'!C25</f>
        <v>102.97</v>
      </c>
      <c r="F15" s="42" t="s">
        <v>251</v>
      </c>
    </row>
    <row r="16" spans="1:6" x14ac:dyDescent="0.3">
      <c r="A16" s="9" t="s">
        <v>40</v>
      </c>
      <c r="B16" s="11">
        <f>'Company 1'!B57</f>
        <v>173246.68</v>
      </c>
      <c r="C16" s="11">
        <f>'Company 1'!C57</f>
        <v>155167.74000000002</v>
      </c>
      <c r="D16" s="11">
        <f>'Company 2'!B57</f>
        <v>2445.5500000000002</v>
      </c>
      <c r="E16" s="11">
        <f>'Company 2'!C57</f>
        <v>2187.0100000000002</v>
      </c>
      <c r="F16" s="42" t="s">
        <v>251</v>
      </c>
    </row>
    <row r="17" spans="1:6" x14ac:dyDescent="0.3">
      <c r="A17" s="6" t="s">
        <v>125</v>
      </c>
      <c r="B17" s="31">
        <f>(B14+B15)/(B16)</f>
        <v>3.0255125235300324E-3</v>
      </c>
      <c r="C17" s="31">
        <f>(C14+C15)/C16</f>
        <v>3.4137250436205358E-3</v>
      </c>
      <c r="D17" s="31">
        <f>(D14+D15)/D16</f>
        <v>3.3543660935167958</v>
      </c>
      <c r="E17" s="31">
        <f>(E14+E15)/E16</f>
        <v>3.630733284255673</v>
      </c>
    </row>
    <row r="18" spans="1:6" x14ac:dyDescent="0.3">
      <c r="A18" s="47" t="s">
        <v>129</v>
      </c>
      <c r="B18" s="47"/>
      <c r="C18" s="47"/>
      <c r="D18" s="47"/>
      <c r="E18" s="47"/>
    </row>
    <row r="19" spans="1:6" x14ac:dyDescent="0.3">
      <c r="A19" s="9" t="s">
        <v>18</v>
      </c>
      <c r="B19" s="11">
        <f>'Company 1'!B30</f>
        <v>3529.3</v>
      </c>
      <c r="C19" s="11">
        <f>'Company 1'!C30</f>
        <v>3720.8500000000004</v>
      </c>
      <c r="D19" s="11">
        <f>'Company 2'!B29</f>
        <v>832.29</v>
      </c>
      <c r="E19" s="11">
        <f>'Company 2'!C29</f>
        <v>256.47000000000003</v>
      </c>
      <c r="F19" s="42" t="s">
        <v>251</v>
      </c>
    </row>
    <row r="20" spans="1:6" x14ac:dyDescent="0.3">
      <c r="A20" s="9" t="s">
        <v>40</v>
      </c>
      <c r="B20" s="11">
        <f>'Company 1'!B57</f>
        <v>173246.68</v>
      </c>
      <c r="C20" s="11">
        <f>'Company 1'!C57</f>
        <v>155167.74000000002</v>
      </c>
      <c r="D20" s="11">
        <f>'Company 2'!B57</f>
        <v>2445.5500000000002</v>
      </c>
      <c r="E20" s="11">
        <f>'Company 2'!C57</f>
        <v>2187.0100000000002</v>
      </c>
      <c r="F20" s="42" t="s">
        <v>251</v>
      </c>
    </row>
    <row r="21" spans="1:6" x14ac:dyDescent="0.3">
      <c r="A21" s="9" t="s">
        <v>130</v>
      </c>
      <c r="B21" s="11">
        <f>'Company 1'!B47</f>
        <v>107750.26</v>
      </c>
      <c r="C21" s="11">
        <f>'Company 1'!C47</f>
        <v>107751.03</v>
      </c>
      <c r="D21" s="11">
        <v>0</v>
      </c>
      <c r="E21" s="11">
        <v>0</v>
      </c>
      <c r="F21" s="42" t="s">
        <v>251</v>
      </c>
    </row>
    <row r="22" spans="1:6" x14ac:dyDescent="0.3">
      <c r="A22" s="6" t="s">
        <v>131</v>
      </c>
      <c r="B22" s="31">
        <f>B19/(B20-B21)</f>
        <v>5.3885387934180226E-2</v>
      </c>
      <c r="C22" s="31">
        <f>C19/(C20-C21)</f>
        <v>7.8471281537668872E-2</v>
      </c>
      <c r="D22" s="31">
        <f>D19/(D20-D21)</f>
        <v>0.34032835149557356</v>
      </c>
      <c r="E22" s="31">
        <f>E19/(E20-E21)</f>
        <v>0.11726969698355288</v>
      </c>
    </row>
  </sheetData>
  <mergeCells count="8">
    <mergeCell ref="A18:E18"/>
    <mergeCell ref="B2:C2"/>
    <mergeCell ref="D2:E2"/>
    <mergeCell ref="A1:E1"/>
    <mergeCell ref="A2:A3"/>
    <mergeCell ref="A4:E4"/>
    <mergeCell ref="A8:E8"/>
    <mergeCell ref="A13:E13"/>
  </mergeCells>
  <pageMargins left="0.7" right="0.7" top="0.75" bottom="0.75" header="0.3" footer="0.3"/>
  <pageSetup paperSize="9" fitToWidth="4" fitToHeight="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2A22-52C6-4479-8F8D-43FC2096187A}">
  <sheetPr codeName="Sheet5">
    <tabColor rgb="FFFFFF00"/>
  </sheetPr>
  <dimension ref="A1:N50"/>
  <sheetViews>
    <sheetView topLeftCell="A30" zoomScale="128" workbookViewId="0">
      <selection activeCell="F13" sqref="F13"/>
    </sheetView>
  </sheetViews>
  <sheetFormatPr defaultColWidth="8.77734375" defaultRowHeight="12" x14ac:dyDescent="0.25"/>
  <cols>
    <col min="1" max="1" width="23.5546875" style="30" customWidth="1"/>
    <col min="2" max="2" width="15.44140625" style="30" customWidth="1"/>
    <col min="3" max="3" width="15.5546875" style="30" customWidth="1"/>
    <col min="4" max="4" width="16.44140625" style="30" customWidth="1"/>
    <col min="5" max="5" width="15" style="30" customWidth="1"/>
    <col min="6" max="6" width="8.77734375" style="30"/>
    <col min="7" max="7" width="41" style="30" bestFit="1" customWidth="1"/>
    <col min="8" max="8" width="2.5546875" style="30" customWidth="1"/>
    <col min="9" max="9" width="8.77734375" style="30" hidden="1" customWidth="1"/>
    <col min="10" max="10" width="37" style="30" customWidth="1"/>
    <col min="11" max="11" width="3.88671875" style="30" customWidth="1"/>
    <col min="12" max="12" width="18.88671875" style="30" customWidth="1"/>
    <col min="13" max="13" width="4.21875" style="30" customWidth="1"/>
    <col min="14" max="14" width="30.21875" style="30" customWidth="1"/>
    <col min="15" max="16384" width="8.77734375" style="30"/>
  </cols>
  <sheetData>
    <row r="1" spans="1:14" x14ac:dyDescent="0.25">
      <c r="A1" s="47" t="s">
        <v>159</v>
      </c>
      <c r="B1" s="47"/>
      <c r="C1" s="47"/>
      <c r="D1" s="47"/>
      <c r="E1" s="47"/>
    </row>
    <row r="2" spans="1:14" x14ac:dyDescent="0.25">
      <c r="A2" s="47" t="s">
        <v>0</v>
      </c>
      <c r="B2" s="47" t="s">
        <v>235</v>
      </c>
      <c r="C2" s="47"/>
      <c r="D2" s="47" t="s">
        <v>236</v>
      </c>
      <c r="E2" s="47"/>
    </row>
    <row r="3" spans="1:14" x14ac:dyDescent="0.25">
      <c r="A3" s="47"/>
      <c r="B3" s="6" t="s">
        <v>240</v>
      </c>
      <c r="C3" s="6" t="s">
        <v>1</v>
      </c>
      <c r="D3" s="6" t="s">
        <v>240</v>
      </c>
      <c r="E3" s="6" t="s">
        <v>1</v>
      </c>
    </row>
    <row r="4" spans="1:14" x14ac:dyDescent="0.25">
      <c r="A4" s="47" t="s">
        <v>132</v>
      </c>
      <c r="B4" s="47"/>
      <c r="C4" s="47"/>
      <c r="D4" s="47"/>
      <c r="E4" s="47"/>
    </row>
    <row r="5" spans="1:14" x14ac:dyDescent="0.25">
      <c r="A5" s="9" t="s">
        <v>133</v>
      </c>
      <c r="B5" s="11">
        <f>'Company 1'!B58</f>
        <v>173299.87</v>
      </c>
      <c r="C5" s="11">
        <f>'Company 1'!C58</f>
        <v>155240.52000000002</v>
      </c>
      <c r="D5" s="11">
        <f>'Company 2'!B58</f>
        <v>7025.3600000000006</v>
      </c>
      <c r="E5" s="11">
        <f>'Company 2'!C58</f>
        <v>2575.75</v>
      </c>
      <c r="F5" s="41" t="s">
        <v>251</v>
      </c>
      <c r="G5" s="30" t="s">
        <v>249</v>
      </c>
    </row>
    <row r="6" spans="1:14" x14ac:dyDescent="0.25">
      <c r="A6" s="9" t="s">
        <v>134</v>
      </c>
      <c r="B6" s="11">
        <f>'Company 1'!B31</f>
        <v>76794.100000000006</v>
      </c>
      <c r="C6" s="11">
        <f>'Company 1'!C31</f>
        <v>94424.23</v>
      </c>
      <c r="D6" s="11">
        <f>'Company 2'!B30</f>
        <v>9440.3100000000013</v>
      </c>
      <c r="E6" s="11">
        <f>'Company 2'!C30</f>
        <v>11523.48</v>
      </c>
      <c r="F6" s="41" t="s">
        <v>251</v>
      </c>
    </row>
    <row r="7" spans="1:14" x14ac:dyDescent="0.25">
      <c r="A7" s="6" t="s">
        <v>135</v>
      </c>
      <c r="B7" s="31">
        <f>B5/B6</f>
        <v>2.2566820888583887</v>
      </c>
      <c r="C7" s="31">
        <f>C5/C6</f>
        <v>1.6440750430265625</v>
      </c>
      <c r="D7" s="31">
        <f>D5/D6</f>
        <v>0.74418742604850896</v>
      </c>
      <c r="E7" s="31">
        <f>E5/E6</f>
        <v>0.22352188748537768</v>
      </c>
    </row>
    <row r="8" spans="1:14" x14ac:dyDescent="0.25">
      <c r="A8" s="47" t="s">
        <v>237</v>
      </c>
      <c r="B8" s="47"/>
      <c r="C8" s="47"/>
      <c r="D8" s="47"/>
      <c r="E8" s="47"/>
    </row>
    <row r="9" spans="1:14" x14ac:dyDescent="0.25">
      <c r="A9" s="9" t="s">
        <v>238</v>
      </c>
      <c r="B9" s="11">
        <f>'Company 1'!B19</f>
        <v>73264.800000000003</v>
      </c>
      <c r="C9" s="11">
        <f>'Company 1'!C19</f>
        <v>90703.37999999999</v>
      </c>
      <c r="D9" s="11">
        <f>'Company 2'!B19</f>
        <v>58939.61</v>
      </c>
      <c r="E9" s="11">
        <f>'Company 2'!C19</f>
        <v>34257.57</v>
      </c>
      <c r="F9" s="41" t="s">
        <v>251</v>
      </c>
      <c r="G9" s="30" t="s">
        <v>250</v>
      </c>
    </row>
    <row r="10" spans="1:14" x14ac:dyDescent="0.25">
      <c r="A10" s="9" t="s">
        <v>32</v>
      </c>
      <c r="B10" s="11">
        <f>'Company 1'!B37</f>
        <v>-85845.64</v>
      </c>
      <c r="C10" s="11">
        <f>'Company 1'!C37</f>
        <v>-60755.74</v>
      </c>
      <c r="D10" s="11">
        <f>'Company 2'!B35</f>
        <v>59399.71</v>
      </c>
      <c r="E10" s="11">
        <f>'Company 2'!C35</f>
        <v>40880.33</v>
      </c>
      <c r="F10" s="43"/>
      <c r="J10" s="39"/>
      <c r="N10" s="39"/>
    </row>
    <row r="11" spans="1:14" x14ac:dyDescent="0.25">
      <c r="A11" s="6" t="s">
        <v>136</v>
      </c>
      <c r="B11" s="31">
        <f>B9/B10</f>
        <v>-0.85344811920558816</v>
      </c>
      <c r="C11" s="31">
        <f>C9/C10</f>
        <v>-1.4929186937728023</v>
      </c>
      <c r="D11" s="31">
        <f>D9/D10</f>
        <v>0.9922541709378716</v>
      </c>
      <c r="E11" s="31">
        <f>E9/E10</f>
        <v>0.83799641539097158</v>
      </c>
    </row>
    <row r="12" spans="1:14" x14ac:dyDescent="0.25">
      <c r="A12" s="49" t="s">
        <v>137</v>
      </c>
      <c r="B12" s="49"/>
      <c r="C12" s="49"/>
      <c r="D12" s="49"/>
      <c r="E12" s="49"/>
    </row>
    <row r="13" spans="1:14" x14ac:dyDescent="0.25">
      <c r="A13" s="9" t="s">
        <v>133</v>
      </c>
      <c r="B13" s="11">
        <f>'Company 1'!B58</f>
        <v>173299.87</v>
      </c>
      <c r="C13" s="11">
        <f>'Company 1'!C58</f>
        <v>155240.52000000002</v>
      </c>
      <c r="D13" s="11">
        <f>'Company 2'!B58</f>
        <v>7025.3600000000006</v>
      </c>
      <c r="E13" s="11">
        <f>'Company 2'!C58</f>
        <v>2575.75</v>
      </c>
      <c r="F13" s="41" t="s">
        <v>251</v>
      </c>
      <c r="G13" s="30" t="s">
        <v>249</v>
      </c>
    </row>
    <row r="14" spans="1:14" x14ac:dyDescent="0.25">
      <c r="A14" s="9" t="s">
        <v>32</v>
      </c>
      <c r="B14" s="11">
        <f>'Company 1'!B37</f>
        <v>-85845.64</v>
      </c>
      <c r="C14" s="11">
        <f>'Company 1'!C37</f>
        <v>-60755.74</v>
      </c>
      <c r="D14" s="11">
        <f>'Company 2'!B35</f>
        <v>59399.71</v>
      </c>
      <c r="E14" s="11">
        <f>'Company 2'!C35</f>
        <v>40880.33</v>
      </c>
      <c r="F14" s="43"/>
    </row>
    <row r="15" spans="1:14" x14ac:dyDescent="0.25">
      <c r="A15" s="6" t="s">
        <v>138</v>
      </c>
      <c r="B15" s="31">
        <f>B13/(B13+B14)</f>
        <v>1.9816064929049173</v>
      </c>
      <c r="C15" s="31">
        <f>C13/(C13+C14)</f>
        <v>1.6430214474754556</v>
      </c>
      <c r="D15" s="31">
        <f>D13/(D13+D14)</f>
        <v>0.10576368229645824</v>
      </c>
      <c r="E15" s="31">
        <f>E13/(E13+E14)</f>
        <v>5.9272488452709035E-2</v>
      </c>
    </row>
    <row r="16" spans="1:14" x14ac:dyDescent="0.25">
      <c r="A16" s="47" t="s">
        <v>139</v>
      </c>
      <c r="B16" s="47"/>
      <c r="C16" s="47"/>
      <c r="D16" s="47"/>
      <c r="E16" s="47"/>
    </row>
    <row r="17" spans="1:7" x14ac:dyDescent="0.25">
      <c r="A17" s="9" t="s">
        <v>133</v>
      </c>
      <c r="B17" s="11">
        <f>'Company 1'!B58</f>
        <v>173299.87</v>
      </c>
      <c r="C17" s="11">
        <f>'Company 1'!C58</f>
        <v>155240.52000000002</v>
      </c>
      <c r="D17" s="11">
        <f>'Company 2'!B58</f>
        <v>7025.3600000000006</v>
      </c>
      <c r="E17" s="11">
        <f>'Company 2'!C58</f>
        <v>2575.75</v>
      </c>
      <c r="F17" s="41" t="s">
        <v>251</v>
      </c>
      <c r="G17" s="30" t="s">
        <v>249</v>
      </c>
    </row>
    <row r="18" spans="1:7" x14ac:dyDescent="0.25">
      <c r="A18" s="9" t="s">
        <v>81</v>
      </c>
      <c r="B18" s="11">
        <f>'Company 1'!F18</f>
        <v>-25212.14</v>
      </c>
      <c r="C18" s="11">
        <f>'Company 1'!G18</f>
        <v>-2664.45</v>
      </c>
      <c r="D18" s="11">
        <f>'Company 2'!F15</f>
        <v>2001.62</v>
      </c>
      <c r="E18" s="11">
        <f>'Company 2'!G15</f>
        <v>1276.74</v>
      </c>
      <c r="F18" s="41" t="s">
        <v>252</v>
      </c>
    </row>
    <row r="19" spans="1:7" x14ac:dyDescent="0.25">
      <c r="A19" s="9" t="s">
        <v>146</v>
      </c>
      <c r="B19" s="11">
        <f>'Company 1'!F16</f>
        <v>18815.63</v>
      </c>
      <c r="C19" s="11">
        <f>'Company 1'!G16</f>
        <v>16265.6</v>
      </c>
      <c r="D19" s="11">
        <f>'Company 2'!F11</f>
        <v>332.55</v>
      </c>
      <c r="E19" s="11">
        <f>'Company 2'!G11</f>
        <v>335</v>
      </c>
      <c r="F19" s="41" t="s">
        <v>252</v>
      </c>
    </row>
    <row r="20" spans="1:7" x14ac:dyDescent="0.25">
      <c r="A20" s="9" t="s">
        <v>140</v>
      </c>
      <c r="B20" s="11">
        <f>'Company 1'!F14</f>
        <v>9146.4500000000007</v>
      </c>
      <c r="C20" s="11">
        <f>'Company 1'!G14</f>
        <v>9561.0400000000009</v>
      </c>
      <c r="D20" s="11">
        <f>'Company 2'!F14</f>
        <v>259.81</v>
      </c>
      <c r="E20" s="11">
        <f>'Company 2'!G14</f>
        <v>267.99</v>
      </c>
      <c r="F20" s="41" t="s">
        <v>252</v>
      </c>
    </row>
    <row r="21" spans="1:7" x14ac:dyDescent="0.25">
      <c r="A21" s="9" t="s">
        <v>141</v>
      </c>
      <c r="B21" s="11">
        <f>B18+B20+B19</f>
        <v>2749.9400000000023</v>
      </c>
      <c r="C21" s="11">
        <f>C18+C20+C19</f>
        <v>23162.190000000002</v>
      </c>
      <c r="D21" s="11">
        <f>D18+D20+D19</f>
        <v>2593.98</v>
      </c>
      <c r="E21" s="11">
        <f>E18+E20+E19</f>
        <v>1879.73</v>
      </c>
      <c r="F21" s="41" t="s">
        <v>256</v>
      </c>
    </row>
    <row r="22" spans="1:7" x14ac:dyDescent="0.25">
      <c r="A22" s="6" t="s">
        <v>142</v>
      </c>
      <c r="B22" s="31">
        <f>B17/B21</f>
        <v>63.019509516571219</v>
      </c>
      <c r="C22" s="31">
        <f>C17/C21</f>
        <v>6.702324780169751</v>
      </c>
      <c r="D22" s="31">
        <f>D17/D21</f>
        <v>2.7083323695633736</v>
      </c>
      <c r="E22" s="31">
        <f>E17/E21</f>
        <v>1.370276582275114</v>
      </c>
    </row>
    <row r="23" spans="1:7" x14ac:dyDescent="0.25">
      <c r="A23" s="47" t="s">
        <v>143</v>
      </c>
      <c r="B23" s="47"/>
      <c r="C23" s="47"/>
      <c r="D23" s="47"/>
      <c r="E23" s="47"/>
    </row>
    <row r="24" spans="1:7" x14ac:dyDescent="0.25">
      <c r="A24" s="9" t="s">
        <v>134</v>
      </c>
      <c r="B24" s="11">
        <f>'Company 1'!B31</f>
        <v>76794.100000000006</v>
      </c>
      <c r="C24" s="11">
        <f>'Company 1'!C31</f>
        <v>94424.23</v>
      </c>
      <c r="D24" s="11">
        <f>'Company 2'!B30</f>
        <v>9440.3100000000013</v>
      </c>
      <c r="E24" s="11">
        <f>'Company 2'!C30</f>
        <v>11523.48</v>
      </c>
      <c r="F24" s="41" t="s">
        <v>251</v>
      </c>
    </row>
    <row r="25" spans="1:7" x14ac:dyDescent="0.25">
      <c r="A25" s="9" t="s">
        <v>32</v>
      </c>
      <c r="B25" s="11">
        <f>'Company 1'!B37</f>
        <v>-85845.64</v>
      </c>
      <c r="C25" s="11">
        <f>'Company 1'!C37</f>
        <v>-60755.74</v>
      </c>
      <c r="D25" s="11">
        <f>'Company 2'!B35</f>
        <v>59399.71</v>
      </c>
      <c r="E25" s="11">
        <f>'Company 2'!C35</f>
        <v>40880.33</v>
      </c>
      <c r="F25" s="43"/>
    </row>
    <row r="26" spans="1:7" x14ac:dyDescent="0.25">
      <c r="A26" s="6" t="s">
        <v>144</v>
      </c>
      <c r="B26" s="31">
        <f>B24/B25</f>
        <v>-0.89456028285187239</v>
      </c>
      <c r="C26" s="31">
        <f>C24/C25</f>
        <v>-1.5541614668836228</v>
      </c>
      <c r="D26" s="31">
        <f>D24/D25</f>
        <v>0.15892855369159212</v>
      </c>
      <c r="E26" s="31">
        <f>E24/E25</f>
        <v>0.28188324311472041</v>
      </c>
    </row>
    <row r="27" spans="1:7" x14ac:dyDescent="0.25">
      <c r="A27" s="47" t="s">
        <v>148</v>
      </c>
      <c r="B27" s="47"/>
      <c r="C27" s="47"/>
      <c r="D27" s="47"/>
      <c r="E27" s="47"/>
    </row>
    <row r="28" spans="1:7" x14ac:dyDescent="0.25">
      <c r="A28" s="9" t="s">
        <v>150</v>
      </c>
      <c r="B28" s="11">
        <f>'Company 1'!F18</f>
        <v>-25212.14</v>
      </c>
      <c r="C28" s="11">
        <f>'Company 1'!G18</f>
        <v>-2664.45</v>
      </c>
      <c r="D28" s="11">
        <f>'Company 2'!F15</f>
        <v>2001.62</v>
      </c>
      <c r="E28" s="11">
        <f>'Company 2'!G15</f>
        <v>1276.74</v>
      </c>
      <c r="F28" s="41" t="s">
        <v>252</v>
      </c>
    </row>
    <row r="29" spans="1:7" x14ac:dyDescent="0.25">
      <c r="A29" s="9" t="s">
        <v>140</v>
      </c>
      <c r="B29" s="11">
        <f>'Company 1'!F14</f>
        <v>9146.4500000000007</v>
      </c>
      <c r="C29" s="11">
        <f>'Company 1'!G14</f>
        <v>9561.0400000000009</v>
      </c>
      <c r="D29" s="11">
        <f>'Company 2'!F14</f>
        <v>259.81</v>
      </c>
      <c r="E29" s="11">
        <f>'Company 2'!G14</f>
        <v>267.99</v>
      </c>
      <c r="F29" s="41" t="s">
        <v>252</v>
      </c>
    </row>
    <row r="30" spans="1:7" x14ac:dyDescent="0.25">
      <c r="A30" s="9" t="s">
        <v>118</v>
      </c>
      <c r="B30" s="11">
        <f>'Company 1'!F16</f>
        <v>18815.63</v>
      </c>
      <c r="C30" s="11">
        <f>'Company 1'!G16</f>
        <v>16265.6</v>
      </c>
      <c r="D30" s="11">
        <f>'Company 2'!F11</f>
        <v>332.55</v>
      </c>
      <c r="E30" s="11">
        <f>'Company 2'!G11</f>
        <v>335</v>
      </c>
      <c r="F30" s="41" t="s">
        <v>252</v>
      </c>
    </row>
    <row r="31" spans="1:7" x14ac:dyDescent="0.25">
      <c r="A31" s="9" t="s">
        <v>141</v>
      </c>
      <c r="B31" s="11">
        <f>B28+B29+B30</f>
        <v>2749.9400000000023</v>
      </c>
      <c r="C31" s="11">
        <f>C28+C29+C30</f>
        <v>23162.190000000002</v>
      </c>
      <c r="D31" s="11">
        <f>D28+D29+D30</f>
        <v>2593.98</v>
      </c>
      <c r="E31" s="11">
        <f>E28+E29+E30</f>
        <v>1879.73</v>
      </c>
      <c r="F31" s="41" t="s">
        <v>252</v>
      </c>
    </row>
    <row r="32" spans="1:7" x14ac:dyDescent="0.25">
      <c r="A32" s="31" t="s">
        <v>145</v>
      </c>
      <c r="B32" s="31">
        <f>B31/B30</f>
        <v>0.14615189605662962</v>
      </c>
      <c r="C32" s="31">
        <f>C31/C30</f>
        <v>1.4239984999016331</v>
      </c>
      <c r="D32" s="31">
        <f>D31/D30</f>
        <v>7.800270635994587</v>
      </c>
      <c r="E32" s="31">
        <f>E31/E30</f>
        <v>5.6111343283582089</v>
      </c>
    </row>
    <row r="33" spans="1:7" x14ac:dyDescent="0.25">
      <c r="A33" s="47" t="s">
        <v>149</v>
      </c>
      <c r="B33" s="47"/>
      <c r="C33" s="47"/>
      <c r="D33" s="47"/>
      <c r="E33" s="47"/>
    </row>
    <row r="34" spans="1:7" x14ac:dyDescent="0.25">
      <c r="A34" s="9" t="s">
        <v>81</v>
      </c>
      <c r="B34" s="11">
        <f>'Company 1'!F18</f>
        <v>-25212.14</v>
      </c>
      <c r="C34" s="11">
        <f>'Company 1'!G18</f>
        <v>-2664.45</v>
      </c>
      <c r="D34" s="11">
        <f>'Company 2'!F15</f>
        <v>2001.62</v>
      </c>
      <c r="E34" s="11">
        <f>'Company 2'!G15</f>
        <v>1276.74</v>
      </c>
      <c r="F34" s="41" t="s">
        <v>252</v>
      </c>
    </row>
    <row r="35" spans="1:7" x14ac:dyDescent="0.25">
      <c r="A35" s="9" t="s">
        <v>140</v>
      </c>
      <c r="B35" s="11">
        <f>'Company 1'!F14</f>
        <v>9146.4500000000007</v>
      </c>
      <c r="C35" s="11">
        <f>'Company 1'!G14</f>
        <v>9561.0400000000009</v>
      </c>
      <c r="D35" s="11">
        <f>'Company 2'!F14</f>
        <v>259.81</v>
      </c>
      <c r="E35" s="11">
        <f>'Company 2'!G14</f>
        <v>267.99</v>
      </c>
      <c r="F35" s="41" t="s">
        <v>252</v>
      </c>
    </row>
    <row r="36" spans="1:7" x14ac:dyDescent="0.25">
      <c r="A36" s="9" t="s">
        <v>147</v>
      </c>
      <c r="B36" s="11">
        <f>'Company 1'!B44</f>
        <v>53.19</v>
      </c>
      <c r="C36" s="11">
        <f>'Company 1'!C44</f>
        <v>72.78</v>
      </c>
      <c r="D36" s="11">
        <f>'Company 2'!B41</f>
        <v>114.85</v>
      </c>
      <c r="E36" s="11">
        <f>'Company 2'!C41</f>
        <v>127.23</v>
      </c>
      <c r="F36" s="41" t="s">
        <v>251</v>
      </c>
      <c r="G36" s="30" t="s">
        <v>253</v>
      </c>
    </row>
    <row r="37" spans="1:7" x14ac:dyDescent="0.25">
      <c r="A37" s="9" t="s">
        <v>118</v>
      </c>
      <c r="B37" s="11">
        <f>'Company 1'!F16</f>
        <v>18815.63</v>
      </c>
      <c r="C37" s="11">
        <f>'Company 1'!G16</f>
        <v>16265.6</v>
      </c>
      <c r="D37" s="11">
        <f>'Company 2'!F11</f>
        <v>332.55</v>
      </c>
      <c r="E37" s="11">
        <f>'Company 2'!G11</f>
        <v>335</v>
      </c>
      <c r="F37" s="41" t="s">
        <v>252</v>
      </c>
    </row>
    <row r="38" spans="1:7" x14ac:dyDescent="0.25">
      <c r="A38" s="9" t="s">
        <v>141</v>
      </c>
      <c r="B38" s="11">
        <f>B34+B35+B37</f>
        <v>2749.9400000000023</v>
      </c>
      <c r="C38" s="11">
        <f>C34+C35+C37</f>
        <v>23162.190000000002</v>
      </c>
      <c r="D38" s="11">
        <f>D34+D35+D37</f>
        <v>2593.98</v>
      </c>
      <c r="E38" s="11">
        <f>E34+E35+E37</f>
        <v>1879.73</v>
      </c>
      <c r="F38" s="41" t="s">
        <v>252</v>
      </c>
    </row>
    <row r="39" spans="1:7" x14ac:dyDescent="0.25">
      <c r="A39" s="31" t="s">
        <v>145</v>
      </c>
      <c r="B39" s="31">
        <f>B38/(B37+B36)</f>
        <v>0.145739903184195</v>
      </c>
      <c r="C39" s="31">
        <f>C38/(C37+C36)</f>
        <v>1.4176552387690824</v>
      </c>
      <c r="D39" s="31">
        <f>D38/(D37+D36)</f>
        <v>5.7978989718372826</v>
      </c>
      <c r="E39" s="31">
        <f>E38/(E37+E36)</f>
        <v>4.0666551283992813</v>
      </c>
    </row>
    <row r="40" spans="1:7" x14ac:dyDescent="0.25">
      <c r="A40" s="47" t="s">
        <v>151</v>
      </c>
      <c r="B40" s="47"/>
      <c r="C40" s="47"/>
      <c r="D40" s="47"/>
      <c r="E40" s="47"/>
    </row>
    <row r="41" spans="1:7" x14ac:dyDescent="0.25">
      <c r="A41" s="9" t="s">
        <v>152</v>
      </c>
      <c r="B41" s="11">
        <f>'Company 1'!B27</f>
        <v>2.0099999999999998</v>
      </c>
      <c r="C41" s="11">
        <f>'Company 1'!C25</f>
        <v>264.85000000000002</v>
      </c>
      <c r="D41" s="11">
        <f>'Company 2'!B25</f>
        <v>230.67</v>
      </c>
      <c r="E41" s="11">
        <f>'Company 2'!C25</f>
        <v>102.97</v>
      </c>
      <c r="F41" s="44" t="s">
        <v>251</v>
      </c>
      <c r="G41" s="30" t="s">
        <v>254</v>
      </c>
    </row>
    <row r="42" spans="1:7" x14ac:dyDescent="0.25">
      <c r="A42" s="9" t="s">
        <v>118</v>
      </c>
      <c r="B42" s="11">
        <f>'Company 1'!F16</f>
        <v>18815.63</v>
      </c>
      <c r="C42" s="11">
        <f>'Company 1'!G16</f>
        <v>16265.6</v>
      </c>
      <c r="D42" s="11">
        <f>'Company 2'!F16</f>
        <v>59.3</v>
      </c>
      <c r="E42" s="11">
        <f>'Company 2'!G16</f>
        <v>63.65</v>
      </c>
      <c r="F42" s="41" t="s">
        <v>252</v>
      </c>
    </row>
    <row r="43" spans="1:7" x14ac:dyDescent="0.25">
      <c r="A43" s="6" t="s">
        <v>153</v>
      </c>
      <c r="B43" s="31">
        <f>B41/B42</f>
        <v>1.0682608023223243E-4</v>
      </c>
      <c r="C43" s="31">
        <f>C41/C42</f>
        <v>1.6282830021640764E-2</v>
      </c>
      <c r="D43" s="31">
        <f>D41/D42</f>
        <v>3.8898819561551434</v>
      </c>
      <c r="E43" s="31">
        <f>E41/E42</f>
        <v>1.6177533385703065</v>
      </c>
    </row>
    <row r="44" spans="1:7" x14ac:dyDescent="0.25">
      <c r="A44" s="47" t="s">
        <v>154</v>
      </c>
      <c r="B44" s="47"/>
      <c r="C44" s="47"/>
      <c r="D44" s="47"/>
      <c r="E44" s="47"/>
    </row>
    <row r="45" spans="1:7" x14ac:dyDescent="0.25">
      <c r="A45" s="9" t="s">
        <v>155</v>
      </c>
      <c r="B45" s="11">
        <f>'Company 1'!B31</f>
        <v>76794.100000000006</v>
      </c>
      <c r="C45" s="11">
        <f>'Company 1'!C31</f>
        <v>94424.23</v>
      </c>
      <c r="D45" s="11">
        <f>'Company 2'!B31</f>
        <v>68379.92</v>
      </c>
      <c r="E45" s="11">
        <f>'Company 2'!C31</f>
        <v>45781.05</v>
      </c>
      <c r="F45" s="41" t="s">
        <v>251</v>
      </c>
    </row>
    <row r="46" spans="1:7" x14ac:dyDescent="0.25">
      <c r="A46" s="9" t="s">
        <v>10</v>
      </c>
      <c r="B46" s="11">
        <f>'Company 1'!B11</f>
        <v>564.87</v>
      </c>
      <c r="C46" s="11">
        <f>'Company 1'!C11</f>
        <v>927.98</v>
      </c>
      <c r="D46" s="11">
        <f>1013</f>
        <v>1013</v>
      </c>
      <c r="E46" s="11">
        <f>'Company 2'!C10+'Company 2'!C11</f>
        <v>18787.13</v>
      </c>
      <c r="F46" s="41" t="s">
        <v>251</v>
      </c>
    </row>
    <row r="47" spans="1:7" x14ac:dyDescent="0.25">
      <c r="A47" s="9" t="s">
        <v>40</v>
      </c>
      <c r="B47" s="11">
        <f>'Company 1'!B57</f>
        <v>173246.68</v>
      </c>
      <c r="C47" s="11">
        <f>'Company 1'!C57</f>
        <v>155167.74000000002</v>
      </c>
      <c r="D47" s="11">
        <v>156786</v>
      </c>
      <c r="E47" s="11">
        <f>'Company 2'!C57</f>
        <v>2187.0100000000002</v>
      </c>
      <c r="F47" s="41" t="s">
        <v>251</v>
      </c>
    </row>
    <row r="48" spans="1:7" x14ac:dyDescent="0.25">
      <c r="A48" s="9" t="s">
        <v>157</v>
      </c>
      <c r="B48" s="11">
        <f>'Company 1'!B47</f>
        <v>107750.26</v>
      </c>
      <c r="C48" s="11">
        <f>'Company 1'!C47</f>
        <v>107751.03</v>
      </c>
      <c r="D48" s="11">
        <f>102345</f>
        <v>102345</v>
      </c>
      <c r="E48" s="11">
        <f>'Company 2'!C47</f>
        <v>30.23</v>
      </c>
      <c r="F48" s="41" t="s">
        <v>251</v>
      </c>
    </row>
    <row r="49" spans="1:6" x14ac:dyDescent="0.25">
      <c r="A49" s="9" t="s">
        <v>118</v>
      </c>
      <c r="B49" s="11">
        <f>'Company 1'!F16</f>
        <v>18815.63</v>
      </c>
      <c r="C49" s="11">
        <f>'Company 1'!G16</f>
        <v>16265.6</v>
      </c>
      <c r="D49" s="11">
        <f>19002</f>
        <v>19002</v>
      </c>
      <c r="E49" s="11">
        <f>21345</f>
        <v>21345</v>
      </c>
      <c r="F49" s="41" t="s">
        <v>252</v>
      </c>
    </row>
    <row r="50" spans="1:6" x14ac:dyDescent="0.25">
      <c r="A50" s="6" t="s">
        <v>156</v>
      </c>
      <c r="B50" s="31">
        <f>((B45-B46)-(B47-B48))/B49</f>
        <v>0.57041991153099902</v>
      </c>
      <c r="C50" s="31">
        <f>((C45-C46)-(C47-C48))/C49</f>
        <v>2.8329443734015332</v>
      </c>
      <c r="D50" s="31">
        <f>((D45-D46)-(D47-D48))/D49</f>
        <v>0.68023997473950104</v>
      </c>
      <c r="E50" s="31">
        <f>((E45-E46)-(E47-E48))/E49</f>
        <v>1.1636045912391662</v>
      </c>
    </row>
  </sheetData>
  <mergeCells count="13">
    <mergeCell ref="A8:E8"/>
    <mergeCell ref="A44:E44"/>
    <mergeCell ref="A12:E12"/>
    <mergeCell ref="A16:E16"/>
    <mergeCell ref="A23:E23"/>
    <mergeCell ref="A27:E27"/>
    <mergeCell ref="A33:E33"/>
    <mergeCell ref="A40:E40"/>
    <mergeCell ref="A1:E1"/>
    <mergeCell ref="A2:A3"/>
    <mergeCell ref="B2:C2"/>
    <mergeCell ref="D2:E2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DB19-FC04-4D11-841E-FFE018067866}">
  <sheetPr codeName="Sheet6">
    <tabColor rgb="FFFFFF00"/>
  </sheetPr>
  <dimension ref="A1:G41"/>
  <sheetViews>
    <sheetView topLeftCell="A9" zoomScale="125" zoomScaleNormal="87" workbookViewId="0">
      <selection activeCell="G39" sqref="G39"/>
    </sheetView>
  </sheetViews>
  <sheetFormatPr defaultColWidth="8.77734375" defaultRowHeight="12" x14ac:dyDescent="0.3"/>
  <cols>
    <col min="1" max="1" width="21.88671875" style="2" bestFit="1" customWidth="1"/>
    <col min="2" max="5" width="12.6640625" style="2" bestFit="1" customWidth="1"/>
    <col min="6" max="6" width="11.109375" style="2" bestFit="1" customWidth="1"/>
    <col min="7" max="7" width="29.77734375" style="2" customWidth="1"/>
    <col min="8" max="16384" width="8.77734375" style="2"/>
  </cols>
  <sheetData>
    <row r="1" spans="1:7" x14ac:dyDescent="0.3">
      <c r="A1" s="47" t="s">
        <v>158</v>
      </c>
      <c r="B1" s="47"/>
      <c r="C1" s="47"/>
      <c r="D1" s="47"/>
      <c r="E1" s="47"/>
    </row>
    <row r="2" spans="1:7" x14ac:dyDescent="0.3">
      <c r="A2" s="47" t="s">
        <v>0</v>
      </c>
      <c r="B2" s="47" t="s">
        <v>235</v>
      </c>
      <c r="C2" s="47"/>
      <c r="D2" s="47" t="s">
        <v>236</v>
      </c>
      <c r="E2" s="47"/>
    </row>
    <row r="3" spans="1:7" x14ac:dyDescent="0.3">
      <c r="A3" s="47"/>
      <c r="B3" s="6" t="s">
        <v>240</v>
      </c>
      <c r="C3" s="6" t="s">
        <v>1</v>
      </c>
      <c r="D3" s="6" t="s">
        <v>240</v>
      </c>
      <c r="E3" s="6" t="s">
        <v>1</v>
      </c>
    </row>
    <row r="4" spans="1:7" ht="14.55" customHeight="1" x14ac:dyDescent="0.25">
      <c r="A4" s="47" t="s">
        <v>160</v>
      </c>
      <c r="B4" s="47"/>
      <c r="C4" s="47"/>
      <c r="D4" s="47"/>
      <c r="E4" s="47"/>
      <c r="G4" s="45"/>
    </row>
    <row r="5" spans="1:7" x14ac:dyDescent="0.25">
      <c r="A5" s="9" t="s">
        <v>53</v>
      </c>
      <c r="B5" s="11">
        <f>'Company 1'!F6</f>
        <v>7204.41</v>
      </c>
      <c r="C5" s="11">
        <f>'Company 1'!G6</f>
        <v>2195.79</v>
      </c>
      <c r="D5" s="11">
        <f>'Company 2'!F6</f>
        <v>512.69000000000005</v>
      </c>
      <c r="E5" s="11">
        <f>'Company 2'!G6</f>
        <v>277.17</v>
      </c>
      <c r="F5" s="53" t="s">
        <v>252</v>
      </c>
      <c r="G5" s="45" t="s">
        <v>257</v>
      </c>
    </row>
    <row r="6" spans="1:7" x14ac:dyDescent="0.25">
      <c r="A6" s="9" t="s">
        <v>155</v>
      </c>
      <c r="B6" s="11">
        <f>'Company 1'!B31</f>
        <v>76794.100000000006</v>
      </c>
      <c r="C6" s="11">
        <f>'Company 1'!C31</f>
        <v>94424.23</v>
      </c>
      <c r="D6" s="11">
        <f>'Company 2'!B30</f>
        <v>9440.3100000000013</v>
      </c>
      <c r="E6" s="11">
        <f>'Company 2'!C30</f>
        <v>11523.48</v>
      </c>
      <c r="F6" s="42" t="s">
        <v>251</v>
      </c>
      <c r="G6" s="45"/>
    </row>
    <row r="7" spans="1:7" x14ac:dyDescent="0.25">
      <c r="A7" s="6" t="s">
        <v>161</v>
      </c>
      <c r="B7" s="31">
        <f>B5/B6</f>
        <v>9.3814628988424881E-2</v>
      </c>
      <c r="C7" s="31">
        <f t="shared" ref="C7:E7" si="0">C5/C6</f>
        <v>2.3254518464169632E-2</v>
      </c>
      <c r="D7" s="31">
        <f t="shared" si="0"/>
        <v>5.4308597916805694E-2</v>
      </c>
      <c r="E7" s="31">
        <f t="shared" si="0"/>
        <v>2.4052629934707227E-2</v>
      </c>
      <c r="G7" s="45"/>
    </row>
    <row r="8" spans="1:7" x14ac:dyDescent="0.3">
      <c r="A8" s="47" t="s">
        <v>162</v>
      </c>
      <c r="B8" s="47"/>
      <c r="C8" s="47"/>
      <c r="D8" s="47"/>
      <c r="E8" s="47"/>
    </row>
    <row r="9" spans="1:7" x14ac:dyDescent="0.3">
      <c r="A9" s="9" t="s">
        <v>53</v>
      </c>
      <c r="B9" s="11">
        <f>'Company 1'!F6</f>
        <v>7204.41</v>
      </c>
      <c r="C9" s="11">
        <f>'Company 1'!G6</f>
        <v>2195.79</v>
      </c>
      <c r="D9" s="11">
        <f>'Company 2'!F6</f>
        <v>512.69000000000005</v>
      </c>
      <c r="E9" s="11">
        <f>'Company 2'!G6</f>
        <v>277.17</v>
      </c>
      <c r="F9" s="42" t="s">
        <v>252</v>
      </c>
    </row>
    <row r="10" spans="1:7" x14ac:dyDescent="0.3">
      <c r="A10" s="9" t="s">
        <v>163</v>
      </c>
      <c r="B10" s="11">
        <f>'Company 1'!B19</f>
        <v>73264.800000000003</v>
      </c>
      <c r="C10" s="11">
        <f>'Company 1'!C19</f>
        <v>90703.37999999999</v>
      </c>
      <c r="D10" s="11">
        <f>'Company 2'!B18</f>
        <v>69.510000000000005</v>
      </c>
      <c r="E10" s="11">
        <f>'Company 2'!C18</f>
        <v>640.13</v>
      </c>
      <c r="F10" s="42" t="s">
        <v>251</v>
      </c>
    </row>
    <row r="11" spans="1:7" x14ac:dyDescent="0.3">
      <c r="A11" s="6" t="s">
        <v>164</v>
      </c>
      <c r="B11" s="31">
        <f>B9/B10</f>
        <v>9.8333851999868965E-2</v>
      </c>
      <c r="C11" s="31">
        <f t="shared" ref="C11:E11" si="1">C9/C10</f>
        <v>2.4208469408747504E-2</v>
      </c>
      <c r="D11" s="31">
        <f t="shared" si="1"/>
        <v>7.3757732700330889</v>
      </c>
      <c r="E11" s="31">
        <f t="shared" si="1"/>
        <v>0.43299017387093247</v>
      </c>
    </row>
    <row r="12" spans="1:7" x14ac:dyDescent="0.3">
      <c r="A12" s="47" t="s">
        <v>166</v>
      </c>
      <c r="B12" s="47"/>
      <c r="C12" s="47"/>
      <c r="D12" s="47"/>
      <c r="E12" s="47"/>
    </row>
    <row r="13" spans="1:7" x14ac:dyDescent="0.3">
      <c r="A13" s="9" t="s">
        <v>53</v>
      </c>
      <c r="B13" s="11">
        <f>'Company 1'!F6</f>
        <v>7204.41</v>
      </c>
      <c r="C13" s="11">
        <f>'Company 1'!G6</f>
        <v>2195.79</v>
      </c>
      <c r="D13" s="11">
        <f>'Company 2'!F6</f>
        <v>512.69000000000005</v>
      </c>
      <c r="E13" s="11">
        <f>'Company 2'!G6</f>
        <v>277.17</v>
      </c>
      <c r="F13" s="42" t="s">
        <v>252</v>
      </c>
    </row>
    <row r="14" spans="1:7" x14ac:dyDescent="0.3">
      <c r="A14" s="9" t="s">
        <v>167</v>
      </c>
      <c r="B14" s="11">
        <f>'Company 1'!B31-'Company 1'!B57</f>
        <v>-96452.579999999987</v>
      </c>
      <c r="C14" s="11">
        <f>'Company 1'!C31-'Company 1'!C57</f>
        <v>-60743.510000000024</v>
      </c>
      <c r="D14" s="11">
        <f>'Company 2'!B30-'Company 2'!B52</f>
        <v>8484.8700000000008</v>
      </c>
      <c r="E14" s="11">
        <f>'Company 2'!C30-'Company 2'!C52</f>
        <v>10855.22</v>
      </c>
      <c r="F14" s="42" t="s">
        <v>255</v>
      </c>
    </row>
    <row r="15" spans="1:7" x14ac:dyDescent="0.3">
      <c r="A15" s="6" t="s">
        <v>165</v>
      </c>
      <c r="B15" s="31">
        <f>B13/B14</f>
        <v>-7.4693802902939463E-2</v>
      </c>
      <c r="C15" s="31">
        <f t="shared" ref="C15:E15" si="2">C13/C14</f>
        <v>-3.6148553154073566E-2</v>
      </c>
      <c r="D15" s="31">
        <f t="shared" si="2"/>
        <v>6.0424025353364282E-2</v>
      </c>
      <c r="E15" s="31">
        <f t="shared" si="2"/>
        <v>2.5533337877997869E-2</v>
      </c>
    </row>
    <row r="16" spans="1:7" x14ac:dyDescent="0.3">
      <c r="A16" s="47" t="s">
        <v>168</v>
      </c>
      <c r="B16" s="47"/>
      <c r="C16" s="47"/>
      <c r="D16" s="47"/>
      <c r="E16" s="47"/>
    </row>
    <row r="17" spans="1:7" x14ac:dyDescent="0.3">
      <c r="A17" s="9" t="s">
        <v>53</v>
      </c>
      <c r="B17" s="11">
        <f>'Company 1'!F6</f>
        <v>7204.41</v>
      </c>
      <c r="C17" s="11">
        <f>'Company 1'!G6</f>
        <v>2195.79</v>
      </c>
      <c r="D17" s="11">
        <f>'Company 2'!F6</f>
        <v>512.69000000000005</v>
      </c>
      <c r="E17" s="11">
        <f>'Company 2'!G6</f>
        <v>277.17</v>
      </c>
      <c r="F17" s="42" t="s">
        <v>252</v>
      </c>
    </row>
    <row r="18" spans="1:7" x14ac:dyDescent="0.3">
      <c r="A18" s="9" t="s">
        <v>170</v>
      </c>
      <c r="B18" s="11">
        <f>'Company 1'!B30</f>
        <v>3529.3</v>
      </c>
      <c r="C18" s="11">
        <f>'Company 1'!C30</f>
        <v>3720.8500000000004</v>
      </c>
      <c r="D18" s="11">
        <f>'Company 2'!B29</f>
        <v>832.29</v>
      </c>
      <c r="E18" s="11">
        <f>'Company 2'!C29</f>
        <v>256.47000000000003</v>
      </c>
      <c r="F18" s="42" t="s">
        <v>251</v>
      </c>
    </row>
    <row r="19" spans="1:7" x14ac:dyDescent="0.3">
      <c r="A19" s="9" t="s">
        <v>40</v>
      </c>
      <c r="B19" s="11">
        <f>'Company 1'!B57</f>
        <v>173246.68</v>
      </c>
      <c r="C19" s="11">
        <f>'Company 1'!C57</f>
        <v>155167.74000000002</v>
      </c>
      <c r="D19" s="11">
        <f>'Company 2'!B52</f>
        <v>955.44</v>
      </c>
      <c r="E19" s="11">
        <f>'Company 2'!C52</f>
        <v>668.26</v>
      </c>
      <c r="F19" s="42" t="s">
        <v>251</v>
      </c>
    </row>
    <row r="20" spans="1:7" x14ac:dyDescent="0.3">
      <c r="A20" s="9" t="s">
        <v>169</v>
      </c>
      <c r="B20" s="11">
        <f>B18-B19</f>
        <v>-169717.38</v>
      </c>
      <c r="C20" s="11">
        <f t="shared" ref="C20:E20" si="3">C18-C19</f>
        <v>-151446.89000000001</v>
      </c>
      <c r="D20" s="11">
        <f t="shared" si="3"/>
        <v>-123.15000000000009</v>
      </c>
      <c r="E20" s="11">
        <f t="shared" si="3"/>
        <v>-411.78999999999996</v>
      </c>
      <c r="F20" s="42" t="s">
        <v>255</v>
      </c>
    </row>
    <row r="21" spans="1:7" x14ac:dyDescent="0.3">
      <c r="A21" s="6" t="s">
        <v>171</v>
      </c>
      <c r="B21" s="31">
        <f>B17/B20</f>
        <v>-4.2449453320573295E-2</v>
      </c>
      <c r="C21" s="31">
        <f t="shared" ref="C21:E21" si="4">C17/C20</f>
        <v>-1.4498746062068357E-2</v>
      </c>
      <c r="D21" s="31">
        <f t="shared" si="4"/>
        <v>-4.1631343889565544</v>
      </c>
      <c r="E21" s="31">
        <f t="shared" si="4"/>
        <v>-0.67308579615823605</v>
      </c>
    </row>
    <row r="22" spans="1:7" x14ac:dyDescent="0.3">
      <c r="A22" s="47" t="s">
        <v>172</v>
      </c>
      <c r="B22" s="47"/>
      <c r="C22" s="47"/>
      <c r="D22" s="47"/>
      <c r="E22" s="47"/>
    </row>
    <row r="23" spans="1:7" ht="12" customHeight="1" x14ac:dyDescent="0.3">
      <c r="A23" s="9" t="s">
        <v>53</v>
      </c>
      <c r="B23" s="11">
        <f>'Company 1'!F6</f>
        <v>7204.41</v>
      </c>
      <c r="C23" s="11">
        <f>'Company 1'!G6</f>
        <v>2195.79</v>
      </c>
      <c r="D23" s="34">
        <f>'Company 2'!F6</f>
        <v>512.69000000000005</v>
      </c>
      <c r="E23" s="34">
        <f>'Company 2'!G6</f>
        <v>277.17</v>
      </c>
      <c r="F23" s="42" t="s">
        <v>252</v>
      </c>
      <c r="G23" s="54"/>
    </row>
    <row r="24" spans="1:7" x14ac:dyDescent="0.3">
      <c r="A24" s="9" t="s">
        <v>173</v>
      </c>
      <c r="B24" s="11">
        <f>C25</f>
        <v>1148.83</v>
      </c>
      <c r="C24" s="11">
        <v>1148.83</v>
      </c>
      <c r="D24" s="34">
        <v>277.17</v>
      </c>
      <c r="E24" s="34">
        <v>334.45</v>
      </c>
      <c r="F24" s="2" t="s">
        <v>251</v>
      </c>
      <c r="G24" s="54"/>
    </row>
    <row r="25" spans="1:7" x14ac:dyDescent="0.3">
      <c r="A25" s="9" t="s">
        <v>174</v>
      </c>
      <c r="B25" s="11">
        <f>'Company 1'!B21</f>
        <v>1161.22</v>
      </c>
      <c r="C25" s="11">
        <f>'Company 1'!C21</f>
        <v>1148.83</v>
      </c>
      <c r="D25" s="34">
        <v>334.45</v>
      </c>
      <c r="E25" s="34">
        <v>674.3</v>
      </c>
      <c r="F25" s="2" t="s">
        <v>251</v>
      </c>
      <c r="G25" s="54"/>
    </row>
    <row r="26" spans="1:7" x14ac:dyDescent="0.3">
      <c r="A26" s="11" t="s">
        <v>175</v>
      </c>
      <c r="B26" s="11">
        <f>(B25+B24)/2</f>
        <v>1155.0250000000001</v>
      </c>
      <c r="C26" s="11">
        <f t="shared" ref="C26:E26" si="5">(C25+C24)/2</f>
        <v>1148.83</v>
      </c>
      <c r="D26" s="11">
        <f t="shared" si="5"/>
        <v>305.81</v>
      </c>
      <c r="E26" s="11">
        <f t="shared" si="5"/>
        <v>504.375</v>
      </c>
      <c r="F26" s="2" t="s">
        <v>255</v>
      </c>
      <c r="G26" s="54"/>
    </row>
    <row r="27" spans="1:7" x14ac:dyDescent="0.3">
      <c r="A27" s="6" t="s">
        <v>176</v>
      </c>
      <c r="B27" s="31">
        <f>B23/B26</f>
        <v>6.2374494058570153</v>
      </c>
      <c r="C27" s="31">
        <f t="shared" ref="C27:E27" si="6">C23/C26</f>
        <v>1.9113271763446289</v>
      </c>
      <c r="D27" s="15">
        <f t="shared" si="6"/>
        <v>1.6764984794480235</v>
      </c>
      <c r="E27" s="15">
        <f t="shared" si="6"/>
        <v>0.54953159851301114</v>
      </c>
    </row>
    <row r="28" spans="1:7" x14ac:dyDescent="0.3">
      <c r="A28" s="47" t="s">
        <v>177</v>
      </c>
      <c r="B28" s="47"/>
      <c r="C28" s="47"/>
      <c r="D28" s="47"/>
      <c r="E28" s="47"/>
    </row>
    <row r="29" spans="1:7" x14ac:dyDescent="0.3">
      <c r="A29" s="9" t="s">
        <v>53</v>
      </c>
      <c r="B29" s="11">
        <f>'Company 1'!F6</f>
        <v>7204.41</v>
      </c>
      <c r="C29" s="11">
        <f>'Company 1'!G6</f>
        <v>2195.79</v>
      </c>
      <c r="D29" s="11">
        <f>'Company 2'!F6</f>
        <v>512.69000000000005</v>
      </c>
      <c r="E29" s="11">
        <f>'Company 2'!G6</f>
        <v>277.17</v>
      </c>
      <c r="F29" s="42" t="s">
        <v>252</v>
      </c>
    </row>
    <row r="30" spans="1:7" x14ac:dyDescent="0.3">
      <c r="A30" s="9" t="s">
        <v>178</v>
      </c>
      <c r="B30" s="11">
        <f>'Company 1'!B24</f>
        <v>335.02</v>
      </c>
      <c r="C30" s="11">
        <f>'Company 1'!B24</f>
        <v>335.02</v>
      </c>
      <c r="D30" s="11">
        <f>'Company 2'!B26</f>
        <v>82.71</v>
      </c>
      <c r="E30" s="11">
        <f>'Company 2'!C24</f>
        <v>79.03</v>
      </c>
      <c r="F30" s="42" t="s">
        <v>251</v>
      </c>
      <c r="G30" s="2" t="s">
        <v>258</v>
      </c>
    </row>
    <row r="31" spans="1:7" x14ac:dyDescent="0.3">
      <c r="A31" s="6" t="s">
        <v>179</v>
      </c>
      <c r="B31" s="31">
        <f>B29/B30</f>
        <v>21.504417646707658</v>
      </c>
      <c r="C31" s="31">
        <f t="shared" ref="C31:E31" si="7">C29/C30</f>
        <v>6.5542057190615486</v>
      </c>
      <c r="D31" s="6">
        <f t="shared" si="7"/>
        <v>6.1986458711159482</v>
      </c>
      <c r="E31" s="31">
        <f t="shared" si="7"/>
        <v>3.5071491838542328</v>
      </c>
    </row>
    <row r="32" spans="1:7" x14ac:dyDescent="0.3">
      <c r="A32" s="47" t="s">
        <v>181</v>
      </c>
      <c r="B32" s="47"/>
      <c r="C32" s="47"/>
      <c r="D32" s="47"/>
      <c r="E32" s="47"/>
    </row>
    <row r="33" spans="1:6" x14ac:dyDescent="0.3">
      <c r="A33" s="9" t="s">
        <v>179</v>
      </c>
      <c r="B33" s="33">
        <f>B31</f>
        <v>21.504417646707658</v>
      </c>
      <c r="C33" s="33">
        <f t="shared" ref="C33:E33" si="8">C31</f>
        <v>6.5542057190615486</v>
      </c>
      <c r="D33" s="33">
        <f t="shared" si="8"/>
        <v>6.1986458711159482</v>
      </c>
      <c r="E33" s="33">
        <f t="shared" si="8"/>
        <v>3.5071491838542328</v>
      </c>
      <c r="F33" s="42"/>
    </row>
    <row r="34" spans="1:6" x14ac:dyDescent="0.3">
      <c r="A34" s="6" t="s">
        <v>180</v>
      </c>
      <c r="B34" s="32">
        <f>ROUNDUP(365/B33,0)</f>
        <v>17</v>
      </c>
      <c r="C34" s="32">
        <f t="shared" ref="C34:E34" si="9">ROUNDUP(365/C33,0)</f>
        <v>56</v>
      </c>
      <c r="D34" s="32">
        <f t="shared" si="9"/>
        <v>59</v>
      </c>
      <c r="E34" s="32">
        <f t="shared" si="9"/>
        <v>105</v>
      </c>
    </row>
    <row r="35" spans="1:6" x14ac:dyDescent="0.3">
      <c r="A35" s="47" t="s">
        <v>182</v>
      </c>
      <c r="B35" s="47"/>
      <c r="C35" s="47"/>
      <c r="D35" s="47"/>
      <c r="E35" s="47"/>
    </row>
    <row r="36" spans="1:6" ht="12" customHeight="1" x14ac:dyDescent="0.3">
      <c r="A36" s="9" t="s">
        <v>183</v>
      </c>
      <c r="B36" s="1">
        <f>'Company 1'!F11</f>
        <v>129.86000000000001</v>
      </c>
      <c r="C36" s="1">
        <f>'Company 1'!G11</f>
        <v>32.409999999999997</v>
      </c>
      <c r="D36" s="11">
        <f>'Company 2'!F11</f>
        <v>332.55</v>
      </c>
      <c r="E36" s="11">
        <f>'Company 2'!G11</f>
        <v>335</v>
      </c>
      <c r="F36" s="42" t="s">
        <v>252</v>
      </c>
    </row>
    <row r="37" spans="1:6" x14ac:dyDescent="0.3">
      <c r="A37" s="9" t="s">
        <v>184</v>
      </c>
      <c r="B37" s="1">
        <f>'Company 1'!B50+'Company 1'!B51</f>
        <v>2463.14</v>
      </c>
      <c r="C37" s="1">
        <f>'Company 1'!C50+'Company 1'!C51</f>
        <v>3159.59</v>
      </c>
      <c r="D37" s="11">
        <f>'Company 2'!B50+'Company 2'!B51</f>
        <v>136.9</v>
      </c>
      <c r="E37" s="11">
        <f>'Company 2'!C50+'Company 2'!C51</f>
        <v>138.68</v>
      </c>
      <c r="F37" s="54" t="s">
        <v>255</v>
      </c>
    </row>
    <row r="38" spans="1:6" x14ac:dyDescent="0.3">
      <c r="A38" s="6" t="s">
        <v>179</v>
      </c>
      <c r="B38" s="31">
        <f t="shared" ref="B38" si="10">B36/B37</f>
        <v>5.2721323189100097E-2</v>
      </c>
      <c r="C38" s="31">
        <f t="shared" ref="C38" si="11">C36/C37</f>
        <v>1.0257660012849766E-2</v>
      </c>
      <c r="D38" s="31">
        <f t="shared" ref="D38" si="12">D36/D37</f>
        <v>2.429145361577794</v>
      </c>
      <c r="E38" s="31">
        <f t="shared" ref="E38" si="13">E36/E37</f>
        <v>2.4156331122007497</v>
      </c>
    </row>
    <row r="39" spans="1:6" x14ac:dyDescent="0.3">
      <c r="A39" s="47" t="s">
        <v>185</v>
      </c>
      <c r="B39" s="47"/>
      <c r="C39" s="47"/>
      <c r="D39" s="47"/>
      <c r="E39" s="47"/>
    </row>
    <row r="40" spans="1:6" x14ac:dyDescent="0.3">
      <c r="A40" s="9" t="s">
        <v>186</v>
      </c>
      <c r="B40" s="33">
        <f>B38</f>
        <v>5.2721323189100097E-2</v>
      </c>
      <c r="C40" s="33">
        <f t="shared" ref="C40:E40" si="14">C38</f>
        <v>1.0257660012849766E-2</v>
      </c>
      <c r="D40" s="33">
        <f t="shared" si="14"/>
        <v>2.429145361577794</v>
      </c>
      <c r="E40" s="33">
        <f t="shared" si="14"/>
        <v>2.4156331122007497</v>
      </c>
      <c r="F40" s="54"/>
    </row>
    <row r="41" spans="1:6" x14ac:dyDescent="0.3">
      <c r="A41" s="6" t="s">
        <v>180</v>
      </c>
      <c r="B41" s="32">
        <f>ROUNDUP(365/B40,0)</f>
        <v>6924</v>
      </c>
      <c r="C41" s="32">
        <f t="shared" ref="C41" si="15">ROUNDUP(365/C40,0)</f>
        <v>35584</v>
      </c>
      <c r="D41" s="32">
        <f t="shared" ref="D41" si="16">ROUNDUP(365/D40,0)</f>
        <v>151</v>
      </c>
      <c r="E41" s="32">
        <f t="shared" ref="E41" si="17">ROUNDUP(365/E40,0)</f>
        <v>152</v>
      </c>
      <c r="F41" s="54" t="s">
        <v>256</v>
      </c>
    </row>
  </sheetData>
  <mergeCells count="13">
    <mergeCell ref="A28:E28"/>
    <mergeCell ref="A32:E32"/>
    <mergeCell ref="A35:E35"/>
    <mergeCell ref="A39:E39"/>
    <mergeCell ref="A8:E8"/>
    <mergeCell ref="A12:E12"/>
    <mergeCell ref="A16:E16"/>
    <mergeCell ref="A22:E22"/>
    <mergeCell ref="A1:E1"/>
    <mergeCell ref="A2:A3"/>
    <mergeCell ref="B2:C2"/>
    <mergeCell ref="D2:E2"/>
    <mergeCell ref="A4:E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F808-459A-45ED-A511-D27753D01B3A}">
  <sheetPr codeName="Sheet7"/>
  <dimension ref="A1:G71"/>
  <sheetViews>
    <sheetView tabSelected="1" zoomScale="124" zoomScaleNormal="100" workbookViewId="0">
      <selection activeCell="G11" sqref="G11"/>
    </sheetView>
  </sheetViews>
  <sheetFormatPr defaultColWidth="8.77734375" defaultRowHeight="12" x14ac:dyDescent="0.3"/>
  <cols>
    <col min="1" max="1" width="20" style="2" bestFit="1" customWidth="1"/>
    <col min="2" max="5" width="13.33203125" style="2" bestFit="1" customWidth="1"/>
    <col min="6" max="6" width="8.77734375" style="2"/>
    <col min="7" max="7" width="22.88671875" style="2" bestFit="1" customWidth="1"/>
    <col min="8" max="16384" width="8.77734375" style="2"/>
  </cols>
  <sheetData>
    <row r="1" spans="1:7" x14ac:dyDescent="0.3">
      <c r="A1" s="47" t="s">
        <v>187</v>
      </c>
      <c r="B1" s="47"/>
      <c r="C1" s="47"/>
      <c r="D1" s="47"/>
      <c r="E1" s="47"/>
    </row>
    <row r="2" spans="1:7" x14ac:dyDescent="0.3">
      <c r="A2" s="47" t="s">
        <v>0</v>
      </c>
      <c r="B2" s="47" t="s">
        <v>235</v>
      </c>
      <c r="C2" s="47"/>
      <c r="D2" s="47" t="s">
        <v>236</v>
      </c>
      <c r="E2" s="47"/>
    </row>
    <row r="3" spans="1:7" x14ac:dyDescent="0.3">
      <c r="A3" s="47"/>
      <c r="B3" s="6" t="s">
        <v>240</v>
      </c>
      <c r="C3" s="6" t="s">
        <v>1</v>
      </c>
      <c r="D3" s="6" t="s">
        <v>240</v>
      </c>
      <c r="E3" s="6" t="s">
        <v>1</v>
      </c>
    </row>
    <row r="4" spans="1:7" x14ac:dyDescent="0.3">
      <c r="A4" s="47" t="s">
        <v>188</v>
      </c>
      <c r="B4" s="47"/>
      <c r="C4" s="47"/>
      <c r="D4" s="47"/>
      <c r="E4" s="47"/>
    </row>
    <row r="5" spans="1:7" x14ac:dyDescent="0.3">
      <c r="A5" s="9" t="s">
        <v>189</v>
      </c>
      <c r="B5" s="11">
        <f>'Company 1'!F6</f>
        <v>7204.41</v>
      </c>
      <c r="C5" s="11">
        <f>'Company 1'!G6</f>
        <v>2195.79</v>
      </c>
      <c r="D5" s="1">
        <f>'Company 2'!F8</f>
        <v>1323.49</v>
      </c>
      <c r="E5" s="1">
        <f>'Company 2'!G8</f>
        <v>1607.93</v>
      </c>
      <c r="F5" s="42" t="s">
        <v>252</v>
      </c>
      <c r="G5" s="2" t="s">
        <v>259</v>
      </c>
    </row>
    <row r="6" spans="1:7" x14ac:dyDescent="0.3">
      <c r="A6" s="9" t="s">
        <v>57</v>
      </c>
      <c r="B6" s="11">
        <f>'Company 1'!F10</f>
        <v>588.41999999999996</v>
      </c>
      <c r="C6" s="11">
        <f>'Company 1'!G10</f>
        <v>211.83</v>
      </c>
      <c r="D6" s="1">
        <f>'Company 2'!F10</f>
        <v>0</v>
      </c>
      <c r="E6" s="1">
        <f>'Company 2'!G10</f>
        <v>0</v>
      </c>
      <c r="F6" s="42" t="s">
        <v>252</v>
      </c>
    </row>
    <row r="7" spans="1:7" x14ac:dyDescent="0.3">
      <c r="A7" s="9" t="s">
        <v>194</v>
      </c>
      <c r="B7" s="11">
        <f>'Company 1'!F11</f>
        <v>129.86000000000001</v>
      </c>
      <c r="C7" s="11">
        <f>'Company 1'!G11</f>
        <v>32.409999999999997</v>
      </c>
      <c r="D7" s="1">
        <f>'Company 2'!F11</f>
        <v>332.55</v>
      </c>
      <c r="E7" s="1">
        <f>'Company 2'!G11</f>
        <v>335</v>
      </c>
      <c r="F7" s="42" t="s">
        <v>252</v>
      </c>
    </row>
    <row r="8" spans="1:7" x14ac:dyDescent="0.3">
      <c r="A8" s="9" t="s">
        <v>195</v>
      </c>
      <c r="B8" s="11">
        <f>'Company 1'!F12</f>
        <v>14.88</v>
      </c>
      <c r="C8" s="11">
        <f>'Company 1'!G12</f>
        <v>37.15</v>
      </c>
      <c r="D8" s="1">
        <f>'Company 2'!F12</f>
        <v>0</v>
      </c>
      <c r="E8" s="1">
        <f>'Company 2'!G12</f>
        <v>0</v>
      </c>
      <c r="F8" s="42" t="s">
        <v>252</v>
      </c>
    </row>
    <row r="9" spans="1:7" x14ac:dyDescent="0.3">
      <c r="A9" s="9" t="s">
        <v>193</v>
      </c>
      <c r="B9" s="11">
        <f>B5-B6-B7-B8</f>
        <v>6471.25</v>
      </c>
      <c r="C9" s="11">
        <f t="shared" ref="C9:E9" si="0">C5-C6-C7-C8</f>
        <v>1914.3999999999999</v>
      </c>
      <c r="D9" s="11">
        <f t="shared" si="0"/>
        <v>990.94</v>
      </c>
      <c r="E9" s="11">
        <f t="shared" si="0"/>
        <v>1272.93</v>
      </c>
      <c r="F9" s="42" t="s">
        <v>256</v>
      </c>
    </row>
    <row r="10" spans="1:7" x14ac:dyDescent="0.3">
      <c r="A10" s="6" t="s">
        <v>190</v>
      </c>
      <c r="B10" s="35">
        <f>B9/B5</f>
        <v>0.89823455355816784</v>
      </c>
      <c r="C10" s="35">
        <f t="shared" ref="C10:E10" si="1">C9/C5</f>
        <v>0.87185022247118349</v>
      </c>
      <c r="D10" s="35">
        <f t="shared" si="1"/>
        <v>0.74873251781275263</v>
      </c>
      <c r="E10" s="35">
        <f t="shared" si="1"/>
        <v>0.79165759703469685</v>
      </c>
    </row>
    <row r="11" spans="1:7" x14ac:dyDescent="0.3">
      <c r="A11" s="47" t="s">
        <v>191</v>
      </c>
      <c r="B11" s="47"/>
      <c r="C11" s="47"/>
      <c r="D11" s="47"/>
      <c r="E11" s="47"/>
    </row>
    <row r="12" spans="1:7" x14ac:dyDescent="0.3">
      <c r="A12" s="9" t="s">
        <v>196</v>
      </c>
      <c r="B12" s="11">
        <f>'Company 1'!F21</f>
        <v>0</v>
      </c>
      <c r="C12" s="11">
        <f>'Company 1'!G27</f>
        <v>93.57</v>
      </c>
      <c r="D12" s="11">
        <f>'Company 2'!F20</f>
        <v>235.73</v>
      </c>
      <c r="E12" s="11">
        <f>'Company 2'!G20</f>
        <v>167.34</v>
      </c>
      <c r="F12" s="54" t="s">
        <v>252</v>
      </c>
    </row>
    <row r="13" spans="1:7" x14ac:dyDescent="0.3">
      <c r="A13" s="9" t="s">
        <v>189</v>
      </c>
      <c r="B13" s="11">
        <f>'Company 1'!F6</f>
        <v>7204.41</v>
      </c>
      <c r="C13" s="11">
        <f>'Company 1'!G6</f>
        <v>2195.79</v>
      </c>
      <c r="D13" s="11">
        <f>'Company 2'!F6</f>
        <v>512.69000000000005</v>
      </c>
      <c r="E13" s="11">
        <f>'Company 2'!G6</f>
        <v>277.17</v>
      </c>
      <c r="F13" s="42" t="s">
        <v>252</v>
      </c>
      <c r="G13" s="2" t="s">
        <v>259</v>
      </c>
    </row>
    <row r="14" spans="1:7" x14ac:dyDescent="0.3">
      <c r="A14" s="6" t="s">
        <v>190</v>
      </c>
      <c r="B14" s="35">
        <f>B12/B13</f>
        <v>0</v>
      </c>
      <c r="C14" s="35">
        <f t="shared" ref="C14" si="2">C12/C13</f>
        <v>4.2613364666019969E-2</v>
      </c>
      <c r="D14" s="35">
        <f t="shared" ref="D14" si="3">D12/D13</f>
        <v>0.45979051668649662</v>
      </c>
      <c r="E14" s="35">
        <f t="shared" ref="E14" si="4">E12/E13</f>
        <v>0.60374499404697479</v>
      </c>
    </row>
    <row r="15" spans="1:7" x14ac:dyDescent="0.3">
      <c r="A15" s="47" t="s">
        <v>198</v>
      </c>
      <c r="B15" s="47"/>
      <c r="C15" s="47"/>
      <c r="D15" s="47"/>
      <c r="E15" s="47"/>
    </row>
    <row r="16" spans="1:7" x14ac:dyDescent="0.3">
      <c r="A16" s="9" t="s">
        <v>81</v>
      </c>
      <c r="B16" s="11">
        <f>'Company 1'!F18</f>
        <v>-25212.14</v>
      </c>
      <c r="C16" s="11">
        <f>'Company 1'!G18</f>
        <v>-2664.45</v>
      </c>
      <c r="D16" s="11">
        <f>'Company 2'!F15</f>
        <v>2001.62</v>
      </c>
      <c r="E16" s="11">
        <f>'Company 2'!G15</f>
        <v>1276.74</v>
      </c>
      <c r="F16" s="42" t="s">
        <v>252</v>
      </c>
    </row>
    <row r="17" spans="1:7" x14ac:dyDescent="0.3">
      <c r="A17" s="9" t="s">
        <v>118</v>
      </c>
      <c r="B17" s="11">
        <f>'Company 1'!F16</f>
        <v>18815.63</v>
      </c>
      <c r="C17" s="11">
        <f>'Company 1'!G16</f>
        <v>16265.6</v>
      </c>
      <c r="D17" s="11">
        <f>'Company 2'!F11</f>
        <v>332.55</v>
      </c>
      <c r="E17" s="11">
        <f>'Company 2'!G11</f>
        <v>335</v>
      </c>
      <c r="F17" s="42" t="s">
        <v>252</v>
      </c>
      <c r="G17" s="2" t="s">
        <v>260</v>
      </c>
    </row>
    <row r="18" spans="1:7" x14ac:dyDescent="0.3">
      <c r="A18" s="9" t="s">
        <v>192</v>
      </c>
      <c r="B18" s="11">
        <f>'Profitability Ratios'!B16+'Profitability Ratios'!B17</f>
        <v>-6396.5099999999984</v>
      </c>
      <c r="C18" s="11">
        <f>'Profitability Ratios'!C16+'Profitability Ratios'!C17</f>
        <v>13601.150000000001</v>
      </c>
      <c r="D18" s="11">
        <f>'Profitability Ratios'!D16+'Profitability Ratios'!D17</f>
        <v>2334.17</v>
      </c>
      <c r="E18" s="11">
        <f>'Profitability Ratios'!E16+'Profitability Ratios'!E17</f>
        <v>1611.74</v>
      </c>
      <c r="F18" s="54" t="s">
        <v>256</v>
      </c>
    </row>
    <row r="19" spans="1:7" x14ac:dyDescent="0.3">
      <c r="A19" s="9" t="s">
        <v>189</v>
      </c>
      <c r="B19" s="11">
        <f>'Company 1'!F6</f>
        <v>7204.41</v>
      </c>
      <c r="C19" s="11">
        <f>'Company 1'!G6</f>
        <v>2195.79</v>
      </c>
      <c r="D19" s="11">
        <f>'Company 2'!F6</f>
        <v>512.69000000000005</v>
      </c>
      <c r="E19" s="11">
        <f>'Company 2'!G6</f>
        <v>277.17</v>
      </c>
      <c r="F19" s="42" t="s">
        <v>252</v>
      </c>
      <c r="G19" s="2" t="s">
        <v>259</v>
      </c>
    </row>
    <row r="20" spans="1:7" x14ac:dyDescent="0.3">
      <c r="A20" s="6" t="s">
        <v>197</v>
      </c>
      <c r="B20" s="35">
        <f>B18/B19</f>
        <v>-0.88786035220094339</v>
      </c>
      <c r="C20" s="35">
        <f t="shared" ref="C20:E20" si="5">C18/C19</f>
        <v>6.194194344632229</v>
      </c>
      <c r="D20" s="35">
        <f t="shared" si="5"/>
        <v>4.5527901851021078</v>
      </c>
      <c r="E20" s="35">
        <f t="shared" si="5"/>
        <v>5.8149871919760434</v>
      </c>
    </row>
    <row r="21" spans="1:7" x14ac:dyDescent="0.3">
      <c r="A21" s="47" t="s">
        <v>199</v>
      </c>
      <c r="B21" s="47"/>
      <c r="C21" s="47"/>
      <c r="D21" s="47"/>
      <c r="E21" s="47"/>
    </row>
    <row r="22" spans="1:7" x14ac:dyDescent="0.3">
      <c r="A22" s="9" t="s">
        <v>189</v>
      </c>
      <c r="B22" s="11">
        <f>'Company 1'!F6</f>
        <v>7204.41</v>
      </c>
      <c r="C22" s="11">
        <f>'Company 1'!G6</f>
        <v>2195.79</v>
      </c>
      <c r="D22" s="1">
        <f>'Company 2'!F8</f>
        <v>1323.49</v>
      </c>
      <c r="E22" s="1">
        <f>'Company 2'!G8</f>
        <v>1607.93</v>
      </c>
      <c r="F22" s="42" t="s">
        <v>252</v>
      </c>
      <c r="G22" s="2" t="s">
        <v>259</v>
      </c>
    </row>
    <row r="23" spans="1:7" x14ac:dyDescent="0.3">
      <c r="A23" s="9" t="s">
        <v>57</v>
      </c>
      <c r="B23" s="11">
        <f>'Company 1'!F10</f>
        <v>588.41999999999996</v>
      </c>
      <c r="C23" s="11">
        <f>'Company 1'!G10</f>
        <v>211.83</v>
      </c>
      <c r="D23" s="1">
        <f>'Company 2'!F10</f>
        <v>0</v>
      </c>
      <c r="E23" s="1">
        <f>'Company 2'!G10</f>
        <v>0</v>
      </c>
      <c r="F23" s="42" t="s">
        <v>252</v>
      </c>
    </row>
    <row r="24" spans="1:7" x14ac:dyDescent="0.3">
      <c r="A24" s="9" t="s">
        <v>194</v>
      </c>
      <c r="B24" s="11">
        <f>'Company 1'!F11</f>
        <v>129.86000000000001</v>
      </c>
      <c r="C24" s="11">
        <f>'Company 1'!G11</f>
        <v>32.409999999999997</v>
      </c>
      <c r="D24" s="1">
        <f>'Company 2'!F11</f>
        <v>332.55</v>
      </c>
      <c r="E24" s="1">
        <f>'Company 2'!G11</f>
        <v>335</v>
      </c>
      <c r="F24" s="42" t="s">
        <v>252</v>
      </c>
    </row>
    <row r="25" spans="1:7" x14ac:dyDescent="0.3">
      <c r="A25" s="9" t="s">
        <v>195</v>
      </c>
      <c r="B25" s="11">
        <f>'Company 1'!F12</f>
        <v>14.88</v>
      </c>
      <c r="C25" s="11">
        <f>'Company 1'!G12</f>
        <v>37.15</v>
      </c>
      <c r="D25" s="1">
        <f>'Company 2'!F12</f>
        <v>0</v>
      </c>
      <c r="E25" s="1">
        <f>'Company 2'!G12</f>
        <v>0</v>
      </c>
      <c r="F25" s="42" t="s">
        <v>252</v>
      </c>
    </row>
    <row r="26" spans="1:7" x14ac:dyDescent="0.3">
      <c r="A26" s="9" t="s">
        <v>200</v>
      </c>
      <c r="B26" s="11">
        <f>B23+B24+B25</f>
        <v>733.16</v>
      </c>
      <c r="C26" s="11">
        <f t="shared" ref="C26:E26" si="6">C23+C24+C25</f>
        <v>281.39</v>
      </c>
      <c r="D26" s="11">
        <f t="shared" si="6"/>
        <v>332.55</v>
      </c>
      <c r="E26" s="11">
        <f t="shared" si="6"/>
        <v>335</v>
      </c>
      <c r="F26" s="42" t="s">
        <v>256</v>
      </c>
    </row>
    <row r="27" spans="1:7" x14ac:dyDescent="0.3">
      <c r="A27" s="6" t="s">
        <v>201</v>
      </c>
      <c r="B27" s="35">
        <f>B26/B22</f>
        <v>0.10176544644183215</v>
      </c>
      <c r="C27" s="35">
        <f t="shared" ref="C27:E27" si="7">C26/C22</f>
        <v>0.12814977752881651</v>
      </c>
      <c r="D27" s="35">
        <f t="shared" si="7"/>
        <v>0.25126748218724737</v>
      </c>
      <c r="E27" s="35">
        <f t="shared" si="7"/>
        <v>0.20834240296530321</v>
      </c>
    </row>
    <row r="28" spans="1:7" x14ac:dyDescent="0.3">
      <c r="A28" s="47" t="s">
        <v>202</v>
      </c>
      <c r="B28" s="47"/>
      <c r="C28" s="47"/>
      <c r="D28" s="47"/>
      <c r="E28" s="47"/>
    </row>
    <row r="29" spans="1:7" x14ac:dyDescent="0.3">
      <c r="A29" s="9" t="s">
        <v>189</v>
      </c>
      <c r="B29" s="11">
        <f>'Company 1'!F6</f>
        <v>7204.41</v>
      </c>
      <c r="C29" s="11">
        <f>'Company 1'!G6</f>
        <v>2195.79</v>
      </c>
      <c r="D29" s="11">
        <f>'Company 2'!F6</f>
        <v>512.69000000000005</v>
      </c>
      <c r="E29" s="11">
        <f>'Company 2'!G6</f>
        <v>277.17</v>
      </c>
      <c r="F29" s="42" t="s">
        <v>252</v>
      </c>
      <c r="G29" s="2" t="s">
        <v>259</v>
      </c>
    </row>
    <row r="30" spans="1:7" x14ac:dyDescent="0.3">
      <c r="A30" s="9" t="s">
        <v>60</v>
      </c>
      <c r="B30" s="11">
        <f>'Company 1'!F13</f>
        <v>2460.91</v>
      </c>
      <c r="C30" s="11">
        <f>'Company 1'!G13</f>
        <v>2801.7</v>
      </c>
      <c r="D30" s="11">
        <f>'Company 2'!F10</f>
        <v>0</v>
      </c>
      <c r="E30" s="11">
        <f>'Company 2'!G10</f>
        <v>0</v>
      </c>
      <c r="F30" s="42" t="s">
        <v>252</v>
      </c>
    </row>
    <row r="31" spans="1:7" x14ac:dyDescent="0.3">
      <c r="A31" s="9" t="s">
        <v>203</v>
      </c>
      <c r="B31" s="11">
        <f>'Company 1'!F14</f>
        <v>9146.4500000000007</v>
      </c>
      <c r="C31" s="11">
        <f>'Company 1'!G14</f>
        <v>9561.0400000000009</v>
      </c>
      <c r="D31" s="11">
        <f>'Company 2'!F12</f>
        <v>0</v>
      </c>
      <c r="E31" s="11">
        <f>'Company 2'!G12</f>
        <v>0</v>
      </c>
      <c r="F31" s="42" t="s">
        <v>252</v>
      </c>
    </row>
    <row r="32" spans="1:7" x14ac:dyDescent="0.3">
      <c r="A32" s="9" t="s">
        <v>117</v>
      </c>
      <c r="B32" s="11">
        <f>'Company 1'!F15</f>
        <v>3864.73</v>
      </c>
      <c r="C32" s="11">
        <f>'Company 1'!G15</f>
        <v>2400.94</v>
      </c>
      <c r="D32" s="11">
        <f>'Company 2'!F13</f>
        <v>357.21</v>
      </c>
      <c r="E32" s="11">
        <f>'Company 2'!G13</f>
        <v>413.08</v>
      </c>
      <c r="F32" s="42" t="s">
        <v>252</v>
      </c>
    </row>
    <row r="33" spans="1:7" x14ac:dyDescent="0.3">
      <c r="A33" s="6" t="s">
        <v>204</v>
      </c>
      <c r="B33" s="35">
        <f>(SUM(B30:B32))/B29</f>
        <v>2.1475859924685019</v>
      </c>
      <c r="C33" s="35">
        <f t="shared" ref="C33:E33" si="8">(SUM(C30:C32))/C29</f>
        <v>6.7236302196475997</v>
      </c>
      <c r="D33" s="35">
        <f t="shared" si="8"/>
        <v>0.69673681952056787</v>
      </c>
      <c r="E33" s="35">
        <f t="shared" si="8"/>
        <v>1.4903488833567844</v>
      </c>
    </row>
    <row r="34" spans="1:7" x14ac:dyDescent="0.3">
      <c r="A34" s="47" t="s">
        <v>205</v>
      </c>
      <c r="B34" s="47"/>
      <c r="C34" s="47"/>
      <c r="D34" s="47"/>
      <c r="E34" s="47"/>
    </row>
    <row r="35" spans="1:7" x14ac:dyDescent="0.3">
      <c r="A35" s="9" t="s">
        <v>81</v>
      </c>
      <c r="B35" s="11">
        <f>'Company 1'!F18</f>
        <v>-25212.14</v>
      </c>
      <c r="C35" s="11">
        <f>'Company 1'!G18</f>
        <v>-2664.45</v>
      </c>
      <c r="D35" s="11">
        <f>'Company 2'!F15</f>
        <v>2001.62</v>
      </c>
      <c r="E35" s="11">
        <f>'Company 2'!G15</f>
        <v>1276.74</v>
      </c>
      <c r="F35" s="55" t="s">
        <v>252</v>
      </c>
    </row>
    <row r="36" spans="1:7" x14ac:dyDescent="0.3">
      <c r="A36" s="9" t="s">
        <v>189</v>
      </c>
      <c r="B36" s="11">
        <f>'Company 1'!F6</f>
        <v>7204.41</v>
      </c>
      <c r="C36" s="11">
        <f>'Company 1'!G6</f>
        <v>2195.79</v>
      </c>
      <c r="D36" s="11">
        <f>'Company 2'!F6</f>
        <v>512.69000000000005</v>
      </c>
      <c r="E36" s="11">
        <f>'Company 2'!G6</f>
        <v>277.17</v>
      </c>
      <c r="F36" s="42" t="s">
        <v>252</v>
      </c>
      <c r="G36" s="2" t="s">
        <v>259</v>
      </c>
    </row>
    <row r="37" spans="1:7" x14ac:dyDescent="0.3">
      <c r="A37" s="6" t="s">
        <v>206</v>
      </c>
      <c r="B37" s="35">
        <f>B35/B36</f>
        <v>-3.4995426412433495</v>
      </c>
      <c r="C37" s="35">
        <f t="shared" ref="C37:E37" si="9">C35/C36</f>
        <v>-1.2134357110652658</v>
      </c>
      <c r="D37" s="35">
        <f t="shared" si="9"/>
        <v>3.9041526068384398</v>
      </c>
      <c r="E37" s="35">
        <f t="shared" si="9"/>
        <v>4.6063426777789802</v>
      </c>
    </row>
    <row r="38" spans="1:7" x14ac:dyDescent="0.3">
      <c r="A38" s="50" t="s">
        <v>207</v>
      </c>
      <c r="B38" s="51"/>
      <c r="C38" s="51"/>
      <c r="D38" s="51"/>
      <c r="E38" s="52"/>
    </row>
    <row r="39" spans="1:7" x14ac:dyDescent="0.3">
      <c r="A39" s="11" t="s">
        <v>208</v>
      </c>
      <c r="B39" s="11">
        <f>'Company 1'!F16</f>
        <v>18815.63</v>
      </c>
      <c r="C39" s="11">
        <f>'Company 1'!G16</f>
        <v>16265.6</v>
      </c>
      <c r="D39" s="11">
        <f>'Company 2'!F11</f>
        <v>332.55</v>
      </c>
      <c r="E39" s="11">
        <f>'Company 2'!G11</f>
        <v>335</v>
      </c>
      <c r="F39" s="42" t="s">
        <v>252</v>
      </c>
      <c r="G39" s="2" t="s">
        <v>260</v>
      </c>
    </row>
    <row r="40" spans="1:7" x14ac:dyDescent="0.3">
      <c r="A40" s="11" t="s">
        <v>189</v>
      </c>
      <c r="B40" s="11">
        <f>'Company 1'!F6</f>
        <v>7204.41</v>
      </c>
      <c r="C40" s="11">
        <f>'Company 1'!G6</f>
        <v>2195.79</v>
      </c>
      <c r="D40" s="11">
        <f>'Company 2'!F6</f>
        <v>512.69000000000005</v>
      </c>
      <c r="E40" s="11">
        <f>'Company 2'!G6</f>
        <v>277.17</v>
      </c>
      <c r="F40" s="42" t="s">
        <v>252</v>
      </c>
      <c r="G40" s="2" t="s">
        <v>259</v>
      </c>
    </row>
    <row r="41" spans="1:7" x14ac:dyDescent="0.3">
      <c r="A41" s="6" t="s">
        <v>209</v>
      </c>
      <c r="B41" s="35">
        <f>B39/B40</f>
        <v>2.6116822890424061</v>
      </c>
      <c r="C41" s="35">
        <f t="shared" ref="C41:E41" si="10">C39/C40</f>
        <v>7.4076300556974939</v>
      </c>
      <c r="D41" s="35">
        <f t="shared" si="10"/>
        <v>0.64863757826366808</v>
      </c>
      <c r="E41" s="35">
        <f t="shared" si="10"/>
        <v>1.2086445141970632</v>
      </c>
    </row>
    <row r="42" spans="1:7" x14ac:dyDescent="0.3">
      <c r="A42" s="47" t="s">
        <v>210</v>
      </c>
      <c r="B42" s="47"/>
      <c r="C42" s="47"/>
      <c r="D42" s="47"/>
      <c r="E42" s="47"/>
    </row>
    <row r="43" spans="1:7" x14ac:dyDescent="0.3">
      <c r="A43" s="9" t="s">
        <v>211</v>
      </c>
      <c r="B43" s="11">
        <f>'Company 1'!F21</f>
        <v>0</v>
      </c>
      <c r="C43" s="11">
        <f>'Company 1'!G27</f>
        <v>93.57</v>
      </c>
      <c r="D43" s="11">
        <f>'Company 2'!F20</f>
        <v>235.73</v>
      </c>
      <c r="E43" s="11">
        <f>'Company 2'!G20</f>
        <v>167.34</v>
      </c>
      <c r="F43" s="54" t="s">
        <v>252</v>
      </c>
    </row>
    <row r="44" spans="1:7" x14ac:dyDescent="0.3">
      <c r="A44" s="9" t="s">
        <v>213</v>
      </c>
      <c r="B44" s="11">
        <f>'Company 1'!B31</f>
        <v>76794.100000000006</v>
      </c>
      <c r="C44" s="11">
        <f>'Company 1'!C31</f>
        <v>94424.23</v>
      </c>
      <c r="D44" s="11">
        <f>'Company 2'!B30</f>
        <v>9440.3100000000013</v>
      </c>
      <c r="E44" s="11">
        <f>'Company 2'!C30</f>
        <v>11523.48</v>
      </c>
      <c r="F44" s="42" t="s">
        <v>251</v>
      </c>
    </row>
    <row r="45" spans="1:7" x14ac:dyDescent="0.3">
      <c r="A45" s="6" t="s">
        <v>212</v>
      </c>
      <c r="B45" s="35">
        <f>B43/B44</f>
        <v>0</v>
      </c>
      <c r="C45" s="35">
        <f t="shared" ref="C45:E45" si="11">C43/C44</f>
        <v>9.9095327544635511E-4</v>
      </c>
      <c r="D45" s="35">
        <f t="shared" si="11"/>
        <v>2.4970578296687286E-2</v>
      </c>
      <c r="E45" s="35">
        <f t="shared" si="11"/>
        <v>1.4521654916743901E-2</v>
      </c>
    </row>
    <row r="46" spans="1:7" x14ac:dyDescent="0.3">
      <c r="A46" s="47" t="s">
        <v>214</v>
      </c>
      <c r="B46" s="47"/>
      <c r="C46" s="47"/>
      <c r="D46" s="47"/>
      <c r="E46" s="47"/>
    </row>
    <row r="47" spans="1:7" x14ac:dyDescent="0.3">
      <c r="A47" s="9" t="s">
        <v>192</v>
      </c>
      <c r="B47" s="11">
        <f>'Company 1'!F18+'Company 1'!F16</f>
        <v>-6396.5099999999984</v>
      </c>
      <c r="C47" s="11">
        <f>'Company 1'!G18+'Company 1'!G16</f>
        <v>13601.150000000001</v>
      </c>
      <c r="D47" s="11">
        <f>'Company 2'!F15+'Company 2'!F11</f>
        <v>2334.17</v>
      </c>
      <c r="E47" s="11">
        <f>'Company 2'!G15+'Company 2'!G11</f>
        <v>1611.74</v>
      </c>
      <c r="F47" s="54" t="s">
        <v>256</v>
      </c>
    </row>
    <row r="48" spans="1:7" x14ac:dyDescent="0.3">
      <c r="A48" s="9" t="s">
        <v>215</v>
      </c>
      <c r="B48" s="11">
        <f>'Company 1'!F20</f>
        <v>0</v>
      </c>
      <c r="C48" s="11">
        <f>'Company 1'!G24</f>
        <v>-26664.45</v>
      </c>
      <c r="D48" s="11">
        <f>'Company 2'!F19</f>
        <v>0</v>
      </c>
      <c r="E48" s="11">
        <f>'Company 2'!G19</f>
        <v>0</v>
      </c>
    </row>
    <row r="49" spans="1:5" x14ac:dyDescent="0.3">
      <c r="A49" s="9" t="s">
        <v>216</v>
      </c>
      <c r="B49" s="36">
        <f>B48/B47</f>
        <v>0</v>
      </c>
      <c r="C49" s="36">
        <f t="shared" ref="C49:E49" si="12">C48/C47</f>
        <v>-1.9604555497145459</v>
      </c>
      <c r="D49" s="36">
        <f t="shared" si="12"/>
        <v>0</v>
      </c>
      <c r="E49" s="36">
        <f t="shared" si="12"/>
        <v>0</v>
      </c>
    </row>
    <row r="50" spans="1:5" x14ac:dyDescent="0.3">
      <c r="A50" s="9" t="s">
        <v>167</v>
      </c>
      <c r="B50" s="11">
        <f>'Company 1'!B31-'Company 1'!B57</f>
        <v>-96452.579999999987</v>
      </c>
      <c r="C50" s="11">
        <f>'Company 1'!C31-'Company 1'!C57</f>
        <v>-60743.510000000024</v>
      </c>
      <c r="D50" s="11">
        <f>'Company 2'!B30-'Company 2'!B52</f>
        <v>8484.8700000000008</v>
      </c>
      <c r="E50" s="11">
        <f>'Company 2'!C30-'Company 2'!C52</f>
        <v>10855.22</v>
      </c>
    </row>
    <row r="51" spans="1:5" x14ac:dyDescent="0.3">
      <c r="A51" s="6" t="s">
        <v>217</v>
      </c>
      <c r="B51" s="35">
        <f>(B47*(1-B49))/B50</f>
        <v>6.6317666152631682E-2</v>
      </c>
      <c r="C51" s="35">
        <f t="shared" ref="C51:E51" si="13">(C47*(1-C49))/C50</f>
        <v>-0.66287904666687825</v>
      </c>
      <c r="D51" s="35">
        <f t="shared" si="13"/>
        <v>0.27509790957315783</v>
      </c>
      <c r="E51" s="35">
        <f t="shared" si="13"/>
        <v>0.14847603272895438</v>
      </c>
    </row>
    <row r="52" spans="1:5" x14ac:dyDescent="0.3">
      <c r="A52" s="50" t="s">
        <v>218</v>
      </c>
      <c r="B52" s="51"/>
      <c r="C52" s="51"/>
      <c r="D52" s="51"/>
      <c r="E52" s="52"/>
    </row>
    <row r="53" spans="1:5" x14ac:dyDescent="0.3">
      <c r="A53" s="9" t="s">
        <v>211</v>
      </c>
      <c r="B53" s="11">
        <f>'Company 1'!F21</f>
        <v>0</v>
      </c>
      <c r="C53" s="11">
        <f>'Company 1'!G27</f>
        <v>93.57</v>
      </c>
      <c r="D53" s="11">
        <f>'Company 2'!F20</f>
        <v>235.73</v>
      </c>
      <c r="E53" s="11">
        <f>'Company 2'!G20</f>
        <v>167.34</v>
      </c>
    </row>
    <row r="54" spans="1:5" x14ac:dyDescent="0.3">
      <c r="A54" s="9" t="s">
        <v>219</v>
      </c>
      <c r="B54" s="11">
        <f>'Company 1'!B37</f>
        <v>-85845.64</v>
      </c>
      <c r="C54" s="11">
        <f>'Company 1'!C37</f>
        <v>-60755.74</v>
      </c>
      <c r="D54" s="11">
        <f>'Company 2'!B35</f>
        <v>59399.71</v>
      </c>
      <c r="E54" s="11">
        <f>'Company 2'!C35</f>
        <v>40880.33</v>
      </c>
    </row>
    <row r="55" spans="1:5" x14ac:dyDescent="0.3">
      <c r="A55" s="6" t="s">
        <v>220</v>
      </c>
      <c r="B55" s="35">
        <f>B53/B54</f>
        <v>0</v>
      </c>
      <c r="C55" s="35">
        <f t="shared" ref="C55:E55" si="14">C53/C54</f>
        <v>-1.5401013961808382E-3</v>
      </c>
      <c r="D55" s="35">
        <f t="shared" si="14"/>
        <v>3.9685378935351706E-3</v>
      </c>
      <c r="E55" s="35">
        <f t="shared" si="14"/>
        <v>4.0934111833245967E-3</v>
      </c>
    </row>
    <row r="56" spans="1:5" x14ac:dyDescent="0.3">
      <c r="A56" s="47" t="s">
        <v>221</v>
      </c>
      <c r="B56" s="47"/>
      <c r="C56" s="47"/>
      <c r="D56" s="47"/>
      <c r="E56" s="47"/>
    </row>
    <row r="57" spans="1:5" x14ac:dyDescent="0.3">
      <c r="A57" s="9" t="s">
        <v>222</v>
      </c>
      <c r="B57" s="11">
        <v>9</v>
      </c>
      <c r="C57" s="11">
        <v>7</v>
      </c>
      <c r="D57" s="11">
        <v>3</v>
      </c>
      <c r="E57" s="11">
        <v>4</v>
      </c>
    </row>
    <row r="58" spans="1:5" x14ac:dyDescent="0.3">
      <c r="A58" s="9" t="s">
        <v>223</v>
      </c>
      <c r="B58" s="11">
        <v>3.24</v>
      </c>
      <c r="C58" s="11">
        <v>4.34</v>
      </c>
      <c r="D58" s="11">
        <f>'Company 2'!F32</f>
        <v>2.09</v>
      </c>
      <c r="E58" s="11">
        <f>'Company 2'!G32</f>
        <v>3.08</v>
      </c>
    </row>
    <row r="59" spans="1:5" x14ac:dyDescent="0.3">
      <c r="A59" s="6" t="s">
        <v>224</v>
      </c>
      <c r="B59" s="31">
        <f>B57/B58</f>
        <v>2.7777777777777777</v>
      </c>
      <c r="C59" s="31">
        <f t="shared" ref="C59:E59" si="15">C57/C58</f>
        <v>1.6129032258064517</v>
      </c>
      <c r="D59" s="31">
        <f t="shared" si="15"/>
        <v>1.4354066985645935</v>
      </c>
      <c r="E59" s="31">
        <f t="shared" si="15"/>
        <v>1.2987012987012987</v>
      </c>
    </row>
    <row r="60" spans="1:5" x14ac:dyDescent="0.3">
      <c r="A60" s="47" t="s">
        <v>227</v>
      </c>
      <c r="B60" s="47"/>
      <c r="C60" s="47"/>
      <c r="D60" s="47"/>
      <c r="E60" s="47"/>
    </row>
    <row r="61" spans="1:5" x14ac:dyDescent="0.3">
      <c r="A61" s="9" t="s">
        <v>222</v>
      </c>
      <c r="B61" s="11">
        <f>B57</f>
        <v>9</v>
      </c>
      <c r="C61" s="11">
        <f t="shared" ref="C61:E61" si="16">C57</f>
        <v>7</v>
      </c>
      <c r="D61" s="11">
        <f t="shared" si="16"/>
        <v>3</v>
      </c>
      <c r="E61" s="11">
        <f t="shared" si="16"/>
        <v>4</v>
      </c>
    </row>
    <row r="62" spans="1:5" x14ac:dyDescent="0.3">
      <c r="A62" s="9" t="s">
        <v>225</v>
      </c>
      <c r="B62" s="11">
        <v>1333.7</v>
      </c>
      <c r="C62" s="11">
        <v>2208.0500000000002</v>
      </c>
      <c r="D62" s="11">
        <v>60.15</v>
      </c>
      <c r="E62" s="11">
        <v>250.86</v>
      </c>
    </row>
    <row r="63" spans="1:5" x14ac:dyDescent="0.3">
      <c r="A63" s="6" t="s">
        <v>226</v>
      </c>
      <c r="B63" s="35">
        <f>B61/B62</f>
        <v>6.7481442603284092E-3</v>
      </c>
      <c r="C63" s="35">
        <f t="shared" ref="C63:E63" si="17">C61/C62</f>
        <v>3.1702180657140915E-3</v>
      </c>
      <c r="D63" s="35">
        <f t="shared" si="17"/>
        <v>4.9875311720698257E-2</v>
      </c>
      <c r="E63" s="35">
        <f t="shared" si="17"/>
        <v>1.5945148688511518E-2</v>
      </c>
    </row>
    <row r="64" spans="1:5" x14ac:dyDescent="0.3">
      <c r="A64" s="47" t="s">
        <v>228</v>
      </c>
      <c r="B64" s="47"/>
      <c r="C64" s="47"/>
      <c r="D64" s="47"/>
      <c r="E64" s="47"/>
    </row>
    <row r="65" spans="1:5" x14ac:dyDescent="0.3">
      <c r="A65" s="9" t="s">
        <v>229</v>
      </c>
      <c r="B65" s="11">
        <v>3</v>
      </c>
      <c r="C65" s="11">
        <v>3.2</v>
      </c>
      <c r="D65" s="11">
        <f>'Company 2'!F32</f>
        <v>2.09</v>
      </c>
      <c r="E65" s="11">
        <f>'Company 2'!G32</f>
        <v>3.08</v>
      </c>
    </row>
    <row r="66" spans="1:5" x14ac:dyDescent="0.3">
      <c r="A66" s="9" t="s">
        <v>225</v>
      </c>
      <c r="B66" s="11">
        <v>1333.7</v>
      </c>
      <c r="C66" s="11">
        <v>2208.0500000000002</v>
      </c>
      <c r="D66" s="11">
        <v>60.15</v>
      </c>
      <c r="E66" s="11">
        <v>250.86</v>
      </c>
    </row>
    <row r="67" spans="1:5" x14ac:dyDescent="0.3">
      <c r="A67" s="37" t="s">
        <v>230</v>
      </c>
      <c r="B67" s="35">
        <f>B65/B66</f>
        <v>2.2493814201094697E-3</v>
      </c>
      <c r="C67" s="35">
        <f t="shared" ref="C67:E67" si="18">C65/C66</f>
        <v>1.4492425443264419E-3</v>
      </c>
      <c r="D67" s="35">
        <f t="shared" si="18"/>
        <v>3.4746467165419785E-2</v>
      </c>
      <c r="E67" s="35">
        <f t="shared" si="18"/>
        <v>1.2277764490153871E-2</v>
      </c>
    </row>
    <row r="68" spans="1:5" x14ac:dyDescent="0.3">
      <c r="A68" s="47" t="s">
        <v>232</v>
      </c>
      <c r="B68" s="47"/>
      <c r="C68" s="47"/>
      <c r="D68" s="47"/>
      <c r="E68" s="47"/>
    </row>
    <row r="69" spans="1:5" x14ac:dyDescent="0.3">
      <c r="A69" s="9" t="s">
        <v>225</v>
      </c>
      <c r="B69" s="11">
        <f>B66</f>
        <v>1333.7</v>
      </c>
      <c r="C69" s="11">
        <f t="shared" ref="C69:E69" si="19">C66</f>
        <v>2208.0500000000002</v>
      </c>
      <c r="D69" s="11">
        <f t="shared" si="19"/>
        <v>60.15</v>
      </c>
      <c r="E69" s="11">
        <f t="shared" si="19"/>
        <v>250.86</v>
      </c>
    </row>
    <row r="70" spans="1:5" x14ac:dyDescent="0.3">
      <c r="A70" s="9" t="s">
        <v>229</v>
      </c>
      <c r="B70" s="11">
        <v>3.24</v>
      </c>
      <c r="C70" s="11">
        <v>4.34</v>
      </c>
      <c r="D70" s="11">
        <f>'Company 2'!F32</f>
        <v>2.09</v>
      </c>
      <c r="E70" s="11">
        <f>'Company 2'!G32</f>
        <v>3.08</v>
      </c>
    </row>
    <row r="71" spans="1:5" x14ac:dyDescent="0.3">
      <c r="A71" s="6" t="s">
        <v>231</v>
      </c>
      <c r="B71" s="31">
        <f>B69/B70</f>
        <v>411.6358024691358</v>
      </c>
      <c r="C71" s="31">
        <f t="shared" ref="C71:E71" si="20">C69/C70</f>
        <v>508.76728110599083</v>
      </c>
      <c r="D71" s="31">
        <f t="shared" si="20"/>
        <v>28.779904306220097</v>
      </c>
      <c r="E71" s="31">
        <f t="shared" si="20"/>
        <v>81.448051948051955</v>
      </c>
    </row>
  </sheetData>
  <mergeCells count="18">
    <mergeCell ref="A68:E68"/>
    <mergeCell ref="A42:E42"/>
    <mergeCell ref="A46:E46"/>
    <mergeCell ref="A52:E52"/>
    <mergeCell ref="A56:E56"/>
    <mergeCell ref="A60:E60"/>
    <mergeCell ref="A64:E64"/>
    <mergeCell ref="A38:E38"/>
    <mergeCell ref="A1:E1"/>
    <mergeCell ref="A2:A3"/>
    <mergeCell ref="B2:C2"/>
    <mergeCell ref="D2:E2"/>
    <mergeCell ref="A4:E4"/>
    <mergeCell ref="A11:E11"/>
    <mergeCell ref="A15:E15"/>
    <mergeCell ref="A21:E21"/>
    <mergeCell ref="A28:E28"/>
    <mergeCell ref="A34:E3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8D0-0CBD-4074-926C-8A4161090EA8}">
  <sheetPr codeName="Sheet8"/>
  <dimension ref="N163"/>
  <sheetViews>
    <sheetView workbookViewId="0">
      <selection activeCell="N169" sqref="N169"/>
    </sheetView>
  </sheetViews>
  <sheetFormatPr defaultRowHeight="14.4" x14ac:dyDescent="0.3"/>
  <sheetData>
    <row r="163" spans="14:14" x14ac:dyDescent="0.3">
      <c r="N163" t="s">
        <v>247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r 0 q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C r 0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9 K l Y o i k e 4 D g A A A B E A A A A T A B w A R m 9 y b X V s Y X M v U 2 V j d G l v b j E u b S C i G A A o o B Q A A A A A A A A A A A A A A A A A A A A A A A A A A A A r T k 0 u y c z P U w i G 0 I b W A F B L A Q I t A B Q A A g A I A A q 9 K l Z f I S E u p A A A A P Y A A A A S A A A A A A A A A A A A A A A A A A A A A A B D b 2 5 m a W c v U G F j a 2 F n Z S 5 4 b W x Q S w E C L Q A U A A I A C A A K v S p W D 8 r p q 6 Q A A A D p A A A A E w A A A A A A A A A A A A A A A A D w A A A A W 0 N v b n R l b n R f V H l w Z X N d L n h t b F B L A Q I t A B Q A A g A I A A q 9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d V F R y 0 P L R p u P 9 m 2 e J 7 D c A A A A A A I A A A A A A B B m A A A A A Q A A I A A A A H S + j p H d G 5 d U G h o I i F B 3 T l A P k W 8 P l 2 c / X F u Y t 3 r e w l + r A A A A A A 6 A A A A A A g A A I A A A A M 9 q 0 u s T r l X 4 B r M A Q 1 S S / C 6 l 2 m 2 i V 6 A f r z 1 8 1 4 8 G r 2 5 S U A A A A A k f m h c p / I j j E n e i H U T O S 4 1 r l c o n e L / 5 l M V h N F 7 + F 6 W h 4 9 n e q 0 o N D 9 c v e C x w 8 v 7 Y Z l O P z V z N k h L / I 5 0 b Q j q / 2 y a D A M 6 Y L h m j / K Q f o h N t 7 W E + Q A A A A B d o c E T 2 m l N H k E Y p j E 4 x F P T q / J j F U 3 q L 4 4 7 r K C R K M n C W b m B 0 u O 0 + b b p S 7 u h d o j I X p x B C 7 + 3 5 E x i w B S j L e a I I i m 0 = < / D a t a M a s h u p > 
</file>

<file path=customXml/itemProps1.xml><?xml version="1.0" encoding="utf-8"?>
<ds:datastoreItem xmlns:ds="http://schemas.openxmlformats.org/officeDocument/2006/customXml" ds:itemID="{27C7658F-F012-46D8-B90F-0AC4C83C24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Company 1</vt:lpstr>
      <vt:lpstr>Company 2</vt:lpstr>
      <vt:lpstr>Liquidity Ratios</vt:lpstr>
      <vt:lpstr>Capital Structure Ratios</vt:lpstr>
      <vt:lpstr>Turnover Ratios</vt:lpstr>
      <vt:lpstr>Profitability Ratios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</dc:creator>
  <cp:lastModifiedBy>KUNAL</cp:lastModifiedBy>
  <dcterms:created xsi:type="dcterms:W3CDTF">2022-01-12T09:01:59Z</dcterms:created>
  <dcterms:modified xsi:type="dcterms:W3CDTF">2023-04-03T16:59:46Z</dcterms:modified>
</cp:coreProperties>
</file>