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My Documents\Side Projects\"/>
    </mc:Choice>
  </mc:AlternateContent>
  <bookViews>
    <workbookView xWindow="0" yWindow="0" windowWidth="22632" windowHeight="6168"/>
  </bookViews>
  <sheets>
    <sheet name="EV" sheetId="1" r:id="rId1"/>
    <sheet name="Taxes, Titles, Fe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3" i="1" l="1"/>
  <c r="G63" i="1"/>
  <c r="N65"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M65" i="1"/>
  <c r="E65" i="1"/>
  <c r="H65" i="1"/>
  <c r="I65" i="1" s="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P65" i="1"/>
  <c r="J65" i="1"/>
  <c r="D6" i="1"/>
  <c r="D17" i="1" s="1"/>
  <c r="C6" i="1"/>
  <c r="C7" i="1"/>
  <c r="D7" i="1"/>
  <c r="C9" i="1"/>
  <c r="D9" i="1"/>
  <c r="D65" i="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B9" i="1"/>
  <c r="B7" i="1"/>
  <c r="B6" i="1"/>
  <c r="C17" i="1" l="1"/>
  <c r="G65" i="1" s="1"/>
  <c r="P66" i="1"/>
  <c r="J66" i="1"/>
  <c r="B17" i="1"/>
  <c r="A65" i="1" s="1"/>
  <c r="D136" i="1"/>
  <c r="B65" i="1" l="1"/>
  <c r="A63" i="1"/>
  <c r="P67" i="1"/>
  <c r="J67" i="1"/>
  <c r="G66" i="1"/>
  <c r="D137" i="1"/>
  <c r="H66" i="1" l="1"/>
  <c r="C65" i="1"/>
  <c r="A66" i="1" s="1"/>
  <c r="B66" i="1" s="1"/>
  <c r="O65" i="1"/>
  <c r="M66" i="1" s="1"/>
  <c r="P68" i="1"/>
  <c r="J68" i="1"/>
  <c r="D138" i="1"/>
  <c r="I66" i="1" l="1"/>
  <c r="G67" i="1" s="1"/>
  <c r="H67" i="1" s="1"/>
  <c r="C66" i="1"/>
  <c r="N66" i="1"/>
  <c r="P69" i="1"/>
  <c r="J69" i="1"/>
  <c r="D139" i="1"/>
  <c r="O66" i="1" l="1"/>
  <c r="M67" i="1" s="1"/>
  <c r="N67" i="1" s="1"/>
  <c r="O67" i="1" s="1"/>
  <c r="M68" i="1" s="1"/>
  <c r="N68" i="1" s="1"/>
  <c r="O68" i="1" s="1"/>
  <c r="M69" i="1" s="1"/>
  <c r="N69" i="1" s="1"/>
  <c r="I67" i="1"/>
  <c r="G68" i="1" s="1"/>
  <c r="H68" i="1" s="1"/>
  <c r="A67" i="1"/>
  <c r="B67" i="1" s="1"/>
  <c r="P70" i="1"/>
  <c r="J70" i="1"/>
  <c r="D140" i="1"/>
  <c r="I68" i="1" l="1"/>
  <c r="G69" i="1" s="1"/>
  <c r="H69" i="1"/>
  <c r="I69" i="1" s="1"/>
  <c r="G70" i="1" s="1"/>
  <c r="C67" i="1"/>
  <c r="A68" i="1" s="1"/>
  <c r="B68" i="1" s="1"/>
  <c r="O69" i="1"/>
  <c r="M70" i="1" s="1"/>
  <c r="N70" i="1" s="1"/>
  <c r="P71" i="1"/>
  <c r="J71" i="1"/>
  <c r="D141" i="1"/>
  <c r="H70" i="1" l="1"/>
  <c r="I70" i="1" s="1"/>
  <c r="G71" i="1" s="1"/>
  <c r="C68" i="1"/>
  <c r="O70" i="1"/>
  <c r="M71" i="1" s="1"/>
  <c r="N71" i="1" s="1"/>
  <c r="P72" i="1"/>
  <c r="J72" i="1"/>
  <c r="D142" i="1"/>
  <c r="H71" i="1" l="1"/>
  <c r="I71" i="1" s="1"/>
  <c r="G72" i="1" s="1"/>
  <c r="O71" i="1"/>
  <c r="M72" i="1" s="1"/>
  <c r="N72" i="1" s="1"/>
  <c r="P73" i="1"/>
  <c r="J73" i="1"/>
  <c r="D143" i="1"/>
  <c r="A69" i="1"/>
  <c r="B69" i="1" s="1"/>
  <c r="H72" i="1" l="1"/>
  <c r="I72" i="1" s="1"/>
  <c r="G73" i="1" s="1"/>
  <c r="C69" i="1"/>
  <c r="O72" i="1"/>
  <c r="M73" i="1" s="1"/>
  <c r="N73" i="1" s="1"/>
  <c r="P74" i="1"/>
  <c r="J74" i="1"/>
  <c r="D144" i="1"/>
  <c r="H73" i="1" l="1"/>
  <c r="I73" i="1" s="1"/>
  <c r="G74" i="1" s="1"/>
  <c r="O73" i="1"/>
  <c r="M74" i="1" s="1"/>
  <c r="N74" i="1" s="1"/>
  <c r="P75" i="1"/>
  <c r="J75" i="1"/>
  <c r="D145" i="1"/>
  <c r="A70" i="1"/>
  <c r="B70" i="1" s="1"/>
  <c r="C70" i="1" s="1"/>
  <c r="H74" i="1" l="1"/>
  <c r="I74" i="1" s="1"/>
  <c r="G75" i="1" s="1"/>
  <c r="O74" i="1"/>
  <c r="M75" i="1" s="1"/>
  <c r="N75" i="1" s="1"/>
  <c r="P76" i="1"/>
  <c r="J76" i="1"/>
  <c r="D146" i="1"/>
  <c r="H75" i="1" l="1"/>
  <c r="I75" i="1" s="1"/>
  <c r="G76" i="1" s="1"/>
  <c r="O75" i="1"/>
  <c r="M76" i="1" s="1"/>
  <c r="N76" i="1" s="1"/>
  <c r="P77" i="1"/>
  <c r="J77" i="1"/>
  <c r="D147" i="1"/>
  <c r="A71" i="1"/>
  <c r="B71" i="1" s="1"/>
  <c r="C71" i="1" s="1"/>
  <c r="H76" i="1" l="1"/>
  <c r="I76" i="1" s="1"/>
  <c r="G77" i="1" s="1"/>
  <c r="O76" i="1"/>
  <c r="M77" i="1" s="1"/>
  <c r="N77" i="1" s="1"/>
  <c r="P78" i="1"/>
  <c r="J78" i="1"/>
  <c r="D148" i="1"/>
  <c r="H77" i="1" l="1"/>
  <c r="I77" i="1" s="1"/>
  <c r="G78" i="1" s="1"/>
  <c r="O77" i="1"/>
  <c r="M78" i="1" s="1"/>
  <c r="N78" i="1" s="1"/>
  <c r="P79" i="1"/>
  <c r="J79" i="1"/>
  <c r="D149" i="1"/>
  <c r="A72" i="1"/>
  <c r="B72" i="1" s="1"/>
  <c r="C72" i="1" s="1"/>
  <c r="H78" i="1" l="1"/>
  <c r="I78" i="1" s="1"/>
  <c r="G79" i="1" s="1"/>
  <c r="O78" i="1"/>
  <c r="M79" i="1" s="1"/>
  <c r="N79" i="1" s="1"/>
  <c r="P80" i="1"/>
  <c r="J80" i="1"/>
  <c r="D150" i="1"/>
  <c r="H79" i="1" l="1"/>
  <c r="I79" i="1" s="1"/>
  <c r="G80" i="1" s="1"/>
  <c r="O79" i="1"/>
  <c r="M80" i="1" s="1"/>
  <c r="N80" i="1" s="1"/>
  <c r="P81" i="1"/>
  <c r="J81" i="1"/>
  <c r="D151" i="1"/>
  <c r="A73" i="1"/>
  <c r="B73" i="1" s="1"/>
  <c r="C73" i="1" s="1"/>
  <c r="H80" i="1" l="1"/>
  <c r="I80" i="1" s="1"/>
  <c r="G81" i="1" s="1"/>
  <c r="O80" i="1"/>
  <c r="M81" i="1" s="1"/>
  <c r="N81" i="1" s="1"/>
  <c r="P82" i="1"/>
  <c r="J82" i="1"/>
  <c r="D152" i="1"/>
  <c r="H81" i="1" l="1"/>
  <c r="I81" i="1" s="1"/>
  <c r="G82" i="1" s="1"/>
  <c r="O81" i="1"/>
  <c r="M82" i="1" s="1"/>
  <c r="N82" i="1" s="1"/>
  <c r="P83" i="1"/>
  <c r="J83" i="1"/>
  <c r="D153" i="1"/>
  <c r="A74" i="1"/>
  <c r="B74" i="1" s="1"/>
  <c r="C74" i="1" s="1"/>
  <c r="H82" i="1" l="1"/>
  <c r="I82" i="1" s="1"/>
  <c r="G83" i="1" s="1"/>
  <c r="O82" i="1"/>
  <c r="M83" i="1" s="1"/>
  <c r="N83" i="1" s="1"/>
  <c r="P84" i="1"/>
  <c r="J84" i="1"/>
  <c r="D154" i="1"/>
  <c r="H83" i="1" l="1"/>
  <c r="I83" i="1" s="1"/>
  <c r="G84" i="1" s="1"/>
  <c r="O83" i="1"/>
  <c r="M84" i="1" s="1"/>
  <c r="N84" i="1" s="1"/>
  <c r="P85" i="1"/>
  <c r="J85" i="1"/>
  <c r="D155" i="1"/>
  <c r="A75" i="1"/>
  <c r="B75" i="1" s="1"/>
  <c r="C75" i="1" s="1"/>
  <c r="H84" i="1" l="1"/>
  <c r="I84" i="1" s="1"/>
  <c r="G85" i="1" s="1"/>
  <c r="O84" i="1"/>
  <c r="M85" i="1" s="1"/>
  <c r="N85" i="1" s="1"/>
  <c r="P86" i="1"/>
  <c r="J86" i="1"/>
  <c r="D156" i="1"/>
  <c r="H85" i="1" l="1"/>
  <c r="I85" i="1"/>
  <c r="G86" i="1" s="1"/>
  <c r="O85" i="1"/>
  <c r="M86" i="1" s="1"/>
  <c r="N86" i="1" s="1"/>
  <c r="P87" i="1"/>
  <c r="J87" i="1"/>
  <c r="D157" i="1"/>
  <c r="A76" i="1"/>
  <c r="B76" i="1" s="1"/>
  <c r="C76" i="1" s="1"/>
  <c r="H86" i="1" l="1"/>
  <c r="I86" i="1" s="1"/>
  <c r="G87" i="1" s="1"/>
  <c r="O86" i="1"/>
  <c r="M87" i="1" s="1"/>
  <c r="N87" i="1" s="1"/>
  <c r="P88" i="1"/>
  <c r="J88" i="1"/>
  <c r="D158" i="1"/>
  <c r="H87" i="1" l="1"/>
  <c r="I87" i="1" s="1"/>
  <c r="G88" i="1" s="1"/>
  <c r="O87" i="1"/>
  <c r="M88" i="1" s="1"/>
  <c r="N88" i="1" s="1"/>
  <c r="P89" i="1"/>
  <c r="J89" i="1"/>
  <c r="D159" i="1"/>
  <c r="A77" i="1"/>
  <c r="B77" i="1" s="1"/>
  <c r="C77" i="1" s="1"/>
  <c r="H88" i="1" l="1"/>
  <c r="I88" i="1" s="1"/>
  <c r="G89" i="1" s="1"/>
  <c r="O88" i="1"/>
  <c r="M89" i="1" s="1"/>
  <c r="N89" i="1" s="1"/>
  <c r="P90" i="1"/>
  <c r="J90" i="1"/>
  <c r="D160" i="1"/>
  <c r="H89" i="1" l="1"/>
  <c r="I89" i="1" s="1"/>
  <c r="G90" i="1" s="1"/>
  <c r="O89" i="1"/>
  <c r="M90" i="1" s="1"/>
  <c r="N90" i="1" s="1"/>
  <c r="P91" i="1"/>
  <c r="J91" i="1"/>
  <c r="D161" i="1"/>
  <c r="A78" i="1"/>
  <c r="B78" i="1" s="1"/>
  <c r="C78" i="1" s="1"/>
  <c r="H90" i="1" l="1"/>
  <c r="I90" i="1" s="1"/>
  <c r="G91" i="1" s="1"/>
  <c r="O90" i="1"/>
  <c r="M91" i="1" s="1"/>
  <c r="N91" i="1" s="1"/>
  <c r="P92" i="1"/>
  <c r="J92" i="1"/>
  <c r="D162" i="1"/>
  <c r="H91" i="1" l="1"/>
  <c r="I91" i="1" s="1"/>
  <c r="G92" i="1" s="1"/>
  <c r="O91" i="1"/>
  <c r="M92" i="1" s="1"/>
  <c r="N92" i="1" s="1"/>
  <c r="P93" i="1"/>
  <c r="J93" i="1"/>
  <c r="D163" i="1"/>
  <c r="A79" i="1"/>
  <c r="B79" i="1" s="1"/>
  <c r="C79" i="1" s="1"/>
  <c r="H92" i="1" l="1"/>
  <c r="I92" i="1" s="1"/>
  <c r="G93" i="1" s="1"/>
  <c r="O92" i="1"/>
  <c r="M93" i="1" s="1"/>
  <c r="N93" i="1" s="1"/>
  <c r="P94" i="1"/>
  <c r="J94" i="1"/>
  <c r="D164" i="1"/>
  <c r="H93" i="1" l="1"/>
  <c r="I93" i="1" s="1"/>
  <c r="G94" i="1" s="1"/>
  <c r="P95" i="1"/>
  <c r="O93" i="1"/>
  <c r="M94" i="1" s="1"/>
  <c r="N94" i="1" s="1"/>
  <c r="J95" i="1"/>
  <c r="D165" i="1"/>
  <c r="A80" i="1"/>
  <c r="B80" i="1" s="1"/>
  <c r="C80" i="1" s="1"/>
  <c r="H94" i="1" l="1"/>
  <c r="I94" i="1" s="1"/>
  <c r="G95" i="1" s="1"/>
  <c r="O94" i="1"/>
  <c r="M95" i="1" s="1"/>
  <c r="N95" i="1" s="1"/>
  <c r="P96" i="1"/>
  <c r="J96" i="1"/>
  <c r="D166" i="1"/>
  <c r="H95" i="1" l="1"/>
  <c r="I95" i="1" s="1"/>
  <c r="G96" i="1" s="1"/>
  <c r="O95" i="1"/>
  <c r="M96" i="1" s="1"/>
  <c r="N96" i="1" s="1"/>
  <c r="P97" i="1"/>
  <c r="J97" i="1"/>
  <c r="D167" i="1"/>
  <c r="A81" i="1"/>
  <c r="B81" i="1" s="1"/>
  <c r="C81" i="1" s="1"/>
  <c r="H96" i="1" l="1"/>
  <c r="I96" i="1" s="1"/>
  <c r="G97" i="1" s="1"/>
  <c r="O96" i="1"/>
  <c r="M97" i="1" s="1"/>
  <c r="N97" i="1" s="1"/>
  <c r="P98" i="1"/>
  <c r="J98" i="1"/>
  <c r="D168" i="1"/>
  <c r="H97" i="1" l="1"/>
  <c r="I97" i="1" s="1"/>
  <c r="G98" i="1" s="1"/>
  <c r="O97" i="1"/>
  <c r="M98" i="1" s="1"/>
  <c r="N98" i="1" s="1"/>
  <c r="P99" i="1"/>
  <c r="J99" i="1"/>
  <c r="D169" i="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A82" i="1"/>
  <c r="B82" i="1" s="1"/>
  <c r="C82" i="1" s="1"/>
  <c r="H98" i="1" l="1"/>
  <c r="I98" i="1" s="1"/>
  <c r="G99" i="1" s="1"/>
  <c r="O98" i="1"/>
  <c r="M99" i="1" s="1"/>
  <c r="N99" i="1" s="1"/>
  <c r="P100" i="1"/>
  <c r="J100" i="1"/>
  <c r="H99" i="1" l="1"/>
  <c r="I99" i="1" s="1"/>
  <c r="G100" i="1" s="1"/>
  <c r="O99" i="1"/>
  <c r="M100" i="1" s="1"/>
  <c r="N100" i="1" s="1"/>
  <c r="P101" i="1"/>
  <c r="J101" i="1"/>
  <c r="A83" i="1"/>
  <c r="B83" i="1" s="1"/>
  <c r="C83" i="1" s="1"/>
  <c r="H100" i="1" l="1"/>
  <c r="I100" i="1" s="1"/>
  <c r="G101" i="1" s="1"/>
  <c r="O100" i="1"/>
  <c r="M101" i="1" s="1"/>
  <c r="N101" i="1" s="1"/>
  <c r="P102" i="1"/>
  <c r="J102" i="1"/>
  <c r="H101" i="1" l="1"/>
  <c r="I101" i="1" s="1"/>
  <c r="G102" i="1" s="1"/>
  <c r="O101" i="1"/>
  <c r="M102" i="1" s="1"/>
  <c r="N102" i="1" s="1"/>
  <c r="P103" i="1"/>
  <c r="J103" i="1"/>
  <c r="A84" i="1"/>
  <c r="B84" i="1" s="1"/>
  <c r="C84" i="1" s="1"/>
  <c r="H102" i="1" l="1"/>
  <c r="I102" i="1" s="1"/>
  <c r="G103" i="1" s="1"/>
  <c r="O102" i="1"/>
  <c r="M103" i="1" s="1"/>
  <c r="N103" i="1" s="1"/>
  <c r="P104" i="1"/>
  <c r="J104" i="1"/>
  <c r="H103" i="1" l="1"/>
  <c r="I103" i="1" s="1"/>
  <c r="G104" i="1" s="1"/>
  <c r="O103" i="1"/>
  <c r="M104" i="1" s="1"/>
  <c r="N104" i="1" s="1"/>
  <c r="P105" i="1"/>
  <c r="J105" i="1"/>
  <c r="A85" i="1"/>
  <c r="B85" i="1" s="1"/>
  <c r="C85" i="1" s="1"/>
  <c r="H104" i="1" l="1"/>
  <c r="I104" i="1" s="1"/>
  <c r="G105" i="1" s="1"/>
  <c r="O104" i="1"/>
  <c r="M105" i="1" s="1"/>
  <c r="N105" i="1" s="1"/>
  <c r="P106" i="1"/>
  <c r="J106" i="1"/>
  <c r="H105" i="1" l="1"/>
  <c r="I105" i="1" s="1"/>
  <c r="G106" i="1" s="1"/>
  <c r="O105" i="1"/>
  <c r="M106" i="1" s="1"/>
  <c r="N106" i="1" s="1"/>
  <c r="P107" i="1"/>
  <c r="J107" i="1"/>
  <c r="A86" i="1"/>
  <c r="B86" i="1" s="1"/>
  <c r="C86" i="1" s="1"/>
  <c r="H106" i="1" l="1"/>
  <c r="I106" i="1" s="1"/>
  <c r="G107" i="1" s="1"/>
  <c r="O106" i="1"/>
  <c r="M107" i="1" s="1"/>
  <c r="N107" i="1" s="1"/>
  <c r="P108" i="1"/>
  <c r="J108" i="1"/>
  <c r="H107" i="1" l="1"/>
  <c r="I107" i="1" s="1"/>
  <c r="G108" i="1" s="1"/>
  <c r="O107" i="1"/>
  <c r="M108" i="1" s="1"/>
  <c r="N108" i="1" s="1"/>
  <c r="P109" i="1"/>
  <c r="J109" i="1"/>
  <c r="A87" i="1"/>
  <c r="B87" i="1" s="1"/>
  <c r="C87" i="1" s="1"/>
  <c r="H108" i="1" l="1"/>
  <c r="I108" i="1" s="1"/>
  <c r="G109" i="1" s="1"/>
  <c r="O108" i="1"/>
  <c r="M109" i="1" s="1"/>
  <c r="N109" i="1" s="1"/>
  <c r="P110" i="1"/>
  <c r="J110" i="1"/>
  <c r="H109" i="1" l="1"/>
  <c r="I109" i="1" s="1"/>
  <c r="G110" i="1" s="1"/>
  <c r="O109" i="1"/>
  <c r="M110" i="1" s="1"/>
  <c r="N110" i="1" s="1"/>
  <c r="P111" i="1"/>
  <c r="J111" i="1"/>
  <c r="A88" i="1"/>
  <c r="B88" i="1" s="1"/>
  <c r="C88" i="1" s="1"/>
  <c r="H110" i="1" l="1"/>
  <c r="I110" i="1" s="1"/>
  <c r="G111" i="1" s="1"/>
  <c r="O110" i="1"/>
  <c r="M111" i="1" s="1"/>
  <c r="N111" i="1" s="1"/>
  <c r="P112" i="1"/>
  <c r="J112" i="1"/>
  <c r="H111" i="1" l="1"/>
  <c r="I111" i="1"/>
  <c r="G112" i="1" s="1"/>
  <c r="O111" i="1"/>
  <c r="M112" i="1" s="1"/>
  <c r="N112" i="1" s="1"/>
  <c r="P113" i="1"/>
  <c r="J113" i="1"/>
  <c r="A89" i="1"/>
  <c r="B89" i="1" s="1"/>
  <c r="C89" i="1" s="1"/>
  <c r="H112" i="1" l="1"/>
  <c r="I112" i="1"/>
  <c r="G113" i="1" s="1"/>
  <c r="O112" i="1"/>
  <c r="M113" i="1" s="1"/>
  <c r="N113" i="1" s="1"/>
  <c r="P114" i="1"/>
  <c r="J114" i="1"/>
  <c r="H113" i="1" l="1"/>
  <c r="I113" i="1"/>
  <c r="G114" i="1" s="1"/>
  <c r="O113" i="1"/>
  <c r="M114" i="1" s="1"/>
  <c r="N114" i="1" s="1"/>
  <c r="P115" i="1"/>
  <c r="J115" i="1"/>
  <c r="A90" i="1"/>
  <c r="B90" i="1" s="1"/>
  <c r="C90" i="1" s="1"/>
  <c r="H114" i="1" l="1"/>
  <c r="I114" i="1"/>
  <c r="G115" i="1" s="1"/>
  <c r="O114" i="1"/>
  <c r="M115" i="1" s="1"/>
  <c r="N115" i="1" s="1"/>
  <c r="P116" i="1"/>
  <c r="J116" i="1"/>
  <c r="H115" i="1" l="1"/>
  <c r="I115" i="1"/>
  <c r="G116" i="1" s="1"/>
  <c r="O115" i="1"/>
  <c r="M116" i="1" s="1"/>
  <c r="N116" i="1" s="1"/>
  <c r="P117" i="1"/>
  <c r="J117" i="1"/>
  <c r="A91" i="1"/>
  <c r="B91" i="1" s="1"/>
  <c r="C91" i="1" s="1"/>
  <c r="H116" i="1" l="1"/>
  <c r="I116" i="1"/>
  <c r="G117" i="1" s="1"/>
  <c r="O116" i="1"/>
  <c r="M117" i="1" s="1"/>
  <c r="N117" i="1" s="1"/>
  <c r="P118" i="1"/>
  <c r="J118" i="1"/>
  <c r="H117" i="1" l="1"/>
  <c r="I117" i="1"/>
  <c r="G118" i="1" s="1"/>
  <c r="O117" i="1"/>
  <c r="M118" i="1" s="1"/>
  <c r="N118" i="1" s="1"/>
  <c r="P119" i="1"/>
  <c r="J119" i="1"/>
  <c r="A92" i="1"/>
  <c r="B92" i="1" s="1"/>
  <c r="C92" i="1" s="1"/>
  <c r="H118" i="1" l="1"/>
  <c r="I118" i="1"/>
  <c r="G119" i="1" s="1"/>
  <c r="O118" i="1"/>
  <c r="M119" i="1" s="1"/>
  <c r="N119" i="1" s="1"/>
  <c r="P120" i="1"/>
  <c r="J120" i="1"/>
  <c r="H119" i="1" l="1"/>
  <c r="I119" i="1"/>
  <c r="G120" i="1" s="1"/>
  <c r="O119" i="1"/>
  <c r="M120" i="1" s="1"/>
  <c r="N120" i="1" s="1"/>
  <c r="P121" i="1"/>
  <c r="J121" i="1"/>
  <c r="A93" i="1"/>
  <c r="B93" i="1" s="1"/>
  <c r="C93" i="1" s="1"/>
  <c r="H120" i="1" l="1"/>
  <c r="I120" i="1"/>
  <c r="G121" i="1" s="1"/>
  <c r="O120" i="1"/>
  <c r="M121" i="1" s="1"/>
  <c r="N121" i="1" s="1"/>
  <c r="P122" i="1"/>
  <c r="J122" i="1"/>
  <c r="H121" i="1" l="1"/>
  <c r="I121" i="1"/>
  <c r="G122" i="1" s="1"/>
  <c r="O121" i="1"/>
  <c r="M122" i="1" s="1"/>
  <c r="N122" i="1" s="1"/>
  <c r="P123" i="1"/>
  <c r="J123" i="1"/>
  <c r="A94" i="1"/>
  <c r="B94" i="1" s="1"/>
  <c r="C94" i="1" s="1"/>
  <c r="H122" i="1" l="1"/>
  <c r="I122" i="1"/>
  <c r="G123" i="1" s="1"/>
  <c r="O122" i="1"/>
  <c r="M123" i="1" s="1"/>
  <c r="N123" i="1" s="1"/>
  <c r="P124" i="1"/>
  <c r="J124" i="1"/>
  <c r="H123" i="1" l="1"/>
  <c r="I123" i="1"/>
  <c r="G124" i="1" s="1"/>
  <c r="O123" i="1"/>
  <c r="M124" i="1" s="1"/>
  <c r="N124" i="1" s="1"/>
  <c r="P125" i="1"/>
  <c r="J125" i="1"/>
  <c r="A95" i="1"/>
  <c r="B95" i="1" s="1"/>
  <c r="C95" i="1" s="1"/>
  <c r="H124" i="1" l="1"/>
  <c r="I124" i="1"/>
  <c r="G125" i="1" s="1"/>
  <c r="O124" i="1"/>
  <c r="M125" i="1" s="1"/>
  <c r="N125" i="1" s="1"/>
  <c r="P126" i="1"/>
  <c r="J126" i="1"/>
  <c r="A96" i="1"/>
  <c r="B96" i="1" s="1"/>
  <c r="C96" i="1" s="1"/>
  <c r="H125" i="1" l="1"/>
  <c r="I125" i="1"/>
  <c r="G126" i="1" s="1"/>
  <c r="O125" i="1"/>
  <c r="M126" i="1" s="1"/>
  <c r="N126" i="1" s="1"/>
  <c r="P127" i="1"/>
  <c r="J127" i="1"/>
  <c r="H126" i="1" l="1"/>
  <c r="I126" i="1"/>
  <c r="G127" i="1" s="1"/>
  <c r="O126" i="1"/>
  <c r="M127" i="1" s="1"/>
  <c r="N127" i="1" s="1"/>
  <c r="P128" i="1"/>
  <c r="J128" i="1"/>
  <c r="A97" i="1"/>
  <c r="B97" i="1" s="1"/>
  <c r="C97" i="1" s="1"/>
  <c r="H127" i="1" l="1"/>
  <c r="I127" i="1"/>
  <c r="G128" i="1" s="1"/>
  <c r="O127" i="1"/>
  <c r="M128" i="1" s="1"/>
  <c r="N128" i="1" s="1"/>
  <c r="P129" i="1"/>
  <c r="J129" i="1"/>
  <c r="A98" i="1"/>
  <c r="B98" i="1" s="1"/>
  <c r="C98" i="1" s="1"/>
  <c r="H128" i="1" l="1"/>
  <c r="I128" i="1"/>
  <c r="G129" i="1" s="1"/>
  <c r="O128" i="1"/>
  <c r="M129" i="1" s="1"/>
  <c r="N129" i="1" s="1"/>
  <c r="P130" i="1"/>
  <c r="J130" i="1"/>
  <c r="A99" i="1"/>
  <c r="B99" i="1" s="1"/>
  <c r="C99" i="1" s="1"/>
  <c r="H129" i="1" l="1"/>
  <c r="I129" i="1"/>
  <c r="G130" i="1" s="1"/>
  <c r="O129" i="1"/>
  <c r="M130" i="1" s="1"/>
  <c r="N130" i="1" s="1"/>
  <c r="P131" i="1"/>
  <c r="J131" i="1"/>
  <c r="A100" i="1"/>
  <c r="B100" i="1" s="1"/>
  <c r="C100" i="1" s="1"/>
  <c r="H130" i="1" l="1"/>
  <c r="I130" i="1"/>
  <c r="G131" i="1" s="1"/>
  <c r="O130" i="1"/>
  <c r="M131" i="1" s="1"/>
  <c r="N131" i="1" s="1"/>
  <c r="P132" i="1"/>
  <c r="J132" i="1"/>
  <c r="H131" i="1" l="1"/>
  <c r="I131" i="1"/>
  <c r="G132" i="1" s="1"/>
  <c r="O131" i="1"/>
  <c r="M132" i="1" s="1"/>
  <c r="N132" i="1" s="1"/>
  <c r="P133" i="1"/>
  <c r="J133" i="1"/>
  <c r="A101" i="1"/>
  <c r="B101" i="1" s="1"/>
  <c r="C101" i="1" s="1"/>
  <c r="H132" i="1" l="1"/>
  <c r="I132" i="1"/>
  <c r="G133" i="1" s="1"/>
  <c r="O132" i="1"/>
  <c r="M133" i="1" s="1"/>
  <c r="N133" i="1" s="1"/>
  <c r="P134" i="1"/>
  <c r="J134" i="1"/>
  <c r="H133" i="1" l="1"/>
  <c r="I133" i="1"/>
  <c r="G134" i="1" s="1"/>
  <c r="O133" i="1"/>
  <c r="M134" i="1" s="1"/>
  <c r="N134" i="1" s="1"/>
  <c r="P135" i="1"/>
  <c r="J135" i="1"/>
  <c r="A102" i="1"/>
  <c r="B102" i="1" s="1"/>
  <c r="C102" i="1" s="1"/>
  <c r="H134" i="1" l="1"/>
  <c r="I134" i="1"/>
  <c r="G135" i="1" s="1"/>
  <c r="O134" i="1"/>
  <c r="M135" i="1" s="1"/>
  <c r="N135" i="1" s="1"/>
  <c r="P136" i="1"/>
  <c r="J136" i="1"/>
  <c r="H135" i="1" l="1"/>
  <c r="I135" i="1"/>
  <c r="G136" i="1" s="1"/>
  <c r="O135" i="1"/>
  <c r="M136" i="1" s="1"/>
  <c r="N136" i="1" s="1"/>
  <c r="P137" i="1"/>
  <c r="J137" i="1"/>
  <c r="A103" i="1"/>
  <c r="B103" i="1" s="1"/>
  <c r="C103" i="1" s="1"/>
  <c r="H136" i="1" l="1"/>
  <c r="I136" i="1"/>
  <c r="G137" i="1" s="1"/>
  <c r="O136" i="1"/>
  <c r="M137" i="1" s="1"/>
  <c r="N137" i="1" s="1"/>
  <c r="P138" i="1"/>
  <c r="J138" i="1"/>
  <c r="H137" i="1" l="1"/>
  <c r="I137" i="1"/>
  <c r="G138" i="1" s="1"/>
  <c r="O137" i="1"/>
  <c r="M138" i="1" s="1"/>
  <c r="N138" i="1" s="1"/>
  <c r="P139" i="1"/>
  <c r="J139" i="1"/>
  <c r="A104" i="1"/>
  <c r="B104" i="1" s="1"/>
  <c r="C104" i="1" s="1"/>
  <c r="H138" i="1" l="1"/>
  <c r="I138" i="1"/>
  <c r="G139" i="1" s="1"/>
  <c r="O138" i="1"/>
  <c r="M139" i="1" s="1"/>
  <c r="N139" i="1" s="1"/>
  <c r="P140" i="1"/>
  <c r="J140" i="1"/>
  <c r="H139" i="1" l="1"/>
  <c r="I139" i="1"/>
  <c r="G140" i="1" s="1"/>
  <c r="O139" i="1"/>
  <c r="M140" i="1" s="1"/>
  <c r="N140" i="1" s="1"/>
  <c r="P141" i="1"/>
  <c r="J141" i="1"/>
  <c r="A105" i="1"/>
  <c r="B105" i="1" s="1"/>
  <c r="C105" i="1" s="1"/>
  <c r="H140" i="1" l="1"/>
  <c r="I140" i="1"/>
  <c r="G141" i="1" s="1"/>
  <c r="O140" i="1"/>
  <c r="M141" i="1" s="1"/>
  <c r="N141" i="1" s="1"/>
  <c r="P142" i="1"/>
  <c r="J142" i="1"/>
  <c r="H141" i="1" l="1"/>
  <c r="I141" i="1"/>
  <c r="G142" i="1" s="1"/>
  <c r="O141" i="1"/>
  <c r="M142" i="1" s="1"/>
  <c r="N142" i="1" s="1"/>
  <c r="P143" i="1"/>
  <c r="J143" i="1"/>
  <c r="A106" i="1"/>
  <c r="B106" i="1" s="1"/>
  <c r="C106" i="1" s="1"/>
  <c r="H142" i="1" l="1"/>
  <c r="I142" i="1"/>
  <c r="G143" i="1" s="1"/>
  <c r="O142" i="1"/>
  <c r="M143" i="1" s="1"/>
  <c r="N143" i="1" s="1"/>
  <c r="P144" i="1"/>
  <c r="J144" i="1"/>
  <c r="H143" i="1" l="1"/>
  <c r="I143" i="1"/>
  <c r="G144" i="1" s="1"/>
  <c r="P145" i="1"/>
  <c r="O143" i="1"/>
  <c r="M144" i="1" s="1"/>
  <c r="N144" i="1" s="1"/>
  <c r="J145" i="1"/>
  <c r="A107" i="1"/>
  <c r="B107" i="1" s="1"/>
  <c r="C107" i="1" s="1"/>
  <c r="H144" i="1" l="1"/>
  <c r="I144" i="1"/>
  <c r="G145" i="1" s="1"/>
  <c r="O144" i="1"/>
  <c r="M145" i="1" s="1"/>
  <c r="N145" i="1" s="1"/>
  <c r="P146" i="1"/>
  <c r="J146" i="1"/>
  <c r="A108" i="1"/>
  <c r="B108" i="1" s="1"/>
  <c r="C108" i="1" s="1"/>
  <c r="H145" i="1" l="1"/>
  <c r="I145" i="1"/>
  <c r="G146" i="1" s="1"/>
  <c r="O145" i="1"/>
  <c r="M146" i="1" s="1"/>
  <c r="N146" i="1" s="1"/>
  <c r="P147" i="1"/>
  <c r="J147" i="1"/>
  <c r="H146" i="1" l="1"/>
  <c r="I146" i="1"/>
  <c r="G147" i="1" s="1"/>
  <c r="O146" i="1"/>
  <c r="M147" i="1" s="1"/>
  <c r="N147" i="1" s="1"/>
  <c r="P148" i="1"/>
  <c r="J148" i="1"/>
  <c r="A109" i="1"/>
  <c r="B109" i="1" s="1"/>
  <c r="C109" i="1" s="1"/>
  <c r="H147" i="1" l="1"/>
  <c r="I147" i="1"/>
  <c r="G148" i="1" s="1"/>
  <c r="O147" i="1"/>
  <c r="M148" i="1" s="1"/>
  <c r="N148" i="1" s="1"/>
  <c r="P149" i="1"/>
  <c r="J149" i="1"/>
  <c r="H148" i="1" l="1"/>
  <c r="I148" i="1"/>
  <c r="G149" i="1" s="1"/>
  <c r="O148" i="1"/>
  <c r="M149" i="1" s="1"/>
  <c r="N149" i="1" s="1"/>
  <c r="P150" i="1"/>
  <c r="J150" i="1"/>
  <c r="A110" i="1"/>
  <c r="B110" i="1" s="1"/>
  <c r="C110" i="1" s="1"/>
  <c r="H149" i="1" l="1"/>
  <c r="I149" i="1"/>
  <c r="G150" i="1" s="1"/>
  <c r="P151" i="1"/>
  <c r="O149" i="1"/>
  <c r="M150" i="1" s="1"/>
  <c r="N150" i="1" s="1"/>
  <c r="J151" i="1"/>
  <c r="H150" i="1" l="1"/>
  <c r="I150" i="1"/>
  <c r="G151" i="1" s="1"/>
  <c r="O150" i="1"/>
  <c r="M151" i="1" s="1"/>
  <c r="N151" i="1" s="1"/>
  <c r="P152" i="1"/>
  <c r="J152" i="1"/>
  <c r="A111" i="1"/>
  <c r="B111" i="1" s="1"/>
  <c r="C111" i="1" s="1"/>
  <c r="H151" i="1" l="1"/>
  <c r="I151" i="1"/>
  <c r="G152" i="1" s="1"/>
  <c r="O151" i="1"/>
  <c r="M152" i="1" s="1"/>
  <c r="N152" i="1" s="1"/>
  <c r="P153" i="1"/>
  <c r="J153" i="1"/>
  <c r="H152" i="1" l="1"/>
  <c r="I152" i="1"/>
  <c r="G153" i="1" s="1"/>
  <c r="O152" i="1"/>
  <c r="M153" i="1" s="1"/>
  <c r="N153" i="1" s="1"/>
  <c r="P154" i="1"/>
  <c r="J154" i="1"/>
  <c r="A112" i="1"/>
  <c r="B112" i="1" s="1"/>
  <c r="C112" i="1" s="1"/>
  <c r="H153" i="1" l="1"/>
  <c r="I153" i="1"/>
  <c r="G154" i="1" s="1"/>
  <c r="O153" i="1"/>
  <c r="M154" i="1" s="1"/>
  <c r="N154" i="1" s="1"/>
  <c r="P155" i="1"/>
  <c r="J155" i="1"/>
  <c r="H154" i="1" l="1"/>
  <c r="I154" i="1"/>
  <c r="G155" i="1" s="1"/>
  <c r="O154" i="1"/>
  <c r="M155" i="1" s="1"/>
  <c r="N155" i="1" s="1"/>
  <c r="P156" i="1"/>
  <c r="J156" i="1"/>
  <c r="A113" i="1"/>
  <c r="B113" i="1" s="1"/>
  <c r="C113" i="1" s="1"/>
  <c r="H155" i="1" l="1"/>
  <c r="I155" i="1"/>
  <c r="G156" i="1" s="1"/>
  <c r="O155" i="1"/>
  <c r="M156" i="1" s="1"/>
  <c r="N156" i="1" s="1"/>
  <c r="P157" i="1"/>
  <c r="J157" i="1"/>
  <c r="H156" i="1" l="1"/>
  <c r="I156" i="1"/>
  <c r="G157" i="1" s="1"/>
  <c r="O156" i="1"/>
  <c r="M157" i="1" s="1"/>
  <c r="N157" i="1" s="1"/>
  <c r="P158" i="1"/>
  <c r="J158" i="1"/>
  <c r="A114" i="1"/>
  <c r="B114" i="1" s="1"/>
  <c r="C114" i="1" s="1"/>
  <c r="H157" i="1" l="1"/>
  <c r="I157" i="1"/>
  <c r="G158" i="1" s="1"/>
  <c r="O157" i="1"/>
  <c r="M158" i="1" s="1"/>
  <c r="N158" i="1" s="1"/>
  <c r="P159" i="1"/>
  <c r="J159" i="1"/>
  <c r="H158" i="1" l="1"/>
  <c r="I158" i="1"/>
  <c r="G159" i="1" s="1"/>
  <c r="O158" i="1"/>
  <c r="M159" i="1" s="1"/>
  <c r="N159" i="1" s="1"/>
  <c r="P160" i="1"/>
  <c r="J160" i="1"/>
  <c r="A115" i="1"/>
  <c r="B115" i="1" s="1"/>
  <c r="C115" i="1" s="1"/>
  <c r="H159" i="1" l="1"/>
  <c r="I159" i="1"/>
  <c r="G160" i="1" s="1"/>
  <c r="O159" i="1"/>
  <c r="M160" i="1" s="1"/>
  <c r="N160" i="1" s="1"/>
  <c r="P161" i="1"/>
  <c r="J161" i="1"/>
  <c r="H160" i="1" l="1"/>
  <c r="I160" i="1"/>
  <c r="G161" i="1" s="1"/>
  <c r="O160" i="1"/>
  <c r="M161" i="1" s="1"/>
  <c r="N161" i="1" s="1"/>
  <c r="P162" i="1"/>
  <c r="J162" i="1"/>
  <c r="A116" i="1"/>
  <c r="B116" i="1" s="1"/>
  <c r="C116" i="1" s="1"/>
  <c r="H161" i="1" l="1"/>
  <c r="I161" i="1"/>
  <c r="G162" i="1" s="1"/>
  <c r="O161" i="1"/>
  <c r="M162" i="1" s="1"/>
  <c r="N162" i="1" s="1"/>
  <c r="P163" i="1"/>
  <c r="J163" i="1"/>
  <c r="H162" i="1" l="1"/>
  <c r="I162" i="1"/>
  <c r="G163" i="1" s="1"/>
  <c r="O162" i="1"/>
  <c r="M163" i="1" s="1"/>
  <c r="N163" i="1" s="1"/>
  <c r="P164" i="1"/>
  <c r="J164" i="1"/>
  <c r="A117" i="1"/>
  <c r="B117" i="1" s="1"/>
  <c r="C117" i="1" s="1"/>
  <c r="H163" i="1" l="1"/>
  <c r="I163" i="1"/>
  <c r="G164" i="1" s="1"/>
  <c r="O163" i="1"/>
  <c r="M164" i="1" s="1"/>
  <c r="N164" i="1" s="1"/>
  <c r="P165" i="1"/>
  <c r="J165" i="1"/>
  <c r="H164" i="1" l="1"/>
  <c r="I164" i="1"/>
  <c r="G165" i="1" s="1"/>
  <c r="O164" i="1"/>
  <c r="M165" i="1" s="1"/>
  <c r="N165" i="1" s="1"/>
  <c r="P166" i="1"/>
  <c r="J166" i="1"/>
  <c r="A118" i="1"/>
  <c r="B118" i="1" s="1"/>
  <c r="C118" i="1" s="1"/>
  <c r="H165" i="1" l="1"/>
  <c r="I165" i="1"/>
  <c r="G166" i="1" s="1"/>
  <c r="O165" i="1"/>
  <c r="M166" i="1" s="1"/>
  <c r="N166" i="1" s="1"/>
  <c r="P167" i="1"/>
  <c r="J167" i="1"/>
  <c r="H166" i="1" l="1"/>
  <c r="I166" i="1"/>
  <c r="G167" i="1" s="1"/>
  <c r="O166" i="1"/>
  <c r="M167" i="1" s="1"/>
  <c r="N167" i="1" s="1"/>
  <c r="P168" i="1"/>
  <c r="J168" i="1"/>
  <c r="A119" i="1"/>
  <c r="B119" i="1" s="1"/>
  <c r="C119" i="1" s="1"/>
  <c r="H167" i="1" l="1"/>
  <c r="I167" i="1"/>
  <c r="G168" i="1" s="1"/>
  <c r="O167" i="1"/>
  <c r="M168" i="1" s="1"/>
  <c r="N168" i="1" s="1"/>
  <c r="P169" i="1"/>
  <c r="J169" i="1"/>
  <c r="A120" i="1"/>
  <c r="B120" i="1" s="1"/>
  <c r="C120" i="1" s="1"/>
  <c r="H168" i="1" l="1"/>
  <c r="I168" i="1"/>
  <c r="G169" i="1" s="1"/>
  <c r="O168" i="1"/>
  <c r="M169" i="1" s="1"/>
  <c r="N169" i="1" s="1"/>
  <c r="P170" i="1"/>
  <c r="J170" i="1"/>
  <c r="A121" i="1"/>
  <c r="B121" i="1" s="1"/>
  <c r="C121" i="1" s="1"/>
  <c r="H169" i="1" l="1"/>
  <c r="I169" i="1"/>
  <c r="G170" i="1" s="1"/>
  <c r="O169" i="1"/>
  <c r="M170" i="1" s="1"/>
  <c r="N170" i="1" s="1"/>
  <c r="P171" i="1"/>
  <c r="J171" i="1"/>
  <c r="A122" i="1"/>
  <c r="B122" i="1" s="1"/>
  <c r="C122" i="1" s="1"/>
  <c r="H170" i="1" l="1"/>
  <c r="I170" i="1"/>
  <c r="G171" i="1" s="1"/>
  <c r="O170" i="1"/>
  <c r="M171" i="1" s="1"/>
  <c r="N171" i="1" s="1"/>
  <c r="P172" i="1"/>
  <c r="J172" i="1"/>
  <c r="A123" i="1"/>
  <c r="B123" i="1" s="1"/>
  <c r="C123" i="1" s="1"/>
  <c r="H171" i="1" l="1"/>
  <c r="I171" i="1"/>
  <c r="G172" i="1" s="1"/>
  <c r="O171" i="1"/>
  <c r="M172" i="1" s="1"/>
  <c r="N172" i="1" s="1"/>
  <c r="P173" i="1"/>
  <c r="J173" i="1"/>
  <c r="H172" i="1" l="1"/>
  <c r="I172" i="1"/>
  <c r="G173" i="1" s="1"/>
  <c r="O172" i="1"/>
  <c r="M173" i="1" s="1"/>
  <c r="N173" i="1" s="1"/>
  <c r="P174" i="1"/>
  <c r="J174" i="1"/>
  <c r="A124" i="1"/>
  <c r="B124" i="1" s="1"/>
  <c r="C124" i="1" s="1"/>
  <c r="H173" i="1" l="1"/>
  <c r="I173" i="1"/>
  <c r="G174" i="1" s="1"/>
  <c r="O173" i="1"/>
  <c r="M174" i="1" s="1"/>
  <c r="N174" i="1" s="1"/>
  <c r="P175" i="1"/>
  <c r="J175" i="1"/>
  <c r="H174" i="1" l="1"/>
  <c r="I174" i="1"/>
  <c r="G175" i="1" s="1"/>
  <c r="O174" i="1"/>
  <c r="M175" i="1" s="1"/>
  <c r="N175" i="1" s="1"/>
  <c r="P176" i="1"/>
  <c r="J176" i="1"/>
  <c r="A125" i="1"/>
  <c r="B125" i="1" s="1"/>
  <c r="C125" i="1" s="1"/>
  <c r="H175" i="1" l="1"/>
  <c r="I175" i="1"/>
  <c r="G176" i="1" s="1"/>
  <c r="O175" i="1"/>
  <c r="M176" i="1" s="1"/>
  <c r="N176" i="1" s="1"/>
  <c r="P177" i="1"/>
  <c r="J177" i="1"/>
  <c r="H176" i="1" l="1"/>
  <c r="I176" i="1"/>
  <c r="G177" i="1" s="1"/>
  <c r="O176" i="1"/>
  <c r="M177" i="1" s="1"/>
  <c r="N177" i="1" s="1"/>
  <c r="P178" i="1"/>
  <c r="J178" i="1"/>
  <c r="A126" i="1"/>
  <c r="B126" i="1" s="1"/>
  <c r="C126" i="1" s="1"/>
  <c r="H177" i="1" l="1"/>
  <c r="I177" i="1"/>
  <c r="G178" i="1" s="1"/>
  <c r="O177" i="1"/>
  <c r="M178" i="1" s="1"/>
  <c r="N178" i="1" s="1"/>
  <c r="P179" i="1"/>
  <c r="J179" i="1"/>
  <c r="H178" i="1" l="1"/>
  <c r="I178" i="1"/>
  <c r="G179" i="1" s="1"/>
  <c r="P180" i="1"/>
  <c r="O178" i="1"/>
  <c r="M179" i="1" s="1"/>
  <c r="N179" i="1" s="1"/>
  <c r="J180" i="1"/>
  <c r="A127" i="1"/>
  <c r="B127" i="1" s="1"/>
  <c r="C127" i="1" s="1"/>
  <c r="H179" i="1" l="1"/>
  <c r="I179" i="1"/>
  <c r="G180" i="1" s="1"/>
  <c r="O179" i="1"/>
  <c r="M180" i="1" s="1"/>
  <c r="N180" i="1" s="1"/>
  <c r="P181" i="1"/>
  <c r="J181" i="1"/>
  <c r="H180" i="1" l="1"/>
  <c r="I180" i="1"/>
  <c r="G181" i="1" s="1"/>
  <c r="O180" i="1"/>
  <c r="M181" i="1" s="1"/>
  <c r="N181" i="1" s="1"/>
  <c r="P182" i="1"/>
  <c r="J182" i="1"/>
  <c r="A128" i="1"/>
  <c r="B128" i="1" s="1"/>
  <c r="C128" i="1" s="1"/>
  <c r="H181" i="1" l="1"/>
  <c r="I181" i="1"/>
  <c r="G182" i="1" s="1"/>
  <c r="O181" i="1"/>
  <c r="M182" i="1" s="1"/>
  <c r="N182" i="1" s="1"/>
  <c r="P183" i="1"/>
  <c r="J183" i="1"/>
  <c r="H182" i="1" l="1"/>
  <c r="I182" i="1"/>
  <c r="G183" i="1" s="1"/>
  <c r="O182" i="1"/>
  <c r="M183" i="1" s="1"/>
  <c r="N183" i="1" s="1"/>
  <c r="P184" i="1"/>
  <c r="J184" i="1"/>
  <c r="A129" i="1"/>
  <c r="B129" i="1" s="1"/>
  <c r="C129" i="1" s="1"/>
  <c r="H183" i="1" l="1"/>
  <c r="I183" i="1"/>
  <c r="G184" i="1" s="1"/>
  <c r="P185" i="1"/>
  <c r="O183" i="1"/>
  <c r="M184" i="1" s="1"/>
  <c r="N184" i="1" s="1"/>
  <c r="J185" i="1"/>
  <c r="H184" i="1" l="1"/>
  <c r="I184" i="1"/>
  <c r="O184" i="1"/>
  <c r="M185" i="1" s="1"/>
  <c r="N185" i="1" s="1"/>
  <c r="P186" i="1"/>
  <c r="G185" i="1"/>
  <c r="J186" i="1"/>
  <c r="A130" i="1"/>
  <c r="B130" i="1" s="1"/>
  <c r="C130" i="1" s="1"/>
  <c r="H185" i="1" l="1"/>
  <c r="I185" i="1"/>
  <c r="G186" i="1" s="1"/>
  <c r="O185" i="1"/>
  <c r="M186" i="1" s="1"/>
  <c r="N186" i="1" s="1"/>
  <c r="P187" i="1"/>
  <c r="J187" i="1"/>
  <c r="A131" i="1"/>
  <c r="B131" i="1" s="1"/>
  <c r="C131" i="1" s="1"/>
  <c r="H186" i="1" l="1"/>
  <c r="I186" i="1"/>
  <c r="G187" i="1" s="1"/>
  <c r="O186" i="1"/>
  <c r="M187" i="1" s="1"/>
  <c r="N187" i="1" s="1"/>
  <c r="P188" i="1"/>
  <c r="J188" i="1"/>
  <c r="A132" i="1"/>
  <c r="B132" i="1" s="1"/>
  <c r="C132" i="1" s="1"/>
  <c r="H187" i="1" l="1"/>
  <c r="I187" i="1"/>
  <c r="G188" i="1" s="1"/>
  <c r="O187" i="1"/>
  <c r="M188" i="1" s="1"/>
  <c r="N188" i="1" s="1"/>
  <c r="P189" i="1"/>
  <c r="J189" i="1"/>
  <c r="A133" i="1"/>
  <c r="B133" i="1" s="1"/>
  <c r="C133" i="1" s="1"/>
  <c r="H188" i="1" l="1"/>
  <c r="I188" i="1"/>
  <c r="G189" i="1" s="1"/>
  <c r="O188" i="1"/>
  <c r="M189" i="1" s="1"/>
  <c r="N189" i="1" s="1"/>
  <c r="P190" i="1"/>
  <c r="J190" i="1"/>
  <c r="H189" i="1" l="1"/>
  <c r="I189" i="1"/>
  <c r="G190" i="1" s="1"/>
  <c r="O189" i="1"/>
  <c r="M190" i="1" s="1"/>
  <c r="N190" i="1" s="1"/>
  <c r="P191" i="1"/>
  <c r="J191" i="1"/>
  <c r="A134" i="1"/>
  <c r="B134" i="1" s="1"/>
  <c r="C134" i="1" s="1"/>
  <c r="H190" i="1" l="1"/>
  <c r="I190" i="1"/>
  <c r="G191" i="1" s="1"/>
  <c r="O190" i="1"/>
  <c r="M191" i="1" s="1"/>
  <c r="N191" i="1" s="1"/>
  <c r="G198" i="1" s="1"/>
  <c r="H191" i="1" l="1"/>
  <c r="G197" i="1" s="1"/>
  <c r="I191" i="1"/>
  <c r="O191" i="1"/>
  <c r="A135" i="1"/>
  <c r="B135" i="1" s="1"/>
  <c r="C135" i="1" s="1"/>
  <c r="A136" i="1" l="1"/>
  <c r="B136" i="1" s="1"/>
  <c r="C136" i="1" s="1"/>
  <c r="A137" i="1" l="1"/>
  <c r="B137" i="1" s="1"/>
  <c r="C137" i="1" s="1"/>
  <c r="A138" i="1" l="1"/>
  <c r="B138" i="1" s="1"/>
  <c r="C138" i="1" s="1"/>
  <c r="A139" i="1" l="1"/>
  <c r="B139" i="1" s="1"/>
  <c r="C139" i="1" s="1"/>
  <c r="A140" i="1" l="1"/>
  <c r="B140" i="1" s="1"/>
  <c r="C140" i="1" s="1"/>
  <c r="A141" i="1" l="1"/>
  <c r="B141" i="1" s="1"/>
  <c r="C141" i="1" s="1"/>
  <c r="A142" i="1" l="1"/>
  <c r="B142" i="1" s="1"/>
  <c r="C142" i="1" s="1"/>
  <c r="A143" i="1" l="1"/>
  <c r="B143" i="1" s="1"/>
  <c r="C143" i="1" s="1"/>
  <c r="A144" i="1" l="1"/>
  <c r="B144" i="1" s="1"/>
  <c r="C144" i="1" s="1"/>
  <c r="A145" i="1" l="1"/>
  <c r="B145" i="1" s="1"/>
  <c r="C145" i="1" s="1"/>
  <c r="A146" i="1" l="1"/>
  <c r="B146" i="1" s="1"/>
  <c r="C146" i="1" s="1"/>
  <c r="A147" i="1" l="1"/>
  <c r="B147" i="1" s="1"/>
  <c r="C147" i="1" s="1"/>
  <c r="A148" i="1" l="1"/>
  <c r="B148" i="1" s="1"/>
  <c r="C148" i="1" s="1"/>
  <c r="A149" i="1" l="1"/>
  <c r="B149" i="1" s="1"/>
  <c r="C149" i="1" s="1"/>
  <c r="A150" i="1" l="1"/>
  <c r="B150" i="1" s="1"/>
  <c r="C150" i="1" s="1"/>
  <c r="A151" i="1" l="1"/>
  <c r="B151" i="1" s="1"/>
  <c r="C151" i="1" s="1"/>
  <c r="A152" i="1" l="1"/>
  <c r="B152" i="1" s="1"/>
  <c r="C152" i="1" s="1"/>
  <c r="A153" i="1" l="1"/>
  <c r="B153" i="1" s="1"/>
  <c r="C153" i="1" s="1"/>
  <c r="A154" i="1" l="1"/>
  <c r="B154" i="1" s="1"/>
  <c r="C154" i="1" s="1"/>
  <c r="A155" i="1" l="1"/>
  <c r="B155" i="1" s="1"/>
  <c r="C155" i="1" s="1"/>
  <c r="A156" i="1" l="1"/>
  <c r="B156" i="1" s="1"/>
  <c r="C156" i="1" s="1"/>
  <c r="A157" i="1" l="1"/>
  <c r="B157" i="1" s="1"/>
  <c r="C157" i="1" s="1"/>
  <c r="A158" i="1" l="1"/>
  <c r="B158" i="1" s="1"/>
  <c r="C158" i="1" s="1"/>
  <c r="A159" i="1" l="1"/>
  <c r="B159" i="1" s="1"/>
  <c r="C159" i="1" s="1"/>
  <c r="A160" i="1" l="1"/>
  <c r="B160" i="1" s="1"/>
  <c r="C160" i="1" s="1"/>
  <c r="A161" i="1" l="1"/>
  <c r="B161" i="1" s="1"/>
  <c r="C161" i="1" s="1"/>
  <c r="A162" i="1" l="1"/>
  <c r="B162" i="1" s="1"/>
  <c r="C162" i="1" s="1"/>
  <c r="A163" i="1" l="1"/>
  <c r="B163" i="1" s="1"/>
  <c r="C163" i="1" s="1"/>
  <c r="A164" i="1" l="1"/>
  <c r="B164" i="1" s="1"/>
  <c r="C164" i="1" s="1"/>
  <c r="A165" i="1" l="1"/>
  <c r="B165" i="1" s="1"/>
  <c r="C165" i="1" s="1"/>
  <c r="A166" i="1" l="1"/>
  <c r="B166" i="1" s="1"/>
  <c r="C166" i="1" s="1"/>
  <c r="A167" i="1" l="1"/>
  <c r="B167" i="1" s="1"/>
  <c r="C167" i="1" s="1"/>
  <c r="A168" i="1" l="1"/>
  <c r="B168" i="1" s="1"/>
  <c r="C168" i="1" s="1"/>
  <c r="A169" i="1" l="1"/>
  <c r="B169" i="1" s="1"/>
  <c r="C169" i="1" s="1"/>
  <c r="A170" i="1" l="1"/>
  <c r="B170" i="1" s="1"/>
  <c r="C170" i="1" s="1"/>
  <c r="A171" i="1" l="1"/>
  <c r="B171" i="1" s="1"/>
  <c r="C171" i="1" s="1"/>
  <c r="A172" i="1" l="1"/>
  <c r="B172" i="1" s="1"/>
  <c r="C172" i="1" s="1"/>
  <c r="A173" i="1" l="1"/>
  <c r="B173" i="1" s="1"/>
  <c r="C173" i="1" s="1"/>
  <c r="A174" i="1" l="1"/>
  <c r="B174" i="1" s="1"/>
  <c r="C174" i="1" s="1"/>
  <c r="A175" i="1" l="1"/>
  <c r="B175" i="1" s="1"/>
  <c r="C175" i="1" s="1"/>
  <c r="A176" i="1" l="1"/>
  <c r="B176" i="1" s="1"/>
  <c r="C176" i="1" s="1"/>
  <c r="A177" i="1" l="1"/>
  <c r="B177" i="1" s="1"/>
  <c r="C177" i="1" s="1"/>
  <c r="A178" i="1" l="1"/>
  <c r="B178" i="1" s="1"/>
  <c r="C178" i="1" s="1"/>
  <c r="A179" i="1" l="1"/>
  <c r="B179" i="1" s="1"/>
  <c r="C179" i="1" s="1"/>
  <c r="A180" i="1" l="1"/>
  <c r="B180" i="1" s="1"/>
  <c r="C180" i="1" s="1"/>
  <c r="A181" i="1" l="1"/>
  <c r="B181" i="1" s="1"/>
  <c r="C181" i="1" s="1"/>
  <c r="A182" i="1" l="1"/>
  <c r="B182" i="1" s="1"/>
  <c r="C182" i="1" s="1"/>
  <c r="A183" i="1" l="1"/>
  <c r="B183" i="1" s="1"/>
  <c r="C183" i="1" s="1"/>
  <c r="A184" i="1" l="1"/>
  <c r="B184" i="1" s="1"/>
  <c r="C184" i="1" s="1"/>
  <c r="A185" i="1" l="1"/>
  <c r="B185" i="1" s="1"/>
  <c r="C185" i="1" s="1"/>
  <c r="A186" i="1" l="1"/>
  <c r="B186" i="1" s="1"/>
  <c r="C186" i="1" s="1"/>
  <c r="A187" i="1" l="1"/>
  <c r="B187" i="1" s="1"/>
  <c r="C187" i="1" s="1"/>
  <c r="A188" i="1" l="1"/>
  <c r="B188" i="1" s="1"/>
  <c r="C188" i="1" s="1"/>
  <c r="A189" i="1" l="1"/>
  <c r="B189" i="1" s="1"/>
  <c r="C189" i="1" s="1"/>
  <c r="A190" i="1" l="1"/>
  <c r="B190" i="1" s="1"/>
  <c r="C190" i="1" s="1"/>
  <c r="A191" i="1" l="1"/>
  <c r="B191" i="1" s="1"/>
  <c r="C191" i="1" l="1"/>
  <c r="G196" i="1"/>
</calcChain>
</file>

<file path=xl/sharedStrings.xml><?xml version="1.0" encoding="utf-8"?>
<sst xmlns="http://schemas.openxmlformats.org/spreadsheetml/2006/main" count="217" uniqueCount="149">
  <si>
    <t>Auto Loan and Ownership Calculator</t>
  </si>
  <si>
    <t>Electric Vehicle Sheet</t>
  </si>
  <si>
    <t>Car Details</t>
  </si>
  <si>
    <t>Trade In Value</t>
  </si>
  <si>
    <t>Purchase Price (full sticker, no rebates, no down payment etc)</t>
  </si>
  <si>
    <t>Down Payment</t>
  </si>
  <si>
    <t>http://www.dmv.org/buy-sell/tax-and-tags-calculator.php</t>
  </si>
  <si>
    <t>STATE</t>
  </si>
  <si>
    <t>STATE RATE</t>
  </si>
  <si>
    <t>RANGE OF LOCAL RATES</t>
  </si>
  <si>
    <t>LOCAL RATES APPLY TO USE TAX</t>
  </si>
  <si>
    <t>Alabama</t>
  </si>
  <si>
    <t>0% - 8.5%</t>
  </si>
  <si>
    <t>Yes/No (1)</t>
  </si>
  <si>
    <t>Alaska</t>
  </si>
  <si>
    <t>0% - 7.5% (4), (7)</t>
  </si>
  <si>
    <t>Arizona</t>
  </si>
  <si>
    <t>0 - 7.10% (4), (7)</t>
  </si>
  <si>
    <t>Yes/No (2)</t>
  </si>
  <si>
    <t>Arkansas</t>
  </si>
  <si>
    <t>0% - 5.50% (4), (7)</t>
  </si>
  <si>
    <t>Yes</t>
  </si>
  <si>
    <t>California</t>
  </si>
  <si>
    <t>0% - 2.5% (11)</t>
  </si>
  <si>
    <t>Colorado</t>
  </si>
  <si>
    <t>0% - 8% (7)</t>
  </si>
  <si>
    <t>Connecticut</t>
  </si>
  <si>
    <t>0% -1%</t>
  </si>
  <si>
    <t>N/A</t>
  </si>
  <si>
    <t>Delaware</t>
  </si>
  <si>
    <t>District of Columbia</t>
  </si>
  <si>
    <t>Florida</t>
  </si>
  <si>
    <t>0% - 2% (4), (7)</t>
  </si>
  <si>
    <t>Georgia</t>
  </si>
  <si>
    <t>1% - 4.5%</t>
  </si>
  <si>
    <t>Hawaii</t>
  </si>
  <si>
    <t>0% - 0.5%</t>
  </si>
  <si>
    <t>Idaho</t>
  </si>
  <si>
    <t>0% - 3% (7)</t>
  </si>
  <si>
    <t>No</t>
  </si>
  <si>
    <t>Illinois</t>
  </si>
  <si>
    <t>0% - 4.75% (7)</t>
  </si>
  <si>
    <t>Indiana</t>
  </si>
  <si>
    <t>Iowa</t>
  </si>
  <si>
    <t>0% - 2% (7)</t>
  </si>
  <si>
    <t>Kansas</t>
  </si>
  <si>
    <t>0% - 5% (7)</t>
  </si>
  <si>
    <t>Kentucky</t>
  </si>
  <si>
    <t>Louisiana</t>
  </si>
  <si>
    <t>0% - 7.75% (6) (7)</t>
  </si>
  <si>
    <t>Maine</t>
  </si>
  <si>
    <t>Maryland</t>
  </si>
  <si>
    <t>Massachusetts</t>
  </si>
  <si>
    <t>Michigan</t>
  </si>
  <si>
    <t>Minnesota</t>
  </si>
  <si>
    <t>0% - 1.5% (7)</t>
  </si>
  <si>
    <t>Mississippi</t>
  </si>
  <si>
    <t>0% - 1% (7)</t>
  </si>
  <si>
    <t>Missouri</t>
  </si>
  <si>
    <t>.5% - 6.625%</t>
  </si>
  <si>
    <t>Montana</t>
  </si>
  <si>
    <t>Nebraska</t>
  </si>
  <si>
    <t>Nevada</t>
  </si>
  <si>
    <t>0% - 1.3%</t>
  </si>
  <si>
    <t>New Hampshire</t>
  </si>
  <si>
    <t>New Jersey</t>
  </si>
  <si>
    <t>New Mexico</t>
  </si>
  <si>
    <t>.125% - 6.625%</t>
  </si>
  <si>
    <t>New York</t>
  </si>
  <si>
    <t>0% - 5%</t>
  </si>
  <si>
    <t>North Carolina</t>
  </si>
  <si>
    <t>2% - 3%</t>
  </si>
  <si>
    <t>North Dakota</t>
  </si>
  <si>
    <t>0% - 3% (4), (7)</t>
  </si>
  <si>
    <t>Ohio</t>
  </si>
  <si>
    <t>0 - 2.25%</t>
  </si>
  <si>
    <t>Oklahoma</t>
  </si>
  <si>
    <t>0% - 6.50% (7)</t>
  </si>
  <si>
    <t>Oregon</t>
  </si>
  <si>
    <t>Pennsylvania</t>
  </si>
  <si>
    <t>Rhode Island</t>
  </si>
  <si>
    <t>South Carolina</t>
  </si>
  <si>
    <t>South Dakota</t>
  </si>
  <si>
    <t>Tennessee</t>
  </si>
  <si>
    <t>1.5% - 2.75% (4)</t>
  </si>
  <si>
    <t>Texas</t>
  </si>
  <si>
    <t>Utah</t>
  </si>
  <si>
    <t>1% - 6.25%</t>
  </si>
  <si>
    <t>Vermont</t>
  </si>
  <si>
    <t>Virginia</t>
  </si>
  <si>
    <t>1% - 2.2%</t>
  </si>
  <si>
    <t>Washington</t>
  </si>
  <si>
    <t>.5% - 3.40%</t>
  </si>
  <si>
    <t>West Virginia</t>
  </si>
  <si>
    <t>0% - 1%</t>
  </si>
  <si>
    <t>Wisconsin</t>
  </si>
  <si>
    <t>0% - 1.75% (7)</t>
  </si>
  <si>
    <t>Wyoming</t>
  </si>
  <si>
    <t>0% - 4% (7)</t>
  </si>
  <si>
    <t>http://www.salestaxinstitute.com/resources/rates</t>
  </si>
  <si>
    <t>Loan Details</t>
  </si>
  <si>
    <t>Initial Loan</t>
  </si>
  <si>
    <t>Final Loan (probably keep this zero)</t>
  </si>
  <si>
    <t>Loan Length (in months)</t>
  </si>
  <si>
    <t>I've compiled a list of resources for calculating sales, vehicle, tag registration, license etc taxes and fees for a new vehicle. These are subject to change, so update them as necessary</t>
  </si>
  <si>
    <t>Title Fees</t>
  </si>
  <si>
    <t>Zero APR Length (in months)</t>
  </si>
  <si>
    <t>Other Details</t>
  </si>
  <si>
    <t>Insurance Payment/Month</t>
  </si>
  <si>
    <t>Miles Driven/Month</t>
  </si>
  <si>
    <t>Electricity/kWh</t>
  </si>
  <si>
    <t>Note about this: Most states don't let you take trade-in off your sales tax so you pay what you would without the trade in. If you aren't trading in, it doesn't matter. Title fees also vary by state and eventually this will auto update. For now, look it up here: http://www.ncsl.org/research/transportation/registration-and-title-fees-by-state.aspx</t>
  </si>
  <si>
    <t>Miles/kWh</t>
  </si>
  <si>
    <t>Again, eventually these will autofill and there will be menus for you to choose your insurance, electricity provider, rates and whatnot.</t>
  </si>
  <si>
    <t>Cash Rebates</t>
  </si>
  <si>
    <t>Tax Credits</t>
  </si>
  <si>
    <t>Tax Deductions</t>
  </si>
  <si>
    <t>For calculating how much you will per month, in interest and principal, and other details about auto loans, I've made a small calculator that I can use and tweak for my whole life/until they become autonomous and transportation becomes a commodity in like ,2 years. Internet calculators are opaque and not as customizable (plus ads er'rywhere). Simple finance visualization exercise</t>
  </si>
  <si>
    <t>State (for taxes, rebates, etc)</t>
  </si>
  <si>
    <t>Sales Tax</t>
  </si>
  <si>
    <t>Other Goodies</t>
  </si>
  <si>
    <t>State Tax Credits</t>
  </si>
  <si>
    <t>Federal Tax Credits*</t>
  </si>
  <si>
    <t>*This might end soon.</t>
  </si>
  <si>
    <t>Reduced Rates for charging, carpool access, reduced license tax</t>
  </si>
  <si>
    <t>Tax credit depends on the size of the battery.</t>
  </si>
  <si>
    <t>$900 rebate on wall connectors and installation</t>
  </si>
  <si>
    <t>Funds are limited for the rebate</t>
  </si>
  <si>
    <t>Carpool lane and reduced charging rates</t>
  </si>
  <si>
    <t xml:space="preserve">Sales Tax Exempt </t>
  </si>
  <si>
    <t>Rate (APR)</t>
  </si>
  <si>
    <t>$750 rebate on wall connectors and install</t>
  </si>
  <si>
    <t>http://www.factorywarrantylist.com/car-tax-by-state.html</t>
  </si>
  <si>
    <t>Cash Rebates come off the sticker price while tax credits get credited on your taxes when you file. Tax deductions come off your income liability when you file. These will both autofill from the Taxes sheet, but best check each one with the sheet if you car about specifics. Tesla keeps theirs updated so reference this for rebates, tax credits, and other goodies like carpool lane use. https://www.tesla.com/support/incentives</t>
  </si>
  <si>
    <t>Excise Tax exempt</t>
  </si>
  <si>
    <t>Any Other Fees (such as dealer fees, etc)</t>
  </si>
  <si>
    <t>Principal</t>
  </si>
  <si>
    <t>Interest Payment</t>
  </si>
  <si>
    <t>Principal Payment</t>
  </si>
  <si>
    <t>Total Payment</t>
  </si>
  <si>
    <t>Month</t>
  </si>
  <si>
    <t>Loan Calculation</t>
  </si>
  <si>
    <t>Total Monthly Car Ownership Cost</t>
  </si>
  <si>
    <t>Option 1</t>
  </si>
  <si>
    <t>Option 2</t>
  </si>
  <si>
    <t>Option 3</t>
  </si>
  <si>
    <t>Cash Rebates (State specific EV)</t>
  </si>
  <si>
    <t>Cash Rebates (From the dealership, etc)</t>
  </si>
  <si>
    <t xml:space="preserve">The math gets a little wonky with an introductory interest rate that changes midway through the loan. Typically there is a rebate-or-0% financing options, in which case set option 1 with equal months in length and 0 APR length and option two set 0 APR length to zero. If there is an introductory rate, this will approximate the interest saved, but it won't be exact since monthly payments won't change (i.e. fixed amortization. for variable, go take an accounting class).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</si>
</sst>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b/>
      <sz val="11"/>
      <color theme="1"/>
      <name val="Calibri"/>
      <family val="2"/>
      <scheme val="minor"/>
    </font>
    <font>
      <b/>
      <sz val="7"/>
      <color rgb="FF4D3069"/>
      <name val="Verdana"/>
      <family val="2"/>
    </font>
    <font>
      <u/>
      <sz val="11"/>
      <color theme="1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0F0F0"/>
        <bgColor indexed="64"/>
      </patternFill>
    </fill>
  </fills>
  <borders count="5">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double">
        <color theme="4"/>
      </top>
      <bottom style="thin">
        <color theme="4"/>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applyNumberFormat="0" applyFill="0" applyBorder="0" applyAlignment="0" applyProtection="0"/>
  </cellStyleXfs>
  <cellXfs count="30">
    <xf numFmtId="0" fontId="0" fillId="0" borderId="0" xfId="0"/>
    <xf numFmtId="0" fontId="2" fillId="0" borderId="1" xfId="3"/>
    <xf numFmtId="0" fontId="0" fillId="0" borderId="0" xfId="0" applyAlignment="1">
      <alignment horizontal="left" wrapText="1"/>
    </xf>
    <xf numFmtId="0" fontId="1" fillId="4" borderId="0" xfId="7"/>
    <xf numFmtId="0" fontId="3" fillId="2" borderId="2" xfId="4"/>
    <xf numFmtId="0" fontId="6" fillId="0" borderId="0" xfId="0" applyFont="1"/>
    <xf numFmtId="0" fontId="7" fillId="6" borderId="0" xfId="0" applyFont="1" applyFill="1" applyAlignment="1">
      <alignment horizontal="left" vertical="center" wrapText="1"/>
    </xf>
    <xf numFmtId="0" fontId="0" fillId="0" borderId="0" xfId="0" applyFont="1"/>
    <xf numFmtId="10" fontId="0" fillId="0" borderId="0" xfId="2" applyNumberFormat="1" applyFont="1"/>
    <xf numFmtId="44" fontId="0" fillId="0" borderId="0" xfId="1" applyFont="1"/>
    <xf numFmtId="44" fontId="3" fillId="2" borderId="2" xfId="4" applyNumberFormat="1"/>
    <xf numFmtId="10" fontId="3" fillId="2" borderId="2" xfId="4" applyNumberFormat="1"/>
    <xf numFmtId="10" fontId="4" fillId="3" borderId="3" xfId="5" applyNumberFormat="1"/>
    <xf numFmtId="0" fontId="0" fillId="0" borderId="0" xfId="0" applyFont="1" applyFill="1" applyBorder="1"/>
    <xf numFmtId="44" fontId="3" fillId="2" borderId="2" xfId="1" applyFont="1" applyFill="1" applyBorder="1"/>
    <xf numFmtId="10" fontId="3" fillId="2" borderId="2" xfId="2" applyNumberFormat="1" applyFont="1" applyFill="1" applyBorder="1"/>
    <xf numFmtId="0" fontId="0" fillId="0" borderId="0" xfId="0" applyAlignment="1">
      <alignment horizontal="left"/>
    </xf>
    <xf numFmtId="0" fontId="3" fillId="2" borderId="2" xfId="4" applyAlignment="1">
      <alignment horizontal="right"/>
    </xf>
    <xf numFmtId="44" fontId="4" fillId="3" borderId="3" xfId="5" applyNumberFormat="1"/>
    <xf numFmtId="0" fontId="5" fillId="0" borderId="0" xfId="6" applyAlignment="1">
      <alignment horizontal="left" wrapText="1"/>
    </xf>
    <xf numFmtId="44" fontId="0" fillId="0" borderId="0" xfId="0" applyNumberFormat="1"/>
    <xf numFmtId="44" fontId="0" fillId="0" borderId="0" xfId="1" applyNumberFormat="1" applyFont="1"/>
    <xf numFmtId="0" fontId="1" fillId="5" borderId="0" xfId="8"/>
    <xf numFmtId="0" fontId="6" fillId="5" borderId="0" xfId="8" applyFont="1" applyAlignment="1">
      <alignment horizontal="left"/>
    </xf>
    <xf numFmtId="44" fontId="6" fillId="5" borderId="0" xfId="1" applyFont="1" applyFill="1" applyAlignment="1">
      <alignment horizontal="left"/>
    </xf>
    <xf numFmtId="0" fontId="8" fillId="0" borderId="0" xfId="9" applyAlignment="1">
      <alignment horizontal="left"/>
    </xf>
    <xf numFmtId="0" fontId="5" fillId="0" borderId="0" xfId="6" applyAlignment="1">
      <alignment wrapText="1"/>
    </xf>
    <xf numFmtId="0" fontId="5" fillId="0" borderId="0" xfId="6" applyAlignment="1">
      <alignment horizontal="left" wrapText="1"/>
    </xf>
    <xf numFmtId="0" fontId="5" fillId="0" borderId="0" xfId="6" applyBorder="1" applyAlignment="1">
      <alignment horizontal="left" wrapText="1"/>
    </xf>
    <xf numFmtId="44" fontId="6" fillId="0" borderId="4" xfId="1" applyNumberFormat="1" applyFont="1" applyBorder="1"/>
  </cellXfs>
  <cellStyles count="10">
    <cellStyle name="20% - Accent1" xfId="7" builtinId="30"/>
    <cellStyle name="40% - Accent1" xfId="8" builtinId="31"/>
    <cellStyle name="Currency" xfId="1" builtinId="4"/>
    <cellStyle name="Explanatory Text" xfId="6" builtinId="53"/>
    <cellStyle name="Heading 1" xfId="3" builtinId="16"/>
    <cellStyle name="Hyperlink" xfId="9" builtinId="8"/>
    <cellStyle name="Input" xfId="4" builtinId="20"/>
    <cellStyle name="Normal" xfId="0" builtinId="0"/>
    <cellStyle name="Output" xfId="5" builtinId="21"/>
    <cellStyle name="Percent" xfId="2" builtinId="5"/>
  </cellStyles>
  <dxfs count="27">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7"/>
        <color rgb="FF4D3069"/>
        <name val="Verdana"/>
        <family val="2"/>
        <scheme val="none"/>
      </font>
      <fill>
        <patternFill patternType="solid">
          <fgColor indexed="64"/>
          <bgColor rgb="FFF0F0F0"/>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50800" cap="rnd">
              <a:solidFill>
                <a:schemeClr val="accent1"/>
              </a:solidFill>
              <a:round/>
            </a:ln>
            <a:effectLst/>
          </c:spPr>
          <c:marker>
            <c:symbol val="none"/>
          </c:marker>
          <c:yVal>
            <c:numRef>
              <c:f>EV!$A$65:$A$191</c:f>
              <c:numCache>
                <c:formatCode>_("$"* #,##0.00_);_("$"* \(#,##0.00\);_("$"* "-"??_);_(@_)</c:formatCode>
                <c:ptCount val="127"/>
                <c:pt idx="0">
                  <c:v>28429.999999999996</c:v>
                </c:pt>
                <c:pt idx="1">
                  <c:v>28011.949160834101</c:v>
                </c:pt>
                <c:pt idx="2">
                  <c:v>27592.15644317168</c:v>
                </c:pt>
                <c:pt idx="3">
                  <c:v>27170.614589185665</c:v>
                </c:pt>
                <c:pt idx="4">
                  <c:v>26747.316310808044</c:v>
                </c:pt>
                <c:pt idx="5">
                  <c:v>26322.25428960385</c:v>
                </c:pt>
                <c:pt idx="6">
                  <c:v>25895.421176644639</c:v>
                </c:pt>
                <c:pt idx="7">
                  <c:v>25466.809592381429</c:v>
                </c:pt>
                <c:pt idx="8">
                  <c:v>25036.412126517123</c:v>
                </c:pt>
                <c:pt idx="9">
                  <c:v>24604.221337878382</c:v>
                </c:pt>
                <c:pt idx="10">
                  <c:v>24170.229754286978</c:v>
                </c:pt>
                <c:pt idx="11">
                  <c:v>23734.42987243061</c:v>
                </c:pt>
                <c:pt idx="12">
                  <c:v>23296.814157733173</c:v>
                </c:pt>
                <c:pt idx="13">
                  <c:v>22857.3750442245</c:v>
                </c:pt>
                <c:pt idx="14">
                  <c:v>22416.104934409541</c:v>
                </c:pt>
                <c:pt idx="15">
                  <c:v>21972.996199137018</c:v>
                </c:pt>
                <c:pt idx="16">
                  <c:v>21528.041177467527</c:v>
                </c:pt>
                <c:pt idx="17">
                  <c:v>21081.232176541078</c:v>
                </c:pt>
                <c:pt idx="18">
                  <c:v>20632.561471444104</c:v>
                </c:pt>
                <c:pt idx="19">
                  <c:v>20182.02130507589</c:v>
                </c:pt>
                <c:pt idx="20">
                  <c:v>19729.603888014477</c:v>
                </c:pt>
                <c:pt idx="21">
                  <c:v>19275.301398381976</c:v>
                </c:pt>
                <c:pt idx="22">
                  <c:v>18819.105981709337</c:v>
                </c:pt>
                <c:pt idx="23">
                  <c:v>18361.009750800564</c:v>
                </c:pt>
                <c:pt idx="24">
                  <c:v>17901.004785596338</c:v>
                </c:pt>
                <c:pt idx="25">
                  <c:v>17439.083133037093</c:v>
                </c:pt>
                <c:pt idx="26">
                  <c:v>16975.236806925517</c:v>
                </c:pt>
                <c:pt idx="27">
                  <c:v>16509.457787788477</c:v>
                </c:pt>
                <c:pt idx="28">
                  <c:v>16041.738022738366</c:v>
                </c:pt>
                <c:pt idx="29">
                  <c:v>15572.069425333879</c:v>
                </c:pt>
                <c:pt idx="30">
                  <c:v>15100.443875440207</c:v>
                </c:pt>
                <c:pt idx="31">
                  <c:v>14626.853219088645</c:v>
                </c:pt>
                <c:pt idx="32">
                  <c:v>14151.289268335619</c:v>
                </c:pt>
                <c:pt idx="33">
                  <c:v>13673.743801121122</c:v>
                </c:pt>
                <c:pt idx="34">
                  <c:v>13194.208561126565</c:v>
                </c:pt>
                <c:pt idx="35">
                  <c:v>12712.67525763203</c:v>
                </c:pt>
                <c:pt idx="36">
                  <c:v>12229.135565372935</c:v>
                </c:pt>
                <c:pt idx="37">
                  <c:v>11743.581124396092</c:v>
                </c:pt>
                <c:pt idx="38">
                  <c:v>11256.00353991518</c:v>
                </c:pt>
                <c:pt idx="39">
                  <c:v>10766.394382165598</c:v>
                </c:pt>
                <c:pt idx="40">
                  <c:v>10274.745186258726</c:v>
                </c:pt>
                <c:pt idx="41">
                  <c:v>9781.0474520355747</c:v>
                </c:pt>
                <c:pt idx="42">
                  <c:v>9285.2926439198272</c:v>
                </c:pt>
                <c:pt idx="43">
                  <c:v>8787.4721907702642</c:v>
                </c:pt>
                <c:pt idx="44">
                  <c:v>8287.5774857325778</c:v>
                </c:pt>
                <c:pt idx="45">
                  <c:v>7785.5998860905675</c:v>
                </c:pt>
                <c:pt idx="46">
                  <c:v>7281.5307131167156</c:v>
                </c:pt>
                <c:pt idx="47">
                  <c:v>6775.3612519221397</c:v>
                </c:pt>
                <c:pt idx="48">
                  <c:v>6267.0827513059194</c:v>
                </c:pt>
                <c:pt idx="49">
                  <c:v>5756.6864236037982</c:v>
                </c:pt>
                <c:pt idx="50">
                  <c:v>5244.1634445362515</c:v>
                </c:pt>
                <c:pt idx="51">
                  <c:v>4729.5049530559236</c:v>
                </c:pt>
                <c:pt idx="52">
                  <c:v>4212.7020511944274</c:v>
                </c:pt>
                <c:pt idx="53">
                  <c:v>3693.7458039085086</c:v>
                </c:pt>
                <c:pt idx="54">
                  <c:v>3172.6272389255651</c:v>
                </c:pt>
                <c:pt idx="55">
                  <c:v>2649.3373465885261</c:v>
                </c:pt>
                <c:pt idx="56">
                  <c:v>2123.8670797000823</c:v>
                </c:pt>
                <c:pt idx="57">
                  <c:v>1596.2073533662701</c:v>
                </c:pt>
                <c:pt idx="58">
                  <c:v>1066.3490448394004</c:v>
                </c:pt>
                <c:pt idx="59">
                  <c:v>534.28299336033558</c:v>
                </c:pt>
                <c:pt idx="60">
                  <c:v>1.0788880899781361E-10</c:v>
                </c:pt>
                <c:pt idx="61">
                  <c:v>1.0788880899781361E-10</c:v>
                </c:pt>
                <c:pt idx="62">
                  <c:v>1.0788880899781361E-10</c:v>
                </c:pt>
                <c:pt idx="63">
                  <c:v>1.0788880899781361E-10</c:v>
                </c:pt>
                <c:pt idx="64">
                  <c:v>1.0788880899781361E-10</c:v>
                </c:pt>
                <c:pt idx="65">
                  <c:v>1.0788880899781361E-10</c:v>
                </c:pt>
                <c:pt idx="66">
                  <c:v>1.0788880899781361E-10</c:v>
                </c:pt>
                <c:pt idx="67">
                  <c:v>1.0788880899781361E-10</c:v>
                </c:pt>
                <c:pt idx="68">
                  <c:v>1.0788880899781361E-10</c:v>
                </c:pt>
                <c:pt idx="69">
                  <c:v>1.0788880899781361E-10</c:v>
                </c:pt>
                <c:pt idx="70">
                  <c:v>1.0788880899781361E-10</c:v>
                </c:pt>
                <c:pt idx="71">
                  <c:v>1.0788880899781361E-10</c:v>
                </c:pt>
                <c:pt idx="72">
                  <c:v>1.0788880899781361E-10</c:v>
                </c:pt>
                <c:pt idx="73">
                  <c:v>1.0788880899781361E-10</c:v>
                </c:pt>
                <c:pt idx="74">
                  <c:v>1.0788880899781361E-10</c:v>
                </c:pt>
                <c:pt idx="75">
                  <c:v>1.0788880899781361E-10</c:v>
                </c:pt>
                <c:pt idx="76">
                  <c:v>1.0788880899781361E-10</c:v>
                </c:pt>
                <c:pt idx="77">
                  <c:v>1.0788880899781361E-10</c:v>
                </c:pt>
                <c:pt idx="78">
                  <c:v>1.0788880899781361E-10</c:v>
                </c:pt>
                <c:pt idx="79">
                  <c:v>1.0788880899781361E-10</c:v>
                </c:pt>
                <c:pt idx="80">
                  <c:v>1.0788880899781361E-10</c:v>
                </c:pt>
                <c:pt idx="81">
                  <c:v>1.0788880899781361E-10</c:v>
                </c:pt>
                <c:pt idx="82">
                  <c:v>1.0788880899781361E-10</c:v>
                </c:pt>
                <c:pt idx="83">
                  <c:v>1.0788880899781361E-10</c:v>
                </c:pt>
                <c:pt idx="84">
                  <c:v>1.0788880899781361E-10</c:v>
                </c:pt>
                <c:pt idx="85">
                  <c:v>1.0788880899781361E-10</c:v>
                </c:pt>
                <c:pt idx="86">
                  <c:v>1.0788880899781361E-10</c:v>
                </c:pt>
                <c:pt idx="87">
                  <c:v>1.0788880899781361E-10</c:v>
                </c:pt>
                <c:pt idx="88">
                  <c:v>1.0788880899781361E-10</c:v>
                </c:pt>
                <c:pt idx="89">
                  <c:v>1.0788880899781361E-10</c:v>
                </c:pt>
                <c:pt idx="90">
                  <c:v>1.0788880899781361E-10</c:v>
                </c:pt>
                <c:pt idx="91">
                  <c:v>1.0788880899781361E-10</c:v>
                </c:pt>
                <c:pt idx="92">
                  <c:v>1.0788880899781361E-10</c:v>
                </c:pt>
                <c:pt idx="93">
                  <c:v>1.0788880899781361E-10</c:v>
                </c:pt>
                <c:pt idx="94">
                  <c:v>1.0788880899781361E-10</c:v>
                </c:pt>
                <c:pt idx="95">
                  <c:v>1.0788880899781361E-10</c:v>
                </c:pt>
                <c:pt idx="96">
                  <c:v>1.0788880899781361E-10</c:v>
                </c:pt>
                <c:pt idx="97">
                  <c:v>1.0788880899781361E-10</c:v>
                </c:pt>
                <c:pt idx="98">
                  <c:v>1.0788880899781361E-10</c:v>
                </c:pt>
                <c:pt idx="99">
                  <c:v>1.0788880899781361E-10</c:v>
                </c:pt>
                <c:pt idx="100">
                  <c:v>1.0788880899781361E-10</c:v>
                </c:pt>
                <c:pt idx="101">
                  <c:v>1.0788880899781361E-10</c:v>
                </c:pt>
                <c:pt idx="102">
                  <c:v>1.0788880899781361E-10</c:v>
                </c:pt>
                <c:pt idx="103">
                  <c:v>1.0788880899781361E-10</c:v>
                </c:pt>
                <c:pt idx="104">
                  <c:v>1.0788880899781361E-10</c:v>
                </c:pt>
                <c:pt idx="105">
                  <c:v>1.0788880899781361E-10</c:v>
                </c:pt>
                <c:pt idx="106">
                  <c:v>1.0788880899781361E-10</c:v>
                </c:pt>
                <c:pt idx="107">
                  <c:v>1.0788880899781361E-10</c:v>
                </c:pt>
                <c:pt idx="108">
                  <c:v>1.0788880899781361E-10</c:v>
                </c:pt>
                <c:pt idx="109">
                  <c:v>1.0788880899781361E-10</c:v>
                </c:pt>
                <c:pt idx="110">
                  <c:v>1.0788880899781361E-10</c:v>
                </c:pt>
                <c:pt idx="111">
                  <c:v>1.0788880899781361E-10</c:v>
                </c:pt>
                <c:pt idx="112">
                  <c:v>1.0788880899781361E-10</c:v>
                </c:pt>
                <c:pt idx="113">
                  <c:v>1.0788880899781361E-10</c:v>
                </c:pt>
                <c:pt idx="114">
                  <c:v>1.0788880899781361E-10</c:v>
                </c:pt>
                <c:pt idx="115">
                  <c:v>1.0788880899781361E-10</c:v>
                </c:pt>
                <c:pt idx="116">
                  <c:v>1.0788880899781361E-10</c:v>
                </c:pt>
                <c:pt idx="117">
                  <c:v>1.0788880899781361E-10</c:v>
                </c:pt>
                <c:pt idx="118">
                  <c:v>1.0788880899781361E-10</c:v>
                </c:pt>
                <c:pt idx="119">
                  <c:v>1.0788880899781361E-10</c:v>
                </c:pt>
                <c:pt idx="120">
                  <c:v>1.0788880899781361E-10</c:v>
                </c:pt>
                <c:pt idx="121">
                  <c:v>1.0788880899781361E-10</c:v>
                </c:pt>
                <c:pt idx="122">
                  <c:v>1.0788880899781361E-10</c:v>
                </c:pt>
                <c:pt idx="123">
                  <c:v>1.0788880899781361E-10</c:v>
                </c:pt>
                <c:pt idx="124">
                  <c:v>1.0788880899781361E-10</c:v>
                </c:pt>
                <c:pt idx="125">
                  <c:v>1.0788880899781361E-10</c:v>
                </c:pt>
                <c:pt idx="126">
                  <c:v>1.0788880899781361E-10</c:v>
                </c:pt>
              </c:numCache>
            </c:numRef>
          </c:yVal>
          <c:smooth val="1"/>
          <c:extLst>
            <c:ext xmlns:c16="http://schemas.microsoft.com/office/drawing/2014/chart" uri="{C3380CC4-5D6E-409C-BE32-E72D297353CC}">
              <c16:uniqueId val="{00000001-02D1-4398-9AB5-FE1D89AC1FE5}"/>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4450" cap="rnd">
              <a:solidFill>
                <a:schemeClr val="accent2"/>
              </a:solidFill>
              <a:round/>
            </a:ln>
            <a:effectLst/>
          </c:spPr>
          <c:marker>
            <c:symbol val="none"/>
          </c:marker>
          <c:yVal>
            <c:numRef>
              <c:f>EV!$B$65:$B$191</c:f>
              <c:numCache>
                <c:formatCode>_("$"* #,##0.00_);_("$"* \(#,##0.00\);_("$"* "-"??_);_(@_)</c:formatCode>
                <c:ptCount val="127"/>
                <c:pt idx="0">
                  <c:v>118.45833333333331</c:v>
                </c:pt>
                <c:pt idx="1">
                  <c:v>116.71645483680875</c:v>
                </c:pt>
                <c:pt idx="2">
                  <c:v>114.96731851321533</c:v>
                </c:pt>
                <c:pt idx="3">
                  <c:v>113.21089412160694</c:v>
                </c:pt>
                <c:pt idx="4">
                  <c:v>111.44715129503352</c:v>
                </c:pt>
                <c:pt idx="5">
                  <c:v>109.67605954001604</c:v>
                </c:pt>
                <c:pt idx="6">
                  <c:v>107.89758823601933</c:v>
                </c:pt>
                <c:pt idx="7">
                  <c:v>106.11170663492261</c:v>
                </c:pt>
                <c:pt idx="8">
                  <c:v>104.31838386048801</c:v>
                </c:pt>
                <c:pt idx="9">
                  <c:v>102.51758890782659</c:v>
                </c:pt>
                <c:pt idx="10">
                  <c:v>100.70929064286241</c:v>
                </c:pt>
                <c:pt idx="11">
                  <c:v>98.893457801794213</c:v>
                </c:pt>
                <c:pt idx="12">
                  <c:v>97.070058990554884</c:v>
                </c:pt>
                <c:pt idx="13">
                  <c:v>95.239062684268745</c:v>
                </c:pt>
                <c:pt idx="14">
                  <c:v>93.400437226706416</c:v>
                </c:pt>
                <c:pt idx="15">
                  <c:v>91.55415082973758</c:v>
                </c:pt>
                <c:pt idx="16">
                  <c:v>89.700171572781358</c:v>
                </c:pt>
                <c:pt idx="17">
                  <c:v>87.838467402254494</c:v>
                </c:pt>
                <c:pt idx="18">
                  <c:v>85.969006131017096</c:v>
                </c:pt>
                <c:pt idx="19">
                  <c:v>84.091755437816204</c:v>
                </c:pt>
                <c:pt idx="20">
                  <c:v>82.206682866726993</c:v>
                </c:pt>
                <c:pt idx="21">
                  <c:v>80.313755826591574</c:v>
                </c:pt>
                <c:pt idx="22">
                  <c:v>78.412941590455574</c:v>
                </c:pt>
                <c:pt idx="23">
                  <c:v>76.504207295002345</c:v>
                </c:pt>
                <c:pt idx="24">
                  <c:v>74.587519939984745</c:v>
                </c:pt>
                <c:pt idx="25">
                  <c:v>72.662846387654554</c:v>
                </c:pt>
                <c:pt idx="26">
                  <c:v>70.730153362189654</c:v>
                </c:pt>
                <c:pt idx="27">
                  <c:v>68.789407449118656</c:v>
                </c:pt>
                <c:pt idx="28">
                  <c:v>66.840575094743187</c:v>
                </c:pt>
                <c:pt idx="29">
                  <c:v>64.883622605557832</c:v>
                </c:pt>
                <c:pt idx="30">
                  <c:v>62.918516147667532</c:v>
                </c:pt>
                <c:pt idx="31">
                  <c:v>60.945221746202691</c:v>
                </c:pt>
                <c:pt idx="32">
                  <c:v>58.963705284731745</c:v>
                </c:pt>
                <c:pt idx="33">
                  <c:v>56.973932504671339</c:v>
                </c:pt>
                <c:pt idx="34">
                  <c:v>54.975869004694019</c:v>
                </c:pt>
                <c:pt idx="35">
                  <c:v>52.969480240133457</c:v>
                </c:pt>
                <c:pt idx="36">
                  <c:v>50.954731522387227</c:v>
                </c:pt>
                <c:pt idx="37">
                  <c:v>48.931588018317051</c:v>
                </c:pt>
                <c:pt idx="38">
                  <c:v>46.900014749646587</c:v>
                </c:pt>
                <c:pt idx="39">
                  <c:v>44.859976592356659</c:v>
                </c:pt>
                <c:pt idx="40">
                  <c:v>42.811438276078022</c:v>
                </c:pt>
                <c:pt idx="41">
                  <c:v>40.754364383481558</c:v>
                </c:pt>
                <c:pt idx="42">
                  <c:v>38.688719349665945</c:v>
                </c:pt>
                <c:pt idx="43">
                  <c:v>36.614467461542766</c:v>
                </c:pt>
                <c:pt idx="44">
                  <c:v>34.531572857219075</c:v>
                </c:pt>
                <c:pt idx="45">
                  <c:v>32.439999525377367</c:v>
                </c:pt>
                <c:pt idx="46">
                  <c:v>30.33971130465298</c:v>
                </c:pt>
                <c:pt idx="47">
                  <c:v>28.230671883008913</c:v>
                </c:pt>
                <c:pt idx="48">
                  <c:v>26.112844797107996</c:v>
                </c:pt>
                <c:pt idx="49">
                  <c:v>23.986193431682491</c:v>
                </c:pt>
                <c:pt idx="50">
                  <c:v>21.850681018901049</c:v>
                </c:pt>
                <c:pt idx="51">
                  <c:v>19.706270637733013</c:v>
                </c:pt>
                <c:pt idx="52">
                  <c:v>17.552925213310115</c:v>
                </c:pt>
                <c:pt idx="53">
                  <c:v>15.390607516285453</c:v>
                </c:pt>
                <c:pt idx="54">
                  <c:v>13.219280162189854</c:v>
                </c:pt>
                <c:pt idx="55">
                  <c:v>11.038905610785525</c:v>
                </c:pt>
                <c:pt idx="56">
                  <c:v>8.8494461654170102</c:v>
                </c:pt>
                <c:pt idx="57">
                  <c:v>6.6508639723594589</c:v>
                </c:pt>
                <c:pt idx="58">
                  <c:v>4.4431210201641687</c:v>
                </c:pt>
                <c:pt idx="59">
                  <c:v>2.2261791390013981</c:v>
                </c:pt>
                <c:pt idx="60">
                  <c:v>4.4953670415755671E-13</c:v>
                </c:pt>
                <c:pt idx="61">
                  <c:v>4.4953670415755671E-13</c:v>
                </c:pt>
                <c:pt idx="62">
                  <c:v>4.4953670415755671E-13</c:v>
                </c:pt>
                <c:pt idx="63">
                  <c:v>4.4953670415755671E-13</c:v>
                </c:pt>
                <c:pt idx="64">
                  <c:v>4.4953670415755671E-13</c:v>
                </c:pt>
                <c:pt idx="65">
                  <c:v>4.4953670415755671E-13</c:v>
                </c:pt>
                <c:pt idx="66">
                  <c:v>4.4953670415755671E-13</c:v>
                </c:pt>
                <c:pt idx="67">
                  <c:v>4.4953670415755671E-13</c:v>
                </c:pt>
                <c:pt idx="68">
                  <c:v>4.4953670415755671E-13</c:v>
                </c:pt>
                <c:pt idx="69">
                  <c:v>4.4953670415755671E-13</c:v>
                </c:pt>
                <c:pt idx="70">
                  <c:v>4.4953670415755671E-13</c:v>
                </c:pt>
                <c:pt idx="71">
                  <c:v>4.4953670415755671E-13</c:v>
                </c:pt>
                <c:pt idx="72">
                  <c:v>4.4953670415755671E-13</c:v>
                </c:pt>
                <c:pt idx="73">
                  <c:v>4.4953670415755671E-13</c:v>
                </c:pt>
                <c:pt idx="74">
                  <c:v>4.4953670415755671E-13</c:v>
                </c:pt>
                <c:pt idx="75">
                  <c:v>4.4953670415755671E-13</c:v>
                </c:pt>
                <c:pt idx="76">
                  <c:v>4.4953670415755671E-13</c:v>
                </c:pt>
                <c:pt idx="77">
                  <c:v>4.4953670415755671E-13</c:v>
                </c:pt>
                <c:pt idx="78">
                  <c:v>4.4953670415755671E-13</c:v>
                </c:pt>
                <c:pt idx="79">
                  <c:v>4.4953670415755671E-13</c:v>
                </c:pt>
                <c:pt idx="80">
                  <c:v>4.4953670415755671E-13</c:v>
                </c:pt>
                <c:pt idx="81">
                  <c:v>4.4953670415755671E-13</c:v>
                </c:pt>
                <c:pt idx="82">
                  <c:v>4.4953670415755671E-13</c:v>
                </c:pt>
                <c:pt idx="83">
                  <c:v>4.4953670415755671E-13</c:v>
                </c:pt>
                <c:pt idx="84">
                  <c:v>4.4953670415755671E-13</c:v>
                </c:pt>
                <c:pt idx="85">
                  <c:v>4.4953670415755671E-13</c:v>
                </c:pt>
                <c:pt idx="86">
                  <c:v>4.4953670415755671E-13</c:v>
                </c:pt>
                <c:pt idx="87">
                  <c:v>4.4953670415755671E-13</c:v>
                </c:pt>
                <c:pt idx="88">
                  <c:v>4.4953670415755671E-13</c:v>
                </c:pt>
                <c:pt idx="89">
                  <c:v>4.4953670415755671E-13</c:v>
                </c:pt>
                <c:pt idx="90">
                  <c:v>4.4953670415755671E-13</c:v>
                </c:pt>
                <c:pt idx="91">
                  <c:v>4.4953670415755671E-13</c:v>
                </c:pt>
                <c:pt idx="92">
                  <c:v>4.4953670415755671E-13</c:v>
                </c:pt>
                <c:pt idx="93">
                  <c:v>4.4953670415755671E-13</c:v>
                </c:pt>
                <c:pt idx="94">
                  <c:v>4.4953670415755671E-13</c:v>
                </c:pt>
                <c:pt idx="95">
                  <c:v>4.4953670415755671E-13</c:v>
                </c:pt>
                <c:pt idx="96">
                  <c:v>4.4953670415755671E-13</c:v>
                </c:pt>
                <c:pt idx="97">
                  <c:v>4.4953670415755671E-13</c:v>
                </c:pt>
                <c:pt idx="98">
                  <c:v>4.4953670415755671E-13</c:v>
                </c:pt>
                <c:pt idx="99">
                  <c:v>4.4953670415755671E-13</c:v>
                </c:pt>
                <c:pt idx="100">
                  <c:v>4.4953670415755671E-13</c:v>
                </c:pt>
                <c:pt idx="101">
                  <c:v>4.4953670415755671E-13</c:v>
                </c:pt>
                <c:pt idx="102">
                  <c:v>4.4953670415755671E-13</c:v>
                </c:pt>
                <c:pt idx="103">
                  <c:v>4.4953670415755671E-13</c:v>
                </c:pt>
                <c:pt idx="104">
                  <c:v>4.4953670415755671E-13</c:v>
                </c:pt>
                <c:pt idx="105">
                  <c:v>4.4953670415755671E-13</c:v>
                </c:pt>
                <c:pt idx="106">
                  <c:v>4.4953670415755671E-13</c:v>
                </c:pt>
                <c:pt idx="107">
                  <c:v>4.4953670415755671E-13</c:v>
                </c:pt>
                <c:pt idx="108">
                  <c:v>4.4953670415755671E-13</c:v>
                </c:pt>
                <c:pt idx="109">
                  <c:v>4.4953670415755671E-13</c:v>
                </c:pt>
                <c:pt idx="110">
                  <c:v>4.4953670415755671E-13</c:v>
                </c:pt>
                <c:pt idx="111">
                  <c:v>4.4953670415755671E-13</c:v>
                </c:pt>
                <c:pt idx="112">
                  <c:v>4.4953670415755671E-13</c:v>
                </c:pt>
                <c:pt idx="113">
                  <c:v>4.4953670415755671E-13</c:v>
                </c:pt>
                <c:pt idx="114">
                  <c:v>4.4953670415755671E-13</c:v>
                </c:pt>
                <c:pt idx="115">
                  <c:v>4.4953670415755671E-13</c:v>
                </c:pt>
                <c:pt idx="116">
                  <c:v>4.4953670415755671E-13</c:v>
                </c:pt>
                <c:pt idx="117">
                  <c:v>4.4953670415755671E-13</c:v>
                </c:pt>
                <c:pt idx="118">
                  <c:v>4.4953670415755671E-13</c:v>
                </c:pt>
                <c:pt idx="119">
                  <c:v>4.4953670415755671E-13</c:v>
                </c:pt>
                <c:pt idx="120">
                  <c:v>4.4953670415755671E-13</c:v>
                </c:pt>
                <c:pt idx="121">
                  <c:v>4.4953670415755671E-13</c:v>
                </c:pt>
                <c:pt idx="122">
                  <c:v>4.4953670415755671E-13</c:v>
                </c:pt>
                <c:pt idx="123">
                  <c:v>4.4953670415755671E-13</c:v>
                </c:pt>
                <c:pt idx="124">
                  <c:v>4.4953670415755671E-13</c:v>
                </c:pt>
                <c:pt idx="125">
                  <c:v>4.4953670415755671E-13</c:v>
                </c:pt>
                <c:pt idx="126">
                  <c:v>4.4953670415755671E-13</c:v>
                </c:pt>
              </c:numCache>
            </c:numRef>
          </c:yVal>
          <c:smooth val="1"/>
          <c:extLst>
            <c:ext xmlns:c16="http://schemas.microsoft.com/office/drawing/2014/chart" uri="{C3380CC4-5D6E-409C-BE32-E72D297353CC}">
              <c16:uniqueId val="{00000002-02D1-4398-9AB5-FE1D89AC1FE5}"/>
            </c:ext>
          </c:extLst>
        </c:ser>
        <c:ser>
          <c:idx val="2"/>
          <c:order val="2"/>
          <c:tx>
            <c:v>Principal Payment</c:v>
          </c:tx>
          <c:spPr>
            <a:ln w="50800" cap="rnd">
              <a:solidFill>
                <a:schemeClr val="accent3"/>
              </a:solidFill>
              <a:round/>
            </a:ln>
            <a:effectLst/>
          </c:spPr>
          <c:marker>
            <c:symbol val="none"/>
          </c:marker>
          <c:yVal>
            <c:numRef>
              <c:f>EV!$C$65:$C$191</c:f>
              <c:numCache>
                <c:formatCode>_("$"* #,##0.00_);_("$"* \(#,##0.00\);_("$"* "-"??_);_(@_)</c:formatCode>
                <c:ptCount val="127"/>
                <c:pt idx="0">
                  <c:v>418.05083916589575</c:v>
                </c:pt>
                <c:pt idx="1">
                  <c:v>419.79271766242033</c:v>
                </c:pt>
                <c:pt idx="2">
                  <c:v>421.54185398601373</c:v>
                </c:pt>
                <c:pt idx="3">
                  <c:v>423.29827837762213</c:v>
                </c:pt>
                <c:pt idx="4">
                  <c:v>425.06202120419556</c:v>
                </c:pt>
                <c:pt idx="5">
                  <c:v>426.83311295921305</c:v>
                </c:pt>
                <c:pt idx="6">
                  <c:v>428.61158426320975</c:v>
                </c:pt>
                <c:pt idx="7">
                  <c:v>430.39746586430647</c:v>
                </c:pt>
                <c:pt idx="8">
                  <c:v>432.19078863874108</c:v>
                </c:pt>
                <c:pt idx="9">
                  <c:v>433.99158359140245</c:v>
                </c:pt>
                <c:pt idx="10">
                  <c:v>435.79988185636665</c:v>
                </c:pt>
                <c:pt idx="11">
                  <c:v>437.61571469743484</c:v>
                </c:pt>
                <c:pt idx="12">
                  <c:v>439.43911350867415</c:v>
                </c:pt>
                <c:pt idx="13">
                  <c:v>441.27010981496034</c:v>
                </c:pt>
                <c:pt idx="14">
                  <c:v>443.10873527252267</c:v>
                </c:pt>
                <c:pt idx="15">
                  <c:v>444.95502166949149</c:v>
                </c:pt>
                <c:pt idx="16">
                  <c:v>446.80900092644771</c:v>
                </c:pt>
                <c:pt idx="17">
                  <c:v>448.67070509697459</c:v>
                </c:pt>
                <c:pt idx="18">
                  <c:v>450.540166368212</c:v>
                </c:pt>
                <c:pt idx="19">
                  <c:v>452.41741706141283</c:v>
                </c:pt>
                <c:pt idx="20">
                  <c:v>454.3024896325021</c:v>
                </c:pt>
                <c:pt idx="21">
                  <c:v>456.19541667263752</c:v>
                </c:pt>
                <c:pt idx="22">
                  <c:v>458.09623090877346</c:v>
                </c:pt>
                <c:pt idx="23">
                  <c:v>460.00496520422672</c:v>
                </c:pt>
                <c:pt idx="24">
                  <c:v>461.92165255924431</c:v>
                </c:pt>
                <c:pt idx="25">
                  <c:v>463.84632611157451</c:v>
                </c:pt>
                <c:pt idx="26">
                  <c:v>465.77901913703943</c:v>
                </c:pt>
                <c:pt idx="27">
                  <c:v>467.71976505011042</c:v>
                </c:pt>
                <c:pt idx="28">
                  <c:v>469.66859740448587</c:v>
                </c:pt>
                <c:pt idx="29">
                  <c:v>471.62554989367123</c:v>
                </c:pt>
                <c:pt idx="30">
                  <c:v>473.59065635156151</c:v>
                </c:pt>
                <c:pt idx="31">
                  <c:v>475.56395075302635</c:v>
                </c:pt>
                <c:pt idx="32">
                  <c:v>477.54546721449731</c:v>
                </c:pt>
                <c:pt idx="33">
                  <c:v>479.53523999455774</c:v>
                </c:pt>
                <c:pt idx="34">
                  <c:v>481.53330349453506</c:v>
                </c:pt>
                <c:pt idx="35">
                  <c:v>483.5396922590956</c:v>
                </c:pt>
                <c:pt idx="36">
                  <c:v>485.55444097684182</c:v>
                </c:pt>
                <c:pt idx="37">
                  <c:v>487.57758448091204</c:v>
                </c:pt>
                <c:pt idx="38">
                  <c:v>489.60915774958249</c:v>
                </c:pt>
                <c:pt idx="39">
                  <c:v>491.64919590687242</c:v>
                </c:pt>
                <c:pt idx="40">
                  <c:v>493.69773422315103</c:v>
                </c:pt>
                <c:pt idx="41">
                  <c:v>495.75480811574749</c:v>
                </c:pt>
                <c:pt idx="42">
                  <c:v>497.82045314956315</c:v>
                </c:pt>
                <c:pt idx="43">
                  <c:v>499.89470503768632</c:v>
                </c:pt>
                <c:pt idx="44">
                  <c:v>501.97759964200998</c:v>
                </c:pt>
                <c:pt idx="45">
                  <c:v>504.06917297385172</c:v>
                </c:pt>
                <c:pt idx="46">
                  <c:v>506.16946119457612</c:v>
                </c:pt>
                <c:pt idx="47">
                  <c:v>508.27850061622013</c:v>
                </c:pt>
                <c:pt idx="48">
                  <c:v>510.39632770212108</c:v>
                </c:pt>
                <c:pt idx="49">
                  <c:v>512.52297906754654</c:v>
                </c:pt>
                <c:pt idx="50">
                  <c:v>514.65849148032805</c:v>
                </c:pt>
                <c:pt idx="51">
                  <c:v>516.80290186149603</c:v>
                </c:pt>
                <c:pt idx="52">
                  <c:v>518.95624728591895</c:v>
                </c:pt>
                <c:pt idx="53">
                  <c:v>521.11856498294367</c:v>
                </c:pt>
                <c:pt idx="54">
                  <c:v>523.28989233703919</c:v>
                </c:pt>
                <c:pt idx="55">
                  <c:v>525.47026688844358</c:v>
                </c:pt>
                <c:pt idx="56">
                  <c:v>527.65972633381205</c:v>
                </c:pt>
                <c:pt idx="57">
                  <c:v>529.85830852686956</c:v>
                </c:pt>
                <c:pt idx="58">
                  <c:v>532.06605147906487</c:v>
                </c:pt>
                <c:pt idx="59">
                  <c:v>534.28299336022769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3-02D1-4398-9AB5-FE1D89AC1FE5}"/>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60325" cap="rnd">
              <a:solidFill>
                <a:schemeClr val="accent1"/>
              </a:solidFill>
              <a:round/>
            </a:ln>
            <a:effectLst/>
          </c:spPr>
          <c:marker>
            <c:symbol val="none"/>
          </c:marker>
          <c:yVal>
            <c:numRef>
              <c:f>EV!$G$65:$G$191</c:f>
              <c:numCache>
                <c:formatCode>_("$"* #,##0.00_);_("$"* \(#,##0.00\);_("$"* "-"??_);_(@_)</c:formatCode>
                <c:ptCount val="127"/>
                <c:pt idx="0">
                  <c:v>27080</c:v>
                </c:pt>
                <c:pt idx="1">
                  <c:v>26528.344143203438</c:v>
                </c:pt>
                <c:pt idx="2">
                  <c:v>25974.849433550888</c:v>
                </c:pt>
                <c:pt idx="3">
                  <c:v>25419.509741532827</c:v>
                </c:pt>
                <c:pt idx="4">
                  <c:v>24862.318917208042</c:v>
                </c:pt>
                <c:pt idx="5">
                  <c:v>24303.270790135506</c:v>
                </c:pt>
                <c:pt idx="6">
                  <c:v>23742.359169306063</c:v>
                </c:pt>
                <c:pt idx="7">
                  <c:v>23179.577843073854</c:v>
                </c:pt>
                <c:pt idx="8">
                  <c:v>22614.920579087538</c:v>
                </c:pt>
                <c:pt idx="9">
                  <c:v>22048.381124221269</c:v>
                </c:pt>
                <c:pt idx="10">
                  <c:v>21479.953204505444</c:v>
                </c:pt>
                <c:pt idx="11">
                  <c:v>20909.630525057233</c:v>
                </c:pt>
                <c:pt idx="12">
                  <c:v>20337.406770010861</c:v>
                </c:pt>
                <c:pt idx="13">
                  <c:v>19763.275602447666</c:v>
                </c:pt>
                <c:pt idx="14">
                  <c:v>19187.230664325929</c:v>
                </c:pt>
                <c:pt idx="15">
                  <c:v>18609.265576410453</c:v>
                </c:pt>
                <c:pt idx="16">
                  <c:v>18029.373938201923</c:v>
                </c:pt>
                <c:pt idx="17">
                  <c:v>17447.549327866032</c:v>
                </c:pt>
                <c:pt idx="18">
                  <c:v>16863.785302162356</c:v>
                </c:pt>
                <c:pt idx="19">
                  <c:v>16278.075396373</c:v>
                </c:pt>
                <c:pt idx="20">
                  <c:v>15690.413124231014</c:v>
                </c:pt>
                <c:pt idx="21">
                  <c:v>15100.791977848554</c:v>
                </c:pt>
                <c:pt idx="22">
                  <c:v>14509.20542764482</c:v>
                </c:pt>
                <c:pt idx="23">
                  <c:v>13915.64692227374</c:v>
                </c:pt>
                <c:pt idx="24">
                  <c:v>13320.109888551422</c:v>
                </c:pt>
                <c:pt idx="25">
                  <c:v>12722.587731383364</c:v>
                </c:pt>
                <c:pt idx="26">
                  <c:v>12123.073833691413</c:v>
                </c:pt>
                <c:pt idx="27">
                  <c:v>11521.561556340488</c:v>
                </c:pt>
                <c:pt idx="28">
                  <c:v>10918.04423806506</c:v>
                </c:pt>
                <c:pt idx="29">
                  <c:v>10312.515195395381</c:v>
                </c:pt>
                <c:pt idx="30">
                  <c:v>9704.9677225834694</c:v>
                </c:pt>
                <c:pt idx="31">
                  <c:v>9095.3950915288515</c:v>
                </c:pt>
                <c:pt idx="32">
                  <c:v>8483.7905517040508</c:v>
                </c:pt>
                <c:pt idx="33">
                  <c:v>7870.1473300798343</c:v>
                </c:pt>
                <c:pt idx="34">
                  <c:v>7254.4586310502036</c:v>
                </c:pt>
                <c:pt idx="35">
                  <c:v>6636.7176363571416</c:v>
                </c:pt>
                <c:pt idx="36">
                  <c:v>6016.9175050151025</c:v>
                </c:pt>
                <c:pt idx="37">
                  <c:v>5395.0513732352565</c:v>
                </c:pt>
                <c:pt idx="38">
                  <c:v>4771.1123543494778</c:v>
                </c:pt>
                <c:pt idx="39">
                  <c:v>4145.0935387340796</c:v>
                </c:pt>
                <c:pt idx="40">
                  <c:v>3516.9879937332967</c:v>
                </c:pt>
                <c:pt idx="41">
                  <c:v>2886.7887635825109</c:v>
                </c:pt>
                <c:pt idx="42">
                  <c:v>2254.4888693312228</c:v>
                </c:pt>
                <c:pt idx="43">
                  <c:v>1620.0813087657637</c:v>
                </c:pt>
                <c:pt idx="44">
                  <c:v>983.55905633175303</c:v>
                </c:pt>
                <c:pt idx="45">
                  <c:v>344.91506305629571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0-35DD-4EA2-A531-67CD15480412}"/>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7625" cap="rnd">
              <a:solidFill>
                <a:schemeClr val="accent2"/>
              </a:solidFill>
              <a:round/>
            </a:ln>
            <a:effectLst/>
          </c:spPr>
          <c:marker>
            <c:symbol val="none"/>
          </c:marker>
          <c:yVal>
            <c:numRef>
              <c:f>EV!$H$65:$H$191</c:f>
              <c:numCache>
                <c:formatCode>_("$"* #,##0.00_);_("$"* \(#,##0.00\);_("$"* "-"??_);_(@_)</c:formatCode>
                <c:ptCount val="127"/>
                <c:pt idx="0">
                  <c:v>90.266666666666666</c:v>
                </c:pt>
                <c:pt idx="1">
                  <c:v>88.427813810678131</c:v>
                </c:pt>
                <c:pt idx="2">
                  <c:v>86.582831445169631</c:v>
                </c:pt>
                <c:pt idx="3">
                  <c:v>84.731699138442764</c:v>
                </c:pt>
                <c:pt idx="4">
                  <c:v>82.874396390693477</c:v>
                </c:pt>
                <c:pt idx="5">
                  <c:v>81.010902633785022</c:v>
                </c:pt>
                <c:pt idx="6">
                  <c:v>79.141197231020215</c:v>
                </c:pt>
                <c:pt idx="7">
                  <c:v>77.265259476912846</c:v>
                </c:pt>
                <c:pt idx="8">
                  <c:v>75.383068596958466</c:v>
                </c:pt>
                <c:pt idx="9">
                  <c:v>73.494603747404227</c:v>
                </c:pt>
                <c:pt idx="10">
                  <c:v>71.599844015018149</c:v>
                </c:pt>
                <c:pt idx="11">
                  <c:v>69.698768416857448</c:v>
                </c:pt>
                <c:pt idx="12">
                  <c:v>67.791355900036208</c:v>
                </c:pt>
                <c:pt idx="13">
                  <c:v>65.877585341492221</c:v>
                </c:pt>
                <c:pt idx="14">
                  <c:v>63.9574355477531</c:v>
                </c:pt>
                <c:pt idx="15">
                  <c:v>62.030885254701516</c:v>
                </c:pt>
                <c:pt idx="16">
                  <c:v>60.097913127339744</c:v>
                </c:pt>
                <c:pt idx="17">
                  <c:v>58.158497759553448</c:v>
                </c:pt>
                <c:pt idx="18">
                  <c:v>56.212617673874526</c:v>
                </c:pt>
                <c:pt idx="19">
                  <c:v>54.260251321243338</c:v>
                </c:pt>
                <c:pt idx="20">
                  <c:v>52.301377080770052</c:v>
                </c:pt>
                <c:pt idx="21">
                  <c:v>50.335973259495184</c:v>
                </c:pt>
                <c:pt idx="22">
                  <c:v>48.364018092149401</c:v>
                </c:pt>
                <c:pt idx="23">
                  <c:v>46.385489740912469</c:v>
                </c:pt>
                <c:pt idx="24">
                  <c:v>44.400366295171409</c:v>
                </c:pt>
                <c:pt idx="25">
                  <c:v>42.408625771277883</c:v>
                </c:pt>
                <c:pt idx="26">
                  <c:v>40.410246112304712</c:v>
                </c:pt>
                <c:pt idx="27">
                  <c:v>38.405205187801627</c:v>
                </c:pt>
                <c:pt idx="28">
                  <c:v>36.393480793550204</c:v>
                </c:pt>
                <c:pt idx="29">
                  <c:v>34.375050651317942</c:v>
                </c:pt>
                <c:pt idx="30">
                  <c:v>32.349892408611566</c:v>
                </c:pt>
                <c:pt idx="31">
                  <c:v>30.317983638429506</c:v>
                </c:pt>
                <c:pt idx="32">
                  <c:v>28.279301839013506</c:v>
                </c:pt>
                <c:pt idx="33">
                  <c:v>26.233824433599448</c:v>
                </c:pt>
                <c:pt idx="34">
                  <c:v>24.181528770167347</c:v>
                </c:pt>
                <c:pt idx="35">
                  <c:v>22.122392121190472</c:v>
                </c:pt>
                <c:pt idx="36">
                  <c:v>20.056391683383676</c:v>
                </c:pt>
                <c:pt idx="37">
                  <c:v>17.983504577450855</c:v>
                </c:pt>
                <c:pt idx="38">
                  <c:v>15.903707847831594</c:v>
                </c:pt>
                <c:pt idx="39">
                  <c:v>13.816978462446933</c:v>
                </c:pt>
                <c:pt idx="40">
                  <c:v>11.723293312444323</c:v>
                </c:pt>
                <c:pt idx="41">
                  <c:v>9.6226292119417032</c:v>
                </c:pt>
                <c:pt idx="42">
                  <c:v>7.5149628977707428</c:v>
                </c:pt>
                <c:pt idx="43">
                  <c:v>5.4002710292192129</c:v>
                </c:pt>
                <c:pt idx="44">
                  <c:v>3.2785301877725104</c:v>
                </c:pt>
                <c:pt idx="45">
                  <c:v>1.1497168768543191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1-35DD-4EA2-A531-67CD15480412}"/>
            </c:ext>
          </c:extLst>
        </c:ser>
        <c:ser>
          <c:idx val="2"/>
          <c:order val="2"/>
          <c:tx>
            <c:v>Principal Payment</c:v>
          </c:tx>
          <c:spPr>
            <a:ln w="53975" cap="rnd">
              <a:solidFill>
                <a:schemeClr val="accent3"/>
              </a:solidFill>
              <a:round/>
            </a:ln>
            <a:effectLst/>
          </c:spPr>
          <c:marker>
            <c:symbol val="none"/>
          </c:marker>
          <c:yVal>
            <c:numRef>
              <c:f>EV!$I$65:$I$191</c:f>
              <c:numCache>
                <c:formatCode>_("$"* #,##0.00_);_("$"* \(#,##0.00\);_("$"* "-"??_);_(@_)</c:formatCode>
                <c:ptCount val="127"/>
                <c:pt idx="0">
                  <c:v>551.65585679656317</c:v>
                </c:pt>
                <c:pt idx="1">
                  <c:v>553.49470965255171</c:v>
                </c:pt>
                <c:pt idx="2">
                  <c:v>555.33969201806019</c:v>
                </c:pt>
                <c:pt idx="3">
                  <c:v>557.19082432478706</c:v>
                </c:pt>
                <c:pt idx="4">
                  <c:v>559.04812707253632</c:v>
                </c:pt>
                <c:pt idx="5">
                  <c:v>560.91162082944481</c:v>
                </c:pt>
                <c:pt idx="6">
                  <c:v>562.78132623220961</c:v>
                </c:pt>
                <c:pt idx="7">
                  <c:v>564.65726398631693</c:v>
                </c:pt>
                <c:pt idx="8">
                  <c:v>566.5394548662714</c:v>
                </c:pt>
                <c:pt idx="9">
                  <c:v>568.42791971582562</c:v>
                </c:pt>
                <c:pt idx="10">
                  <c:v>570.32267944821172</c:v>
                </c:pt>
                <c:pt idx="11">
                  <c:v>572.22375504637239</c:v>
                </c:pt>
                <c:pt idx="12">
                  <c:v>574.13116756319357</c:v>
                </c:pt>
                <c:pt idx="13">
                  <c:v>576.04493812173757</c:v>
                </c:pt>
                <c:pt idx="14">
                  <c:v>577.96508791547672</c:v>
                </c:pt>
                <c:pt idx="15">
                  <c:v>579.89163820852832</c:v>
                </c:pt>
                <c:pt idx="16">
                  <c:v>581.82461033589004</c:v>
                </c:pt>
                <c:pt idx="17">
                  <c:v>583.76402570367634</c:v>
                </c:pt>
                <c:pt idx="18">
                  <c:v>585.70990578935528</c:v>
                </c:pt>
                <c:pt idx="19">
                  <c:v>587.66227214198648</c:v>
                </c:pt>
                <c:pt idx="20">
                  <c:v>589.62114638245976</c:v>
                </c:pt>
                <c:pt idx="21">
                  <c:v>591.58655020373465</c:v>
                </c:pt>
                <c:pt idx="22">
                  <c:v>593.5585053710804</c:v>
                </c:pt>
                <c:pt idx="23">
                  <c:v>595.53703372231735</c:v>
                </c:pt>
                <c:pt idx="24">
                  <c:v>597.52215716805836</c:v>
                </c:pt>
                <c:pt idx="25">
                  <c:v>599.51389769195191</c:v>
                </c:pt>
                <c:pt idx="26">
                  <c:v>601.51227735092516</c:v>
                </c:pt>
                <c:pt idx="27">
                  <c:v>603.51731827542824</c:v>
                </c:pt>
                <c:pt idx="28">
                  <c:v>605.5290426696796</c:v>
                </c:pt>
                <c:pt idx="29">
                  <c:v>607.54747281191192</c:v>
                </c:pt>
                <c:pt idx="30">
                  <c:v>609.57263105461823</c:v>
                </c:pt>
                <c:pt idx="31">
                  <c:v>611.60453982480033</c:v>
                </c:pt>
                <c:pt idx="32">
                  <c:v>613.64322162421627</c:v>
                </c:pt>
                <c:pt idx="33">
                  <c:v>615.68869902963036</c:v>
                </c:pt>
                <c:pt idx="34">
                  <c:v>617.74099469306248</c:v>
                </c:pt>
                <c:pt idx="35">
                  <c:v>619.80013134203932</c:v>
                </c:pt>
                <c:pt idx="36">
                  <c:v>621.86613177984611</c:v>
                </c:pt>
                <c:pt idx="37">
                  <c:v>623.93901888577898</c:v>
                </c:pt>
                <c:pt idx="38">
                  <c:v>626.01881561539824</c:v>
                </c:pt>
                <c:pt idx="39">
                  <c:v>628.10554500078285</c:v>
                </c:pt>
                <c:pt idx="40">
                  <c:v>630.19923015078552</c:v>
                </c:pt>
                <c:pt idx="41">
                  <c:v>632.29989425128815</c:v>
                </c:pt>
                <c:pt idx="42">
                  <c:v>634.40756056545911</c:v>
                </c:pt>
                <c:pt idx="43">
                  <c:v>636.52225243401062</c:v>
                </c:pt>
                <c:pt idx="44">
                  <c:v>638.64399327545732</c:v>
                </c:pt>
                <c:pt idx="45">
                  <c:v>640.77280658637551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2-35DD-4EA2-A531-67CD15480412}"/>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53975" cap="rnd">
              <a:solidFill>
                <a:schemeClr val="accent1"/>
              </a:solidFill>
              <a:round/>
            </a:ln>
            <a:effectLst/>
          </c:spPr>
          <c:marker>
            <c:symbol val="none"/>
          </c:marker>
          <c:yVal>
            <c:numRef>
              <c:f>EV!$M$65:$M$191</c:f>
              <c:numCache>
                <c:formatCode>_("$"* #,##0.00_);_("$"* \(#,##0.00\);_("$"* "-"??_);_(@_)</c:formatCode>
                <c:ptCount val="127"/>
                <c:pt idx="0">
                  <c:v>29030</c:v>
                </c:pt>
                <c:pt idx="1">
                  <c:v>28499.978962963673</c:v>
                </c:pt>
                <c:pt idx="2">
                  <c:v>27969.957925927345</c:v>
                </c:pt>
                <c:pt idx="3">
                  <c:v>27439.936888891018</c:v>
                </c:pt>
                <c:pt idx="4">
                  <c:v>26909.91585185469</c:v>
                </c:pt>
                <c:pt idx="5">
                  <c:v>26379.894814818363</c:v>
                </c:pt>
                <c:pt idx="6">
                  <c:v>25849.873777782035</c:v>
                </c:pt>
                <c:pt idx="7">
                  <c:v>25319.852740745708</c:v>
                </c:pt>
                <c:pt idx="8">
                  <c:v>24789.83170370938</c:v>
                </c:pt>
                <c:pt idx="9">
                  <c:v>24259.810666673053</c:v>
                </c:pt>
                <c:pt idx="10">
                  <c:v>23729.789629636725</c:v>
                </c:pt>
                <c:pt idx="11">
                  <c:v>23199.768592600398</c:v>
                </c:pt>
                <c:pt idx="12">
                  <c:v>22669.74755556407</c:v>
                </c:pt>
                <c:pt idx="13">
                  <c:v>22139.726518527743</c:v>
                </c:pt>
                <c:pt idx="14">
                  <c:v>21609.705481491415</c:v>
                </c:pt>
                <c:pt idx="15">
                  <c:v>21079.684444455088</c:v>
                </c:pt>
                <c:pt idx="16">
                  <c:v>20549.66340741876</c:v>
                </c:pt>
                <c:pt idx="17">
                  <c:v>20019.642370382433</c:v>
                </c:pt>
                <c:pt idx="18">
                  <c:v>19489.621333346106</c:v>
                </c:pt>
                <c:pt idx="19">
                  <c:v>18959.600296309778</c:v>
                </c:pt>
                <c:pt idx="20">
                  <c:v>18429.579259273451</c:v>
                </c:pt>
                <c:pt idx="21">
                  <c:v>17899.558222237123</c:v>
                </c:pt>
                <c:pt idx="22">
                  <c:v>17369.537185200796</c:v>
                </c:pt>
                <c:pt idx="23">
                  <c:v>16839.516148164468</c:v>
                </c:pt>
                <c:pt idx="24">
                  <c:v>16372.643296683756</c:v>
                </c:pt>
                <c:pt idx="25">
                  <c:v>15904.019672009992</c:v>
                </c:pt>
                <c:pt idx="26">
                  <c:v>15433.638708743701</c:v>
                </c:pt>
                <c:pt idx="27">
                  <c:v>14961.493816865162</c:v>
                </c:pt>
                <c:pt idx="28">
                  <c:v>14487.578381642079</c:v>
                </c:pt>
                <c:pt idx="29">
                  <c:v>14011.88576353691</c:v>
                </c:pt>
                <c:pt idx="30">
                  <c:v>13534.409298113846</c:v>
                </c:pt>
                <c:pt idx="31">
                  <c:v>13055.142295945445</c:v>
                </c:pt>
                <c:pt idx="32">
                  <c:v>12574.078042518913</c:v>
                </c:pt>
                <c:pt idx="33">
                  <c:v>12091.209798142032</c:v>
                </c:pt>
                <c:pt idx="34">
                  <c:v>11606.530797848736</c:v>
                </c:pt>
                <c:pt idx="35">
                  <c:v>11120.034251304342</c:v>
                </c:pt>
                <c:pt idx="36">
                  <c:v>10631.713342710405</c:v>
                </c:pt>
                <c:pt idx="37">
                  <c:v>10141.561230709241</c:v>
                </c:pt>
                <c:pt idx="38">
                  <c:v>9649.5710482880731</c:v>
                </c:pt>
                <c:pt idx="39">
                  <c:v>9155.7359026828253</c:v>
                </c:pt>
                <c:pt idx="40">
                  <c:v>8660.0488752815581</c:v>
                </c:pt>
                <c:pt idx="41">
                  <c:v>8162.5030215275365</c:v>
                </c:pt>
                <c:pt idx="42">
                  <c:v>7663.0913708219368</c:v>
                </c:pt>
                <c:pt idx="43">
                  <c:v>7161.8069264261912</c:v>
                </c:pt>
                <c:pt idx="44">
                  <c:v>6658.6426653639619</c:v>
                </c:pt>
                <c:pt idx="45">
                  <c:v>6153.5915383227493</c:v>
                </c:pt>
                <c:pt idx="46">
                  <c:v>5646.6464695551322</c:v>
                </c:pt>
                <c:pt idx="47">
                  <c:v>5137.8003567796359</c:v>
                </c:pt>
                <c:pt idx="48">
                  <c:v>4627.0460710812313</c:v>
                </c:pt>
                <c:pt idx="49">
                  <c:v>4114.3764568114584</c:v>
                </c:pt>
                <c:pt idx="50">
                  <c:v>3599.7843314881738</c:v>
                </c:pt>
                <c:pt idx="51">
                  <c:v>3083.2624856949269</c:v>
                </c:pt>
                <c:pt idx="52">
                  <c:v>2564.8036829799548</c:v>
                </c:pt>
                <c:pt idx="53">
                  <c:v>2044.4006597548018</c:v>
                </c:pt>
                <c:pt idx="54">
                  <c:v>1522.0461251925544</c:v>
                </c:pt>
                <c:pt idx="55">
                  <c:v>997.73276112569874</c:v>
                </c:pt>
                <c:pt idx="56">
                  <c:v>471.45322194359233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0-5437-4CC9-BAA5-A15A814F8D9D}"/>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7625" cap="rnd">
              <a:solidFill>
                <a:schemeClr val="accent2"/>
              </a:solidFill>
              <a:round/>
            </a:ln>
            <a:effectLst/>
          </c:spPr>
          <c:marker>
            <c:symbol val="none"/>
          </c:marker>
          <c:yVal>
            <c:numRef>
              <c:f>EV!$N$65:$N$191</c:f>
              <c:numCache>
                <c:formatCode>_("$"* #,##0.00_);_("$"* \(#,##0.00\);_("$"* "-"??_);_(@_)</c:formatCode>
                <c:ptCount val="1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63.148185555616756</c:v>
                </c:pt>
                <c:pt idx="24">
                  <c:v>61.397412362564083</c:v>
                </c:pt>
                <c:pt idx="25">
                  <c:v>59.640073770037468</c:v>
                </c:pt>
                <c:pt idx="26">
                  <c:v>57.876145157788876</c:v>
                </c:pt>
                <c:pt idx="27">
                  <c:v>56.105601813244355</c:v>
                </c:pt>
                <c:pt idx="28">
                  <c:v>54.328418931157792</c:v>
                </c:pt>
                <c:pt idx="29">
                  <c:v>52.544571613263408</c:v>
                </c:pt>
                <c:pt idx="30">
                  <c:v>50.754034867926919</c:v>
                </c:pt>
                <c:pt idx="31">
                  <c:v>48.956783609795416</c:v>
                </c:pt>
                <c:pt idx="32">
                  <c:v>47.152792659445922</c:v>
                </c:pt>
                <c:pt idx="33">
                  <c:v>45.342036743032615</c:v>
                </c:pt>
                <c:pt idx="34">
                  <c:v>43.52449049193276</c:v>
                </c:pt>
                <c:pt idx="35">
                  <c:v>41.700128442391282</c:v>
                </c:pt>
                <c:pt idx="36">
                  <c:v>39.868925035164018</c:v>
                </c:pt>
                <c:pt idx="37">
                  <c:v>38.030854615159654</c:v>
                </c:pt>
                <c:pt idx="38">
                  <c:v>36.185891431080272</c:v>
                </c:pt>
                <c:pt idx="39">
                  <c:v>34.334009635060596</c:v>
                </c:pt>
                <c:pt idx="40">
                  <c:v>32.475183282305842</c:v>
                </c:pt>
                <c:pt idx="41">
                  <c:v>30.60938633072826</c:v>
                </c:pt>
                <c:pt idx="42">
                  <c:v>28.736592640582263</c:v>
                </c:pt>
                <c:pt idx="43">
                  <c:v>26.856775974098216</c:v>
                </c:pt>
                <c:pt idx="44">
                  <c:v>24.969909995114858</c:v>
                </c:pt>
                <c:pt idx="45">
                  <c:v>23.075968268710309</c:v>
                </c:pt>
                <c:pt idx="46">
                  <c:v>21.174924260831745</c:v>
                </c:pt>
                <c:pt idx="47">
                  <c:v>19.266751337923633</c:v>
                </c:pt>
                <c:pt idx="48">
                  <c:v>17.351422766554617</c:v>
                </c:pt>
                <c:pt idx="49">
                  <c:v>15.428911713042968</c:v>
                </c:pt>
                <c:pt idx="50">
                  <c:v>13.499191243080652</c:v>
                </c:pt>
                <c:pt idx="51">
                  <c:v>11.562234321355975</c:v>
                </c:pt>
                <c:pt idx="52">
                  <c:v>9.6180138111748299</c:v>
                </c:pt>
                <c:pt idx="53">
                  <c:v>7.6665024740805068</c:v>
                </c:pt>
                <c:pt idx="54">
                  <c:v>5.7076729694720791</c:v>
                </c:pt>
                <c:pt idx="55">
                  <c:v>3.7414978542213699</c:v>
                </c:pt>
                <c:pt idx="56">
                  <c:v>1.7679495822884712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1-5437-4CC9-BAA5-A15A814F8D9D}"/>
            </c:ext>
          </c:extLst>
        </c:ser>
        <c:ser>
          <c:idx val="2"/>
          <c:order val="2"/>
          <c:tx>
            <c:v>Principal Payment</c:v>
          </c:tx>
          <c:spPr>
            <a:ln w="47625" cap="rnd">
              <a:solidFill>
                <a:schemeClr val="accent3"/>
              </a:solidFill>
              <a:round/>
            </a:ln>
            <a:effectLst/>
          </c:spPr>
          <c:marker>
            <c:symbol val="none"/>
          </c:marker>
          <c:yVal>
            <c:numRef>
              <c:f>EV!$O$65:$O$191</c:f>
              <c:numCache>
                <c:formatCode>_("$"* #,##0.00_);_("$"* \(#,##0.00\);_("$"* "-"??_);_(@_)</c:formatCode>
                <c:ptCount val="127"/>
                <c:pt idx="0">
                  <c:v>530.02103703632781</c:v>
                </c:pt>
                <c:pt idx="1">
                  <c:v>530.02103703632781</c:v>
                </c:pt>
                <c:pt idx="2">
                  <c:v>530.02103703632781</c:v>
                </c:pt>
                <c:pt idx="3">
                  <c:v>530.02103703632781</c:v>
                </c:pt>
                <c:pt idx="4">
                  <c:v>530.02103703632781</c:v>
                </c:pt>
                <c:pt idx="5">
                  <c:v>530.02103703632781</c:v>
                </c:pt>
                <c:pt idx="6">
                  <c:v>530.02103703632781</c:v>
                </c:pt>
                <c:pt idx="7">
                  <c:v>530.02103703632781</c:v>
                </c:pt>
                <c:pt idx="8">
                  <c:v>530.02103703632781</c:v>
                </c:pt>
                <c:pt idx="9">
                  <c:v>530.02103703632781</c:v>
                </c:pt>
                <c:pt idx="10">
                  <c:v>530.02103703632781</c:v>
                </c:pt>
                <c:pt idx="11">
                  <c:v>530.02103703632781</c:v>
                </c:pt>
                <c:pt idx="12">
                  <c:v>530.02103703632781</c:v>
                </c:pt>
                <c:pt idx="13">
                  <c:v>530.02103703632781</c:v>
                </c:pt>
                <c:pt idx="14">
                  <c:v>530.02103703632781</c:v>
                </c:pt>
                <c:pt idx="15">
                  <c:v>530.02103703632781</c:v>
                </c:pt>
                <c:pt idx="16">
                  <c:v>530.02103703632781</c:v>
                </c:pt>
                <c:pt idx="17">
                  <c:v>530.02103703632781</c:v>
                </c:pt>
                <c:pt idx="18">
                  <c:v>530.02103703632781</c:v>
                </c:pt>
                <c:pt idx="19">
                  <c:v>530.02103703632781</c:v>
                </c:pt>
                <c:pt idx="20">
                  <c:v>530.02103703632781</c:v>
                </c:pt>
                <c:pt idx="21">
                  <c:v>530.02103703632781</c:v>
                </c:pt>
                <c:pt idx="22">
                  <c:v>530.02103703632781</c:v>
                </c:pt>
                <c:pt idx="23">
                  <c:v>466.87285148071106</c:v>
                </c:pt>
                <c:pt idx="24">
                  <c:v>468.62362467376374</c:v>
                </c:pt>
                <c:pt idx="25">
                  <c:v>470.38096326629034</c:v>
                </c:pt>
                <c:pt idx="26">
                  <c:v>472.14489187853894</c:v>
                </c:pt>
                <c:pt idx="27">
                  <c:v>473.91543522308348</c:v>
                </c:pt>
                <c:pt idx="28">
                  <c:v>475.69261810517003</c:v>
                </c:pt>
                <c:pt idx="29">
                  <c:v>477.47646542306438</c:v>
                </c:pt>
                <c:pt idx="30">
                  <c:v>479.26700216840089</c:v>
                </c:pt>
                <c:pt idx="31">
                  <c:v>481.06425342653239</c:v>
                </c:pt>
                <c:pt idx="32">
                  <c:v>482.86824437688188</c:v>
                </c:pt>
                <c:pt idx="33">
                  <c:v>484.67900029329519</c:v>
                </c:pt>
                <c:pt idx="34">
                  <c:v>486.49654654439507</c:v>
                </c:pt>
                <c:pt idx="35">
                  <c:v>488.32090859393651</c:v>
                </c:pt>
                <c:pt idx="36">
                  <c:v>490.1521120011638</c:v>
                </c:pt>
                <c:pt idx="37">
                  <c:v>491.99018242116813</c:v>
                </c:pt>
                <c:pt idx="38">
                  <c:v>493.83514560524753</c:v>
                </c:pt>
                <c:pt idx="39">
                  <c:v>495.68702740126719</c:v>
                </c:pt>
                <c:pt idx="40">
                  <c:v>497.54585375402195</c:v>
                </c:pt>
                <c:pt idx="41">
                  <c:v>499.41165070559953</c:v>
                </c:pt>
                <c:pt idx="42">
                  <c:v>501.28444439574554</c:v>
                </c:pt>
                <c:pt idx="43">
                  <c:v>503.16426106222957</c:v>
                </c:pt>
                <c:pt idx="44">
                  <c:v>505.05112704121296</c:v>
                </c:pt>
                <c:pt idx="45">
                  <c:v>506.9450687676175</c:v>
                </c:pt>
                <c:pt idx="46">
                  <c:v>508.84611277549607</c:v>
                </c:pt>
                <c:pt idx="47">
                  <c:v>510.7542856984042</c:v>
                </c:pt>
                <c:pt idx="48">
                  <c:v>512.66961426977321</c:v>
                </c:pt>
                <c:pt idx="49">
                  <c:v>514.59212532328479</c:v>
                </c:pt>
                <c:pt idx="50">
                  <c:v>516.52184579324717</c:v>
                </c:pt>
                <c:pt idx="51">
                  <c:v>518.45880271497185</c:v>
                </c:pt>
                <c:pt idx="52">
                  <c:v>520.40302322515299</c:v>
                </c:pt>
                <c:pt idx="53">
                  <c:v>522.3545345622473</c:v>
                </c:pt>
                <c:pt idx="54">
                  <c:v>524.31336406685568</c:v>
                </c:pt>
                <c:pt idx="55">
                  <c:v>526.27953918210642</c:v>
                </c:pt>
                <c:pt idx="56">
                  <c:v>528.25308745403936</c:v>
                </c:pt>
                <c:pt idx="57">
                  <c:v>530.02103703632781</c:v>
                </c:pt>
                <c:pt idx="58">
                  <c:v>530.02103703632781</c:v>
                </c:pt>
                <c:pt idx="59">
                  <c:v>530.02103703632781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numCache>
            </c:numRef>
          </c:yVal>
          <c:smooth val="1"/>
          <c:extLst>
            <c:ext xmlns:c16="http://schemas.microsoft.com/office/drawing/2014/chart" uri="{C3380CC4-5D6E-409C-BE32-E72D297353CC}">
              <c16:uniqueId val="{00000002-5437-4CC9-BAA5-A15A814F8D9D}"/>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Interest</c:v>
          </c:tx>
          <c:spPr>
            <a:solidFill>
              <a:schemeClr val="accent1"/>
            </a:solidFill>
            <a:ln>
              <a:noFill/>
            </a:ln>
            <a:effectLst/>
          </c:spPr>
          <c:invertIfNegative val="0"/>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EV!$B$3:$D$3</c:f>
              <c:strCache>
                <c:ptCount val="3"/>
                <c:pt idx="0">
                  <c:v>Option 1</c:v>
                </c:pt>
                <c:pt idx="1">
                  <c:v>Option 2</c:v>
                </c:pt>
                <c:pt idx="2">
                  <c:v>Option 3</c:v>
                </c:pt>
              </c:strCache>
            </c:strRef>
          </c:cat>
          <c:val>
            <c:numRef>
              <c:f>EV!$G$196:$G$198</c:f>
              <c:numCache>
                <c:formatCode>_("$"* #,##0.00_);_("$"* \(#,##0.00\);_("$"* "-"??_);_(@_)</c:formatCode>
                <c:ptCount val="3"/>
                <c:pt idx="0">
                  <c:v>3760.5503499538922</c:v>
                </c:pt>
                <c:pt idx="1">
                  <c:v>2152.578335778479</c:v>
                </c:pt>
                <c:pt idx="2">
                  <c:v>1124.399245560229</c:v>
                </c:pt>
              </c:numCache>
            </c:numRef>
          </c:val>
          <c:extLst>
            <c:ext xmlns:c16="http://schemas.microsoft.com/office/drawing/2014/chart" uri="{C3380CC4-5D6E-409C-BE32-E72D297353CC}">
              <c16:uniqueId val="{00000001-74B9-4E51-90C4-A2B8842AF22D}"/>
            </c:ext>
          </c:extLst>
        </c:ser>
        <c:dLbls>
          <c:showLegendKey val="0"/>
          <c:showVal val="0"/>
          <c:showCatName val="0"/>
          <c:showSerName val="0"/>
          <c:showPercent val="0"/>
          <c:showBubbleSize val="0"/>
        </c:dLbls>
        <c:gapWidth val="219"/>
        <c:overlap val="-27"/>
        <c:axId val="729026432"/>
        <c:axId val="729024792"/>
      </c:barChart>
      <c:catAx>
        <c:axId val="7290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24792"/>
        <c:crosses val="autoZero"/>
        <c:auto val="1"/>
        <c:lblAlgn val="ctr"/>
        <c:lblOffset val="100"/>
        <c:noMultiLvlLbl val="0"/>
      </c:catAx>
      <c:valAx>
        <c:axId val="72902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2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101057</xdr:rowOff>
    </xdr:from>
    <xdr:to>
      <xdr:col>4</xdr:col>
      <xdr:colOff>2493817</xdr:colOff>
      <xdr:row>58</xdr:row>
      <xdr:rowOff>118985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11</xdr:col>
      <xdr:colOff>0</xdr:colOff>
      <xdr:row>58</xdr:row>
      <xdr:rowOff>17928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34</xdr:row>
      <xdr:rowOff>13854</xdr:rowOff>
    </xdr:from>
    <xdr:to>
      <xdr:col>17</xdr:col>
      <xdr:colOff>0</xdr:colOff>
      <xdr:row>58</xdr:row>
      <xdr:rowOff>31782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206086</xdr:colOff>
      <xdr:row>2</xdr:row>
      <xdr:rowOff>142008</xdr:rowOff>
    </xdr:from>
    <xdr:to>
      <xdr:col>31</xdr:col>
      <xdr:colOff>109104</xdr:colOff>
      <xdr:row>30</xdr:row>
      <xdr:rowOff>60613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4" name="Table4" displayName="Table4" ref="A64:E192" totalsRowCount="1">
  <autoFilter ref="A64:E191"/>
  <tableColumns count="5">
    <tableColumn id="1" name="Principal" dataDxfId="20" totalsRowDxfId="2">
      <calculatedColumnFormula>A64-C64</calculatedColumnFormula>
    </tableColumn>
    <tableColumn id="2" name="Interest Payment" dataDxfId="3" dataCellStyle="Currency">
      <calculatedColumnFormula>IF(Table4[[#This Row],[Month]]&lt;$B$20, A65*0, A65*($B$16/12))</calculatedColumnFormula>
    </tableColumn>
    <tableColumn id="3" name="Principal Payment" dataDxfId="13" totalsRowDxfId="1">
      <calculatedColumnFormula>IF((E65-B65)&lt;Table4[[#This Row],[Principal]], E65-B65, 0)</calculatedColumnFormula>
    </tableColumn>
    <tableColumn id="4" name="Month">
      <calculatedColumnFormula>B19-(B19-1)</calculatedColumnFormula>
    </tableColumn>
    <tableColumn id="5" name="Total Payment" dataDxfId="16" totalsRowDxfId="0" dataCellStyle="Currency">
      <calculatedColumnFormula>$A$65*((($B$16/12)*(1+$B$16/12)^$B$19)/(((1+$B$16/12)^$B$19)-1))</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7" name="Table48" displayName="Table48" ref="G64:K192" totalsRowCount="1">
  <autoFilter ref="G64:K191"/>
  <tableColumns count="5">
    <tableColumn id="1" name="Principal" dataDxfId="19" totalsRowDxfId="10">
      <calculatedColumnFormula>G64-I64</calculatedColumnFormula>
    </tableColumn>
    <tableColumn id="2" name="Interest Payment" dataDxfId="11" dataCellStyle="Currency">
      <calculatedColumnFormula>IF(Table48[[#This Row],[Month]]&lt;$C$20, G65*0, G65*($C$16/12))</calculatedColumnFormula>
    </tableColumn>
    <tableColumn id="3" name="Principal Payment" dataDxfId="12" totalsRowDxfId="9">
      <calculatedColumnFormula>IF(Table48[[#This Row],[Principal]]&gt;0, K65-H65, 0)</calculatedColumnFormula>
    </tableColumn>
    <tableColumn id="4" name="Month">
      <calculatedColumnFormula>H19-(H19-1)</calculatedColumnFormula>
    </tableColumn>
    <tableColumn id="5" name="Total Payment" dataDxfId="15" totalsRowDxfId="8" dataCellStyle="Currency">
      <calculatedColumnFormula>$A$65*((($C$16/12)*(1+$C$16/12)^$C$19)/(((1+$C$16/12)^$C$19)-1))</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8" name="Table49" displayName="Table49" ref="M64:Q192" totalsRowCount="1">
  <autoFilter ref="M64:Q191"/>
  <tableColumns count="5">
    <tableColumn id="1" name="Principal" dataDxfId="18" totalsRowDxfId="6">
      <calculatedColumnFormula>M64-O64</calculatedColumnFormula>
    </tableColumn>
    <tableColumn id="2" name="Interest Payment" dataDxfId="7" dataCellStyle="Currency">
      <calculatedColumnFormula>IF(Table49[[#This Row],[Month]]&lt;$D$20, M65*0, M65*($D$16/12))</calculatedColumnFormula>
    </tableColumn>
    <tableColumn id="3" name="Principal Payment" dataDxfId="17" totalsRowDxfId="5">
      <calculatedColumnFormula>Q65-N65</calculatedColumnFormula>
    </tableColumn>
    <tableColumn id="4" name="Month">
      <calculatedColumnFormula>N19-(N19-1)</calculatedColumnFormula>
    </tableColumn>
    <tableColumn id="5" name="Total Payment" dataDxfId="14" totalsRowDxfId="4" dataCellStyle="Currency">
      <calculatedColumnFormula>IF(Table49[[#This Row],[Month]]&lt;=$D$19, $A$65*((($D$16/12)*(1+$D$16/12)^$D$19)/(((1+$D$16/12)^$D$19)-1)), 0)</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7:H58" totalsRowShown="0" headerRowDxfId="21" dataDxfId="22" dataCellStyle="Currency">
  <autoFilter ref="A7:H58"/>
  <sortState ref="A8:H58">
    <sortCondition ref="A7:A58"/>
  </sortState>
  <tableColumns count="8">
    <tableColumn id="1" name="STATE"/>
    <tableColumn id="2" name="STATE RATE" dataDxfId="26" dataCellStyle="Percent"/>
    <tableColumn id="3" name="RANGE OF LOCAL RATES"/>
    <tableColumn id="4" name="LOCAL RATES APPLY TO USE TAX"/>
    <tableColumn id="5" name="Cash Rebates" dataDxfId="25" dataCellStyle="Currency"/>
    <tableColumn id="6" name="State Tax Credits" dataDxfId="24" dataCellStyle="Currency"/>
    <tableColumn id="7" name="Other Goodies"/>
    <tableColumn id="8" name="Federal Tax Credits*" dataDxfId="23"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salestaxinstitute.com/resources/news/filtering?field_category_value=All&amp;field_state_value=Idaho&amp;field_new_archive__value=All&amp;body_value=&amp;title=" TargetMode="External"/><Relationship Id="rId18" Type="http://schemas.openxmlformats.org/officeDocument/2006/relationships/hyperlink" Target="http://www.salestaxinstitute.com/resources/news/filtering?field_category_value=All&amp;field_state_value=Kentucky&amp;field_new_archive__value=All&amp;body_value=&amp;title=" TargetMode="External"/><Relationship Id="rId26" Type="http://schemas.openxmlformats.org/officeDocument/2006/relationships/hyperlink" Target="http://www.salestaxinstitute.com/resources/news/filtering?field_category_value=All&amp;field_state_value=Missouri&amp;field_new_archive__value=All&amp;body_value=&amp;title=" TargetMode="External"/><Relationship Id="rId39" Type="http://schemas.openxmlformats.org/officeDocument/2006/relationships/hyperlink" Target="http://www.salestaxinstitute.com/resources/news/filtering?field_category_value=All&amp;field_state_value=Pennsylvania&amp;field_new_archive__value=All&amp;body_value=&amp;title=" TargetMode="External"/><Relationship Id="rId21" Type="http://schemas.openxmlformats.org/officeDocument/2006/relationships/hyperlink" Target="http://www.salestaxinstitute.com/resources/news/filtering?field_category_value=All&amp;field_state_value=Maryland&amp;field_new_archive__value=All&amp;body_value=&amp;title=" TargetMode="External"/><Relationship Id="rId34" Type="http://schemas.openxmlformats.org/officeDocument/2006/relationships/hyperlink" Target="http://www.salestaxinstitute.com/resources/news/filtering?field_category_value=All&amp;field_state_value=North+Carolina&amp;field_new_archive__value=All&amp;body_value=&amp;title=" TargetMode="External"/><Relationship Id="rId42" Type="http://schemas.openxmlformats.org/officeDocument/2006/relationships/hyperlink" Target="http://www.salestaxinstitute.com/resources/news/filtering?field_category_value=All&amp;field_state_value=South+Dakota&amp;field_new_archive__value=All&amp;body_value=&amp;title=" TargetMode="External"/><Relationship Id="rId47" Type="http://schemas.openxmlformats.org/officeDocument/2006/relationships/hyperlink" Target="http://www.salestaxinstitute.com/resources/news/filtering?field_category_value=All&amp;field_state_value=Virginia&amp;field_new_archive__value=All&amp;body_value=&amp;title=" TargetMode="External"/><Relationship Id="rId50" Type="http://schemas.openxmlformats.org/officeDocument/2006/relationships/hyperlink" Target="http://www.salestaxinstitute.com/resources/news/filtering?field_category_value=All&amp;field_state_value=Wisconsin&amp;field_new_archive__value=All&amp;body_value=&amp;title=" TargetMode="External"/><Relationship Id="rId55" Type="http://schemas.openxmlformats.org/officeDocument/2006/relationships/table" Target="../tables/table4.xml"/><Relationship Id="rId7" Type="http://schemas.openxmlformats.org/officeDocument/2006/relationships/hyperlink" Target="http://www.salestaxinstitute.com/resources/news/filtering?field_category_value=All&amp;field_state_value=Connecticut&amp;field_new_archive__value=All&amp;body_value=&amp;title=" TargetMode="External"/><Relationship Id="rId12" Type="http://schemas.openxmlformats.org/officeDocument/2006/relationships/hyperlink" Target="http://www.salestaxinstitute.com/resources/news/filtering?field_category_value=All&amp;field_state_value=Hawaii&amp;field_new_archive__value=All&amp;body_value=&amp;title=" TargetMode="External"/><Relationship Id="rId17" Type="http://schemas.openxmlformats.org/officeDocument/2006/relationships/hyperlink" Target="http://www.salestaxinstitute.com/resources/news/filtering?field_category_value=All&amp;field_state_value=Kansas&amp;field_new_archive__value=All&amp;body_value=&amp;title=" TargetMode="External"/><Relationship Id="rId25" Type="http://schemas.openxmlformats.org/officeDocument/2006/relationships/hyperlink" Target="http://www.salestaxinstitute.com/resources/news/filtering?field_category_value=All&amp;field_state_value=Mississippi&amp;field_new_archive__value=All&amp;body_value=&amp;title=" TargetMode="External"/><Relationship Id="rId33" Type="http://schemas.openxmlformats.org/officeDocument/2006/relationships/hyperlink" Target="http://www.salestaxinstitute.com/resources/news/filtering?field_category_value=All&amp;field_state_value=New+York&amp;field_new_archive__value=All&amp;body_value=&amp;title=" TargetMode="External"/><Relationship Id="rId38" Type="http://schemas.openxmlformats.org/officeDocument/2006/relationships/hyperlink" Target="http://www.salestaxinstitute.com/resources/news/filtering?field_category_value=All&amp;field_state_value=Oregon&amp;field_new_archive__value=All&amp;body_value=&amp;title=" TargetMode="External"/><Relationship Id="rId46" Type="http://schemas.openxmlformats.org/officeDocument/2006/relationships/hyperlink" Target="http://www.salestaxinstitute.com/resources/news/filtering?field_category_value=All&amp;field_state_value=Vermont&amp;field_new_archive__value=All&amp;body_value=&amp;title=" TargetMode="External"/><Relationship Id="rId2" Type="http://schemas.openxmlformats.org/officeDocument/2006/relationships/hyperlink" Target="http://www.salestaxinstitute.com/resources/news/filtering?field_category_value=All&amp;field_state_value=Alaska&amp;field_new_archive__value=All&amp;body_value=&amp;title=" TargetMode="External"/><Relationship Id="rId16" Type="http://schemas.openxmlformats.org/officeDocument/2006/relationships/hyperlink" Target="http://www.salestaxinstitute.com/resources/news/filtering?field_category_value=All&amp;field_state_value=Iowa&amp;field_new_archive__value=All&amp;body_value=&amp;title=" TargetMode="External"/><Relationship Id="rId20" Type="http://schemas.openxmlformats.org/officeDocument/2006/relationships/hyperlink" Target="http://www.salestaxinstitute.com/resources/news/filtering?field_category_value=All&amp;field_state_value=Maine&amp;field_new_archive__value=All&amp;body_value=&amp;title=" TargetMode="External"/><Relationship Id="rId29" Type="http://schemas.openxmlformats.org/officeDocument/2006/relationships/hyperlink" Target="http://www.salestaxinstitute.com/resources/news/filtering?field_category_value=All&amp;field_state_value=Nevada&amp;field_new_archive__value=All&amp;body_value=&amp;title=" TargetMode="External"/><Relationship Id="rId41" Type="http://schemas.openxmlformats.org/officeDocument/2006/relationships/hyperlink" Target="http://www.salestaxinstitute.com/resources/news/filtering?field_category_value=All&amp;field_state_value=South+Carolina&amp;field_new_archive__value=All&amp;body_value=&amp;title=" TargetMode="External"/><Relationship Id="rId54" Type="http://schemas.openxmlformats.org/officeDocument/2006/relationships/hyperlink" Target="http://www.factorywarrantylist.com/car-tax-by-state.html" TargetMode="External"/><Relationship Id="rId1" Type="http://schemas.openxmlformats.org/officeDocument/2006/relationships/hyperlink" Target="http://www.salestaxinstitute.com/resources/news/filtering?field_category_value=All&amp;field_state_value=Alabama&amp;field_new_archive__value=All&amp;body_value=&amp;title=" TargetMode="External"/><Relationship Id="rId6" Type="http://schemas.openxmlformats.org/officeDocument/2006/relationships/hyperlink" Target="http://www.salestaxinstitute.com/resources/news/filtering?field_category_value=All&amp;field_state_value=Colorado&amp;field_new_archive__value=All&amp;body_value=&amp;title=" TargetMode="External"/><Relationship Id="rId11" Type="http://schemas.openxmlformats.org/officeDocument/2006/relationships/hyperlink" Target="http://www.salestaxinstitute.com/resources/news/filtering?field_category_value=All&amp;field_state_value=Georgia&amp;field_new_archive__value=All&amp;body_value=&amp;title=" TargetMode="External"/><Relationship Id="rId24" Type="http://schemas.openxmlformats.org/officeDocument/2006/relationships/hyperlink" Target="http://www.salestaxinstitute.com/resources/news/filtering?field_category_value=All&amp;field_state_value=Minnesota&amp;field_new_archive__value=All&amp;body_value=&amp;title=" TargetMode="External"/><Relationship Id="rId32" Type="http://schemas.openxmlformats.org/officeDocument/2006/relationships/hyperlink" Target="http://www.salestaxinstitute.com/resources/news/filtering?field_category_value=All&amp;field_state_value=New+Mexico&amp;field_new_archive__value=All&amp;body_value=&amp;title=" TargetMode="External"/><Relationship Id="rId37" Type="http://schemas.openxmlformats.org/officeDocument/2006/relationships/hyperlink" Target="http://www.salestaxinstitute.com/resources/news/filtering?field_category_value=All&amp;field_state_value=Oklahoma&amp;field_new_archive__value=All&amp;body_value=&amp;title=" TargetMode="External"/><Relationship Id="rId40" Type="http://schemas.openxmlformats.org/officeDocument/2006/relationships/hyperlink" Target="http://www.salestaxinstitute.com/resources/news/filtering?field_category_value=All&amp;field_state_value=Rhode+Island&amp;field_new_archive__value=All&amp;body_value=&amp;title=" TargetMode="External"/><Relationship Id="rId45" Type="http://schemas.openxmlformats.org/officeDocument/2006/relationships/hyperlink" Target="http://www.salestaxinstitute.com/resources/news/filtering?field_category_value=All&amp;field_state_value=Utah&amp;field_new_archive__value=All&amp;body_value=&amp;title=" TargetMode="External"/><Relationship Id="rId53" Type="http://schemas.openxmlformats.org/officeDocument/2006/relationships/hyperlink" Target="http://www.salestaxinstitute.com/resources/rates" TargetMode="External"/><Relationship Id="rId5" Type="http://schemas.openxmlformats.org/officeDocument/2006/relationships/hyperlink" Target="http://www.salestaxinstitute.com/resources/news/filtering?field_category_value=All&amp;field_state_value=California&amp;field_new_archive__value=All&amp;body_value=&amp;title=" TargetMode="External"/><Relationship Id="rId15" Type="http://schemas.openxmlformats.org/officeDocument/2006/relationships/hyperlink" Target="http://www.salestaxinstitute.com/resources/news/filtering?field_category_value=All&amp;field_state_value=Indiana&amp;field_new_archive__value=All&amp;body_value=&amp;title=" TargetMode="External"/><Relationship Id="rId23" Type="http://schemas.openxmlformats.org/officeDocument/2006/relationships/hyperlink" Target="http://www.salestaxinstitute.com/resources/news/filtering?field_category_value=All&amp;field_state_value=Michigan&amp;field_new_archive__value=All&amp;body_value=&amp;title=" TargetMode="External"/><Relationship Id="rId28" Type="http://schemas.openxmlformats.org/officeDocument/2006/relationships/hyperlink" Target="http://www.salestaxinstitute.com/resources/news/filtering?field_category_value=All&amp;field_state_value=Nebraska&amp;field_new_archive__value=All&amp;body_value=&amp;title=" TargetMode="External"/><Relationship Id="rId36" Type="http://schemas.openxmlformats.org/officeDocument/2006/relationships/hyperlink" Target="http://www.salestaxinstitute.com/resources/news/filtering?field_category_value=All&amp;field_state_value=Ohio&amp;field_new_archive__value=All&amp;body_value=&amp;title=" TargetMode="External"/><Relationship Id="rId49" Type="http://schemas.openxmlformats.org/officeDocument/2006/relationships/hyperlink" Target="http://www.salestaxinstitute.com/resources/news/filtering?field_category_value=All&amp;field_state_value=West+Virginia&amp;field_new_archive__value=All&amp;body_value=&amp;title=" TargetMode="External"/><Relationship Id="rId10" Type="http://schemas.openxmlformats.org/officeDocument/2006/relationships/hyperlink" Target="http://www.salestaxinstitute.com/resources/news/filtering?field_category_value=All&amp;field_state_value=Florida&amp;field_new_archive__value=All&amp;body_value=&amp;title=" TargetMode="External"/><Relationship Id="rId19" Type="http://schemas.openxmlformats.org/officeDocument/2006/relationships/hyperlink" Target="http://www.salestaxinstitute.com/resources/news/filtering?field_category_value=All&amp;field_state_value=Louisiana&amp;field_new_archive__value=All&amp;body_value=&amp;title=" TargetMode="External"/><Relationship Id="rId31" Type="http://schemas.openxmlformats.org/officeDocument/2006/relationships/hyperlink" Target="http://www.salestaxinstitute.com/resources/news/filtering?field_category_value=All&amp;field_state_value=New+Jersey&amp;field_new_archive__value=All&amp;body_value=&amp;title=" TargetMode="External"/><Relationship Id="rId44" Type="http://schemas.openxmlformats.org/officeDocument/2006/relationships/hyperlink" Target="http://www.salestaxinstitute.com/resources/news/filtering?field_category_value=All&amp;field_state_value=Texas&amp;field_new_archive__value=All&amp;body_value=&amp;title=" TargetMode="External"/><Relationship Id="rId52" Type="http://schemas.openxmlformats.org/officeDocument/2006/relationships/hyperlink" Target="http://www.dmv.org/buy-sell/tax-and-tags-calculator.php" TargetMode="External"/><Relationship Id="rId4" Type="http://schemas.openxmlformats.org/officeDocument/2006/relationships/hyperlink" Target="http://www.salestaxinstitute.com/resources/news/filtering?field_category_value=All&amp;field_state_value=Arkansas&amp;field_new_archive__value=All&amp;body_value=&amp;title=" TargetMode="External"/><Relationship Id="rId9" Type="http://schemas.openxmlformats.org/officeDocument/2006/relationships/hyperlink" Target="http://www.salestaxinstitute.com/resources/news/filtering?field_category_value=All&amp;field_state_value=District+of+Columbia&amp;field_new_archive__value=All&amp;body_value=&amp;title=" TargetMode="External"/><Relationship Id="rId14" Type="http://schemas.openxmlformats.org/officeDocument/2006/relationships/hyperlink" Target="http://www.salestaxinstitute.com/resources/news/filtering?field_category_value=All&amp;field_state_value=Illinois&amp;field_new_archive__value=All&amp;body_value=&amp;title=" TargetMode="External"/><Relationship Id="rId22" Type="http://schemas.openxmlformats.org/officeDocument/2006/relationships/hyperlink" Target="http://www.salestaxinstitute.com/resources/news/filtering?field_category_value=All&amp;field_state_value=Massachusetts&amp;field_new_archive__value=All&amp;body_value=&amp;title=" TargetMode="External"/><Relationship Id="rId27" Type="http://schemas.openxmlformats.org/officeDocument/2006/relationships/hyperlink" Target="http://www.salestaxinstitute.com/resources/news/filtering?field_category_value=All&amp;field_state_value=Montana&amp;field_new_archive__value=All&amp;body_value=&amp;title=" TargetMode="External"/><Relationship Id="rId30" Type="http://schemas.openxmlformats.org/officeDocument/2006/relationships/hyperlink" Target="http://www.salestaxinstitute.com/resources/news/filtering?field_category_value=All&amp;field_state_value=New+Hampshire&amp;field_new_archive__value=All&amp;body_value=&amp;title=" TargetMode="External"/><Relationship Id="rId35" Type="http://schemas.openxmlformats.org/officeDocument/2006/relationships/hyperlink" Target="http://www.salestaxinstitute.com/resources/news/filtering?field_category_value=All&amp;field_state_value=North+Dakota&amp;field_new_archive__value=All&amp;body_value=&amp;title=" TargetMode="External"/><Relationship Id="rId43" Type="http://schemas.openxmlformats.org/officeDocument/2006/relationships/hyperlink" Target="http://www.salestaxinstitute.com/resources/news/filtering?field_category_value=All&amp;field_state_value=Tennessee&amp;field_new_archive__value=All&amp;body_value=&amp;title=" TargetMode="External"/><Relationship Id="rId48" Type="http://schemas.openxmlformats.org/officeDocument/2006/relationships/hyperlink" Target="http://www.salestaxinstitute.com/resources/news/filtering?field_category_value=All&amp;field_state_value=Washington&amp;field_new_archive__value=All&amp;body_value=&amp;title=" TargetMode="External"/><Relationship Id="rId8" Type="http://schemas.openxmlformats.org/officeDocument/2006/relationships/hyperlink" Target="http://www.salestaxinstitute.com/resources/news/filtering?field_category_value=All&amp;field_state_value=Delaware&amp;field_new_archive__value=All&amp;body_value=&amp;title=" TargetMode="External"/><Relationship Id="rId51" Type="http://schemas.openxmlformats.org/officeDocument/2006/relationships/hyperlink" Target="http://www.salestaxinstitute.com/resources/news/filtering?field_category_value=All&amp;field_state_value=Wyoming&amp;field_new_archive__value=All&amp;body_value=&amp;title=" TargetMode="External"/><Relationship Id="rId3" Type="http://schemas.openxmlformats.org/officeDocument/2006/relationships/hyperlink" Target="http://www.salestaxinstitute.com/resources/news/filtering?field_category_value=All&amp;field_state_value=Arizona&amp;field_new_archive__value=All&amp;body_value=&amp;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8"/>
  <sheetViews>
    <sheetView tabSelected="1" topLeftCell="A15" zoomScale="55" zoomScaleNormal="55" workbookViewId="0">
      <selection activeCell="M64" sqref="M64"/>
    </sheetView>
  </sheetViews>
  <sheetFormatPr defaultRowHeight="14.4" x14ac:dyDescent="0.3"/>
  <cols>
    <col min="1" max="1" width="59.88671875" bestFit="1" customWidth="1"/>
    <col min="2" max="2" width="17.88671875" bestFit="1" customWidth="1"/>
    <col min="3" max="3" width="20.44140625" bestFit="1" customWidth="1"/>
    <col min="4" max="4" width="19.109375" bestFit="1" customWidth="1"/>
    <col min="5" max="5" width="36.33203125" customWidth="1"/>
    <col min="6" max="6" width="10.44140625" bestFit="1" customWidth="1"/>
    <col min="7" max="7" width="56.6640625" customWidth="1"/>
    <col min="8" max="8" width="28.33203125" customWidth="1"/>
    <col min="9" max="9" width="22.44140625" customWidth="1"/>
    <col min="10" max="10" width="23.33203125" customWidth="1"/>
    <col min="11" max="11" width="28.5546875" customWidth="1"/>
    <col min="13" max="13" width="57" customWidth="1"/>
    <col min="14" max="14" width="24.77734375" bestFit="1" customWidth="1"/>
    <col min="15" max="15" width="26.33203125" bestFit="1" customWidth="1"/>
    <col min="16" max="16" width="12.6640625" bestFit="1" customWidth="1"/>
    <col min="17" max="17" width="22.44140625" customWidth="1"/>
  </cols>
  <sheetData>
    <row r="1" spans="1:13" ht="45.6" customHeight="1" thickBot="1" x14ac:dyDescent="0.45">
      <c r="A1" s="1" t="s">
        <v>0</v>
      </c>
      <c r="B1" s="19" t="s">
        <v>117</v>
      </c>
      <c r="C1" s="19"/>
      <c r="D1" s="19"/>
      <c r="E1" s="19"/>
      <c r="F1" s="26"/>
      <c r="G1" s="26"/>
      <c r="H1" s="26"/>
      <c r="I1" s="26"/>
      <c r="J1" s="26"/>
      <c r="K1" s="26"/>
      <c r="L1" s="26"/>
      <c r="M1" s="26"/>
    </row>
    <row r="2" spans="1:13" ht="15" thickTop="1" x14ac:dyDescent="0.3">
      <c r="A2" s="3" t="s">
        <v>1</v>
      </c>
      <c r="B2" s="5"/>
    </row>
    <row r="3" spans="1:13" x14ac:dyDescent="0.3">
      <c r="A3" s="5" t="s">
        <v>2</v>
      </c>
      <c r="B3" s="5" t="s">
        <v>143</v>
      </c>
      <c r="C3" s="5" t="s">
        <v>144</v>
      </c>
      <c r="D3" s="5" t="s">
        <v>145</v>
      </c>
    </row>
    <row r="4" spans="1:13" x14ac:dyDescent="0.3">
      <c r="A4" t="s">
        <v>4</v>
      </c>
      <c r="B4" s="10">
        <v>35000</v>
      </c>
      <c r="C4" s="10">
        <v>35000</v>
      </c>
      <c r="D4" s="10">
        <v>35000</v>
      </c>
    </row>
    <row r="5" spans="1:13" ht="14.4" customHeight="1" x14ac:dyDescent="0.3">
      <c r="A5" t="s">
        <v>118</v>
      </c>
      <c r="B5" s="17" t="s">
        <v>82</v>
      </c>
      <c r="C5" s="17" t="s">
        <v>65</v>
      </c>
      <c r="D5" s="17" t="s">
        <v>91</v>
      </c>
      <c r="E5" s="19" t="s">
        <v>133</v>
      </c>
      <c r="F5" s="19"/>
      <c r="G5" s="19"/>
      <c r="H5" s="19"/>
      <c r="I5" s="19"/>
      <c r="J5" s="26"/>
      <c r="K5" s="26"/>
      <c r="L5" s="26"/>
      <c r="M5" s="26"/>
    </row>
    <row r="6" spans="1:13" ht="14.4" customHeight="1" x14ac:dyDescent="0.3">
      <c r="A6" t="s">
        <v>119</v>
      </c>
      <c r="B6" s="12">
        <f>IF(EXACT($B$5,"New Jersey"),0,VLOOKUP($B$5,'Taxes, Titles, Fees'!A8:B58,2,FALSE))</f>
        <v>4.4999999999999998E-2</v>
      </c>
      <c r="C6" s="12">
        <f>IF(EXACT($C$5,"New Jersey"),0,VLOOKUP($C$5,'Taxes, Titles, Fees'!A8:B58,2,FALSE))</f>
        <v>0</v>
      </c>
      <c r="D6" s="12">
        <f>IF(EXACT($D$5,"New Jersey"),0,VLOOKUP($D$5,'Taxes, Titles, Fees'!A8:B58,2,FALSE))</f>
        <v>6.5000000000000002E-2</v>
      </c>
      <c r="E6" s="19"/>
      <c r="F6" s="19"/>
      <c r="G6" s="19"/>
      <c r="H6" s="19"/>
      <c r="I6" s="19"/>
      <c r="J6" s="26"/>
      <c r="K6" s="26"/>
      <c r="L6" s="26"/>
      <c r="M6" s="26"/>
    </row>
    <row r="7" spans="1:13" x14ac:dyDescent="0.3">
      <c r="A7" t="s">
        <v>146</v>
      </c>
      <c r="B7" s="18">
        <f>VLOOKUP(B5,Table3[],5,FALSE)</f>
        <v>0</v>
      </c>
      <c r="C7" s="18">
        <f>VLOOKUP(C5,Table3[],5,FALSE)</f>
        <v>0</v>
      </c>
      <c r="D7" s="18">
        <f>VLOOKUP(D5,Table3[],5,FALSE)</f>
        <v>0</v>
      </c>
      <c r="E7" s="19"/>
      <c r="F7" s="19"/>
      <c r="G7" s="19"/>
      <c r="H7" s="19"/>
      <c r="I7" s="19"/>
      <c r="J7" s="26"/>
      <c r="K7" s="26"/>
      <c r="L7" s="26"/>
      <c r="M7" s="26"/>
    </row>
    <row r="8" spans="1:13" x14ac:dyDescent="0.3">
      <c r="A8" t="s">
        <v>147</v>
      </c>
      <c r="B8" s="10">
        <v>0</v>
      </c>
      <c r="C8" s="10">
        <v>0</v>
      </c>
      <c r="D8" s="10">
        <v>0</v>
      </c>
      <c r="E8" s="27"/>
      <c r="F8" s="27"/>
      <c r="G8" s="27"/>
      <c r="H8" s="27"/>
      <c r="I8" s="27"/>
      <c r="J8" s="26"/>
      <c r="K8" s="26"/>
      <c r="L8" s="26"/>
      <c r="M8" s="26"/>
    </row>
    <row r="9" spans="1:13" x14ac:dyDescent="0.3">
      <c r="A9" t="s">
        <v>115</v>
      </c>
      <c r="B9" s="18">
        <f>VLOOKUP($B$5,Table3[],6,FALSE)+7500</f>
        <v>7500</v>
      </c>
      <c r="C9" s="18">
        <f>VLOOKUP($B$5,Table3[],6,FALSE)+7500</f>
        <v>7500</v>
      </c>
      <c r="D9" s="18">
        <f>VLOOKUP($B$5,Table3[],6,FALSE)+7500</f>
        <v>7500</v>
      </c>
      <c r="E9" s="26"/>
      <c r="F9" s="26"/>
      <c r="G9" s="26"/>
      <c r="H9" s="26"/>
      <c r="I9" s="26"/>
      <c r="J9" s="26"/>
      <c r="K9" s="26"/>
      <c r="L9" s="26"/>
      <c r="M9" s="26"/>
    </row>
    <row r="10" spans="1:13" x14ac:dyDescent="0.3">
      <c r="A10" t="s">
        <v>116</v>
      </c>
      <c r="B10" s="10">
        <v>0</v>
      </c>
      <c r="C10" s="10">
        <v>0</v>
      </c>
      <c r="D10" s="10">
        <v>0</v>
      </c>
      <c r="E10" s="26"/>
      <c r="F10" s="26"/>
      <c r="G10" s="26"/>
      <c r="H10" s="26"/>
      <c r="I10" s="26"/>
      <c r="J10" s="26"/>
      <c r="K10" s="26"/>
      <c r="L10" s="26"/>
      <c r="M10" s="26"/>
    </row>
    <row r="11" spans="1:13" x14ac:dyDescent="0.3">
      <c r="A11" t="s">
        <v>3</v>
      </c>
      <c r="B11" s="10">
        <v>3000</v>
      </c>
      <c r="C11" s="10">
        <v>3000</v>
      </c>
      <c r="D11" s="10">
        <v>3000</v>
      </c>
    </row>
    <row r="12" spans="1:13" ht="14.4" customHeight="1" x14ac:dyDescent="0.3">
      <c r="A12" t="s">
        <v>5</v>
      </c>
      <c r="B12" s="10">
        <v>5000</v>
      </c>
      <c r="C12" s="10">
        <v>5000</v>
      </c>
      <c r="D12" s="10">
        <v>5000</v>
      </c>
      <c r="E12" s="19" t="s">
        <v>111</v>
      </c>
      <c r="F12" s="19"/>
      <c r="G12" s="19"/>
      <c r="H12" s="26"/>
      <c r="I12" s="26"/>
      <c r="J12" s="26"/>
      <c r="K12" s="26"/>
      <c r="L12" s="26"/>
      <c r="M12" s="26"/>
    </row>
    <row r="13" spans="1:13" x14ac:dyDescent="0.3">
      <c r="A13" t="s">
        <v>105</v>
      </c>
      <c r="B13" s="14">
        <v>80</v>
      </c>
      <c r="C13" s="14">
        <v>80</v>
      </c>
      <c r="D13" s="14">
        <v>80</v>
      </c>
      <c r="E13" s="19"/>
      <c r="F13" s="19"/>
      <c r="G13" s="19"/>
      <c r="H13" s="26"/>
      <c r="I13" s="26"/>
      <c r="J13" s="26"/>
      <c r="K13" s="26"/>
      <c r="L13" s="26"/>
      <c r="M13" s="26"/>
    </row>
    <row r="14" spans="1:13" x14ac:dyDescent="0.3">
      <c r="A14" t="s">
        <v>135</v>
      </c>
      <c r="B14" s="10">
        <v>0</v>
      </c>
      <c r="C14" s="10">
        <v>0</v>
      </c>
      <c r="D14" s="10">
        <v>0</v>
      </c>
      <c r="E14" s="19"/>
      <c r="F14" s="19"/>
      <c r="G14" s="19"/>
      <c r="H14" s="26"/>
      <c r="I14" s="26"/>
      <c r="J14" s="26"/>
      <c r="K14" s="26"/>
      <c r="L14" s="26"/>
      <c r="M14" s="26"/>
    </row>
    <row r="15" spans="1:13" x14ac:dyDescent="0.3">
      <c r="A15" s="5" t="s">
        <v>100</v>
      </c>
      <c r="E15" s="19"/>
      <c r="F15" s="19"/>
      <c r="G15" s="19"/>
      <c r="H15" s="26"/>
      <c r="I15" s="26"/>
      <c r="J15" s="26"/>
      <c r="K15" s="26"/>
      <c r="L15" s="26"/>
      <c r="M15" s="26"/>
    </row>
    <row r="16" spans="1:13" x14ac:dyDescent="0.3">
      <c r="A16" s="7" t="s">
        <v>130</v>
      </c>
      <c r="B16" s="15">
        <v>0.05</v>
      </c>
      <c r="C16" s="11">
        <v>0.04</v>
      </c>
      <c r="D16" s="15">
        <v>4.4999999999999998E-2</v>
      </c>
      <c r="E16" s="26"/>
      <c r="F16" s="26"/>
      <c r="G16" s="26"/>
      <c r="H16" s="26"/>
      <c r="I16" s="26"/>
      <c r="J16" s="26"/>
      <c r="K16" s="26"/>
      <c r="L16" s="26"/>
      <c r="M16" s="26"/>
    </row>
    <row r="17" spans="1:11" x14ac:dyDescent="0.3">
      <c r="A17" s="7" t="s">
        <v>101</v>
      </c>
      <c r="B17" s="18">
        <f>($B$4-$B$12+$B$14)*(1+$B$6)-$B$11-$B$7+$B$13</f>
        <v>28429.999999999996</v>
      </c>
      <c r="C17" s="18">
        <f>($C$4-$C$12+$C$14)*(1+$C$6)-$C$11-$C$7+$C$13</f>
        <v>27080</v>
      </c>
      <c r="D17" s="18">
        <f>($D$4-$D$12+$D$14)*(1+$D$6)-$D$11-$D$7+$D$13</f>
        <v>29030</v>
      </c>
    </row>
    <row r="18" spans="1:11" x14ac:dyDescent="0.3">
      <c r="A18" s="7" t="s">
        <v>102</v>
      </c>
      <c r="B18" s="18">
        <v>0</v>
      </c>
      <c r="C18" s="18">
        <v>0</v>
      </c>
      <c r="D18" s="18">
        <v>0</v>
      </c>
      <c r="E18" s="28" t="s">
        <v>148</v>
      </c>
      <c r="F18" s="28"/>
      <c r="G18" s="28"/>
      <c r="H18" s="28"/>
    </row>
    <row r="19" spans="1:11" ht="30" customHeight="1" x14ac:dyDescent="0.3">
      <c r="A19" s="13" t="s">
        <v>103</v>
      </c>
      <c r="B19" s="4">
        <v>60</v>
      </c>
      <c r="C19" s="4">
        <v>48</v>
      </c>
      <c r="D19" s="4">
        <v>60</v>
      </c>
      <c r="E19" s="28"/>
      <c r="F19" s="28"/>
      <c r="G19" s="28"/>
      <c r="H19" s="28"/>
    </row>
    <row r="20" spans="1:11" x14ac:dyDescent="0.3">
      <c r="A20" s="13" t="s">
        <v>106</v>
      </c>
      <c r="B20" s="4">
        <v>0</v>
      </c>
      <c r="C20" s="4">
        <v>0</v>
      </c>
      <c r="D20" s="4">
        <v>24</v>
      </c>
      <c r="E20" s="28"/>
      <c r="F20" s="28"/>
      <c r="G20" s="28"/>
      <c r="H20" s="28"/>
    </row>
    <row r="22" spans="1:11" x14ac:dyDescent="0.3">
      <c r="A22" s="5" t="s">
        <v>107</v>
      </c>
    </row>
    <row r="23" spans="1:11" x14ac:dyDescent="0.3">
      <c r="A23" t="s">
        <v>108</v>
      </c>
      <c r="B23" s="14">
        <v>0</v>
      </c>
      <c r="E23" s="19" t="s">
        <v>113</v>
      </c>
      <c r="F23" s="19"/>
      <c r="G23" s="19"/>
      <c r="H23" s="19"/>
      <c r="I23" s="19"/>
      <c r="J23" s="19"/>
      <c r="K23" s="19"/>
    </row>
    <row r="24" spans="1:11" x14ac:dyDescent="0.3">
      <c r="A24" t="s">
        <v>109</v>
      </c>
      <c r="B24" s="4">
        <v>500</v>
      </c>
      <c r="E24" s="19"/>
      <c r="F24" s="19"/>
      <c r="G24" s="19"/>
      <c r="H24" s="19"/>
      <c r="I24" s="19"/>
      <c r="J24" s="19"/>
      <c r="K24" s="19"/>
    </row>
    <row r="25" spans="1:11" x14ac:dyDescent="0.3">
      <c r="A25" t="s">
        <v>110</v>
      </c>
      <c r="B25" s="14">
        <v>0.15</v>
      </c>
    </row>
    <row r="26" spans="1:11" x14ac:dyDescent="0.3">
      <c r="A26" t="s">
        <v>112</v>
      </c>
      <c r="B26" s="4">
        <v>3</v>
      </c>
    </row>
    <row r="28" spans="1:11" x14ac:dyDescent="0.3">
      <c r="A28" s="5"/>
    </row>
    <row r="30" spans="1:11" x14ac:dyDescent="0.3">
      <c r="A30" s="22" t="s">
        <v>141</v>
      </c>
    </row>
    <row r="32" spans="1:11" x14ac:dyDescent="0.3">
      <c r="A32" s="5" t="s">
        <v>143</v>
      </c>
    </row>
    <row r="62" spans="1:17" x14ac:dyDescent="0.3">
      <c r="A62" s="23" t="s">
        <v>142</v>
      </c>
      <c r="B62" s="23"/>
      <c r="C62" s="23"/>
      <c r="D62" s="23"/>
      <c r="G62" s="23" t="s">
        <v>142</v>
      </c>
      <c r="H62" s="23"/>
      <c r="I62" s="23"/>
      <c r="J62" s="23"/>
      <c r="M62" s="23" t="s">
        <v>142</v>
      </c>
      <c r="N62" s="23"/>
      <c r="O62" s="23"/>
      <c r="P62" s="23"/>
    </row>
    <row r="63" spans="1:17" x14ac:dyDescent="0.3">
      <c r="A63" s="24">
        <f>E65+B23+(B24/B26)*B25</f>
        <v>561.50917249922907</v>
      </c>
      <c r="G63" s="24">
        <f>K65+B23+(B24/B26)*B25</f>
        <v>666.92252346322982</v>
      </c>
      <c r="M63" s="24">
        <f>Q65+B23+(B24/B26)*B25</f>
        <v>555.02103703632781</v>
      </c>
    </row>
    <row r="64" spans="1:17" x14ac:dyDescent="0.3">
      <c r="A64" t="s">
        <v>136</v>
      </c>
      <c r="B64" t="s">
        <v>137</v>
      </c>
      <c r="C64" t="s">
        <v>138</v>
      </c>
      <c r="D64" t="s">
        <v>140</v>
      </c>
      <c r="E64" t="s">
        <v>139</v>
      </c>
      <c r="G64" t="s">
        <v>136</v>
      </c>
      <c r="H64" t="s">
        <v>137</v>
      </c>
      <c r="I64" t="s">
        <v>138</v>
      </c>
      <c r="J64" t="s">
        <v>140</v>
      </c>
      <c r="K64" t="s">
        <v>139</v>
      </c>
      <c r="M64" t="s">
        <v>136</v>
      </c>
      <c r="N64" t="s">
        <v>137</v>
      </c>
      <c r="O64" t="s">
        <v>138</v>
      </c>
      <c r="P64" t="s">
        <v>140</v>
      </c>
      <c r="Q64" t="s">
        <v>139</v>
      </c>
    </row>
    <row r="65" spans="1:17" x14ac:dyDescent="0.3">
      <c r="A65" s="20">
        <f>B17</f>
        <v>28429.999999999996</v>
      </c>
      <c r="B65" s="9">
        <f>IF(Table4[[#This Row],[Month]]&lt;$B$20, A65*0, A65*($B$16/12))</f>
        <v>118.45833333333331</v>
      </c>
      <c r="C65" s="20">
        <f>IF((E65-B65)&lt;Table4[[#This Row],[Principal]], E65-B65, 0)</f>
        <v>418.05083916589575</v>
      </c>
      <c r="D65">
        <f>1</f>
        <v>1</v>
      </c>
      <c r="E65" s="9">
        <f>$A$65*((($B$16/12)*(1+$B$16/12)^$B$19)/(((1+$B$16/12)^$B$19)-1))</f>
        <v>536.50917249922907</v>
      </c>
      <c r="G65" s="20">
        <f>C17</f>
        <v>27080</v>
      </c>
      <c r="H65" s="9">
        <f>IF(Table48[[#This Row],[Month]]&lt;$C$20, G65*0, G65*($C$16/12))</f>
        <v>90.266666666666666</v>
      </c>
      <c r="I65" s="20">
        <f>IF(Table48[[#This Row],[Principal]]&gt;0, K65-H65, 0)</f>
        <v>551.65585679656317</v>
      </c>
      <c r="J65">
        <f>1</f>
        <v>1</v>
      </c>
      <c r="K65" s="9">
        <f t="shared" ref="K65:K96" si="0">$A$65*((($C$16/12)*(1+$C$16/12)^$C$19)/(((1+$C$16/12)^$C$19)-1))</f>
        <v>641.92252346322982</v>
      </c>
      <c r="M65" s="20">
        <f>D17</f>
        <v>29030</v>
      </c>
      <c r="N65" s="9">
        <f>IF(Table49[[#This Row],[Month]]&lt;$D$20, M65*0, M65*($D$16/12))</f>
        <v>0</v>
      </c>
      <c r="O65" s="20">
        <f>Q65-N65</f>
        <v>530.02103703632781</v>
      </c>
      <c r="P65">
        <f>1</f>
        <v>1</v>
      </c>
      <c r="Q65" s="9">
        <f>IF(Table49[[#This Row],[Month]]&lt;=$D$19, $A$65*((($D$16/12)*(1+$D$16/12)^$D$19)/(((1+$D$16/12)^$D$19)-1)), 0)</f>
        <v>530.02103703632781</v>
      </c>
    </row>
    <row r="66" spans="1:17" x14ac:dyDescent="0.3">
      <c r="A66" s="20">
        <f>IF(A65-C65&gt;0, A65-C65, 0)</f>
        <v>28011.949160834101</v>
      </c>
      <c r="B66" s="9">
        <f>IF(Table4[[#This Row],[Month]]&lt;$B$20, A66*0, A66*($B$16/12))</f>
        <v>116.71645483680875</v>
      </c>
      <c r="C66" s="20">
        <f>IF((E66-B66)&lt;Table4[[#This Row],[Principal]], E66-B66, 0)</f>
        <v>419.79271766242033</v>
      </c>
      <c r="D66">
        <f>D65+1</f>
        <v>2</v>
      </c>
      <c r="E66" s="9">
        <f t="shared" ref="E65:E96" si="1">$A$65*((($B$16/12)*(1+$B$16/12)^$B$19)/(((1+$B$16/12)^$B$19)-1))</f>
        <v>536.50917249922907</v>
      </c>
      <c r="G66" s="20">
        <f>IF(G65-I65&gt;0, G65-I65, 0)</f>
        <v>26528.344143203438</v>
      </c>
      <c r="H66" s="9">
        <f>IF(Table48[[#This Row],[Month]]&lt;$C$20, G66*0, G66*($C$16/12))</f>
        <v>88.427813810678131</v>
      </c>
      <c r="I66" s="20">
        <f>IF(Table48[[#This Row],[Principal]]&gt;0, K66-H66, 0)</f>
        <v>553.49470965255171</v>
      </c>
      <c r="J66">
        <f>J65+1</f>
        <v>2</v>
      </c>
      <c r="K66" s="9">
        <f t="shared" si="0"/>
        <v>641.92252346322982</v>
      </c>
      <c r="M66" s="20">
        <f>IF(M65-O65&gt;0, M65-O65, 0)</f>
        <v>28499.978962963673</v>
      </c>
      <c r="N66" s="9">
        <f>IF(Table49[[#This Row],[Month]]&lt;$D$20, M66*0, M66*($D$16/12))</f>
        <v>0</v>
      </c>
      <c r="O66" s="20">
        <f t="shared" ref="O66:O129" si="2">Q66-N66</f>
        <v>530.02103703632781</v>
      </c>
      <c r="P66">
        <f>P65+1</f>
        <v>2</v>
      </c>
      <c r="Q66" s="9">
        <f>IF(Table49[[#This Row],[Month]]&lt;=$D$19, $A$65*((($D$16/12)*(1+$D$16/12)^$D$19)/(((1+$D$16/12)^$D$19)-1)), 0)</f>
        <v>530.02103703632781</v>
      </c>
    </row>
    <row r="67" spans="1:17" x14ac:dyDescent="0.3">
      <c r="A67" s="20">
        <f t="shared" ref="A67:A130" si="3">IF(A66-C66&gt;0, A66-C66, 0)</f>
        <v>27592.15644317168</v>
      </c>
      <c r="B67" s="9">
        <f>IF(Table4[[#This Row],[Month]]&lt;$B$20, A67*0, A67*($B$16/12))</f>
        <v>114.96731851321533</v>
      </c>
      <c r="C67" s="20">
        <f>IF((E67-B67)&lt;Table4[[#This Row],[Principal]], E67-B67, 0)</f>
        <v>421.54185398601373</v>
      </c>
      <c r="D67">
        <f t="shared" ref="D67:D130" si="4">D66+1</f>
        <v>3</v>
      </c>
      <c r="E67" s="9">
        <f t="shared" si="1"/>
        <v>536.50917249922907</v>
      </c>
      <c r="G67" s="20">
        <f t="shared" ref="G67:G130" si="5">IF(G66-I66&gt;0, G66-I66, 0)</f>
        <v>25974.849433550888</v>
      </c>
      <c r="H67" s="9">
        <f>IF(Table48[[#This Row],[Month]]&lt;$C$20, G67*0, G67*($C$16/12))</f>
        <v>86.582831445169631</v>
      </c>
      <c r="I67" s="20">
        <f>IF(Table48[[#This Row],[Principal]]&gt;0, K67-H67, 0)</f>
        <v>555.33969201806019</v>
      </c>
      <c r="J67">
        <f t="shared" ref="J67:J130" si="6">J66+1</f>
        <v>3</v>
      </c>
      <c r="K67" s="9">
        <f t="shared" si="0"/>
        <v>641.92252346322982</v>
      </c>
      <c r="M67" s="20">
        <f t="shared" ref="M67:M130" si="7">IF(M66-O66&gt;0, M66-O66, 0)</f>
        <v>27969.957925927345</v>
      </c>
      <c r="N67" s="9">
        <f>IF(Table49[[#This Row],[Month]]&lt;$D$20, M67*0, M67*($D$16/12))</f>
        <v>0</v>
      </c>
      <c r="O67" s="20">
        <f t="shared" si="2"/>
        <v>530.02103703632781</v>
      </c>
      <c r="P67">
        <f t="shared" ref="P67:P130" si="8">P66+1</f>
        <v>3</v>
      </c>
      <c r="Q67" s="9">
        <f>IF(Table49[[#This Row],[Month]]&lt;=$D$19, $A$65*((($D$16/12)*(1+$D$16/12)^$D$19)/(((1+$D$16/12)^$D$19)-1)), 0)</f>
        <v>530.02103703632781</v>
      </c>
    </row>
    <row r="68" spans="1:17" x14ac:dyDescent="0.3">
      <c r="A68" s="20">
        <f t="shared" si="3"/>
        <v>27170.614589185665</v>
      </c>
      <c r="B68" s="9">
        <f>IF(Table4[[#This Row],[Month]]&lt;$B$20, A68*0, A68*($B$16/12))</f>
        <v>113.21089412160694</v>
      </c>
      <c r="C68" s="20">
        <f>IF((E68-B68)&lt;Table4[[#This Row],[Principal]], E68-B68, 0)</f>
        <v>423.29827837762213</v>
      </c>
      <c r="D68">
        <f t="shared" si="4"/>
        <v>4</v>
      </c>
      <c r="E68" s="9">
        <f t="shared" si="1"/>
        <v>536.50917249922907</v>
      </c>
      <c r="G68" s="20">
        <f t="shared" si="5"/>
        <v>25419.509741532827</v>
      </c>
      <c r="H68" s="9">
        <f>IF(Table48[[#This Row],[Month]]&lt;$C$20, G68*0, G68*($C$16/12))</f>
        <v>84.731699138442764</v>
      </c>
      <c r="I68" s="20">
        <f>IF(Table48[[#This Row],[Principal]]&gt;0, K68-H68, 0)</f>
        <v>557.19082432478706</v>
      </c>
      <c r="J68">
        <f t="shared" si="6"/>
        <v>4</v>
      </c>
      <c r="K68" s="9">
        <f t="shared" si="0"/>
        <v>641.92252346322982</v>
      </c>
      <c r="M68" s="20">
        <f t="shared" si="7"/>
        <v>27439.936888891018</v>
      </c>
      <c r="N68" s="9">
        <f>IF(Table49[[#This Row],[Month]]&lt;$D$20, M68*0, M68*($D$16/12))</f>
        <v>0</v>
      </c>
      <c r="O68" s="20">
        <f t="shared" si="2"/>
        <v>530.02103703632781</v>
      </c>
      <c r="P68">
        <f t="shared" si="8"/>
        <v>4</v>
      </c>
      <c r="Q68" s="9">
        <f>IF(Table49[[#This Row],[Month]]&lt;=$D$19, $A$65*((($D$16/12)*(1+$D$16/12)^$D$19)/(((1+$D$16/12)^$D$19)-1)), 0)</f>
        <v>530.02103703632781</v>
      </c>
    </row>
    <row r="69" spans="1:17" x14ac:dyDescent="0.3">
      <c r="A69" s="20">
        <f t="shared" si="3"/>
        <v>26747.316310808044</v>
      </c>
      <c r="B69" s="9">
        <f>IF(Table4[[#This Row],[Month]]&lt;$B$20, A69*0, A69*($B$16/12))</f>
        <v>111.44715129503352</v>
      </c>
      <c r="C69" s="20">
        <f>IF((E69-B69)&lt;Table4[[#This Row],[Principal]], E69-B69, 0)</f>
        <v>425.06202120419556</v>
      </c>
      <c r="D69">
        <f t="shared" si="4"/>
        <v>5</v>
      </c>
      <c r="E69" s="9">
        <f t="shared" si="1"/>
        <v>536.50917249922907</v>
      </c>
      <c r="G69" s="20">
        <f t="shared" si="5"/>
        <v>24862.318917208042</v>
      </c>
      <c r="H69" s="9">
        <f>IF(Table48[[#This Row],[Month]]&lt;$C$20, G69*0, G69*($C$16/12))</f>
        <v>82.874396390693477</v>
      </c>
      <c r="I69" s="20">
        <f>IF(Table48[[#This Row],[Principal]]&gt;0, K69-H69, 0)</f>
        <v>559.04812707253632</v>
      </c>
      <c r="J69">
        <f t="shared" si="6"/>
        <v>5</v>
      </c>
      <c r="K69" s="9">
        <f t="shared" si="0"/>
        <v>641.92252346322982</v>
      </c>
      <c r="M69" s="20">
        <f t="shared" si="7"/>
        <v>26909.91585185469</v>
      </c>
      <c r="N69" s="9">
        <f>IF(Table49[[#This Row],[Month]]&lt;$D$20, M69*0, M69*($D$16/12))</f>
        <v>0</v>
      </c>
      <c r="O69" s="20">
        <f t="shared" si="2"/>
        <v>530.02103703632781</v>
      </c>
      <c r="P69">
        <f t="shared" si="8"/>
        <v>5</v>
      </c>
      <c r="Q69" s="9">
        <f>IF(Table49[[#This Row],[Month]]&lt;=$D$19, $A$65*((($D$16/12)*(1+$D$16/12)^$D$19)/(((1+$D$16/12)^$D$19)-1)), 0)</f>
        <v>530.02103703632781</v>
      </c>
    </row>
    <row r="70" spans="1:17" x14ac:dyDescent="0.3">
      <c r="A70" s="20">
        <f t="shared" si="3"/>
        <v>26322.25428960385</v>
      </c>
      <c r="B70" s="9">
        <f>IF(Table4[[#This Row],[Month]]&lt;$B$20, A70*0, A70*($B$16/12))</f>
        <v>109.67605954001604</v>
      </c>
      <c r="C70" s="20">
        <f>IF((E70-B70)&lt;Table4[[#This Row],[Principal]], E70-B70, 0)</f>
        <v>426.83311295921305</v>
      </c>
      <c r="D70">
        <f t="shared" si="4"/>
        <v>6</v>
      </c>
      <c r="E70" s="9">
        <f t="shared" si="1"/>
        <v>536.50917249922907</v>
      </c>
      <c r="G70" s="20">
        <f t="shared" si="5"/>
        <v>24303.270790135506</v>
      </c>
      <c r="H70" s="9">
        <f>IF(Table48[[#This Row],[Month]]&lt;$C$20, G70*0, G70*($C$16/12))</f>
        <v>81.010902633785022</v>
      </c>
      <c r="I70" s="20">
        <f>IF(Table48[[#This Row],[Principal]]&gt;0, K70-H70, 0)</f>
        <v>560.91162082944481</v>
      </c>
      <c r="J70">
        <f t="shared" si="6"/>
        <v>6</v>
      </c>
      <c r="K70" s="9">
        <f t="shared" si="0"/>
        <v>641.92252346322982</v>
      </c>
      <c r="M70" s="20">
        <f t="shared" si="7"/>
        <v>26379.894814818363</v>
      </c>
      <c r="N70" s="9">
        <f>IF(Table49[[#This Row],[Month]]&lt;$D$20, M70*0, M70*($D$16/12))</f>
        <v>0</v>
      </c>
      <c r="O70" s="20">
        <f t="shared" si="2"/>
        <v>530.02103703632781</v>
      </c>
      <c r="P70">
        <f t="shared" si="8"/>
        <v>6</v>
      </c>
      <c r="Q70" s="9">
        <f>IF(Table49[[#This Row],[Month]]&lt;=$D$19, $A$65*((($D$16/12)*(1+$D$16/12)^$D$19)/(((1+$D$16/12)^$D$19)-1)), 0)</f>
        <v>530.02103703632781</v>
      </c>
    </row>
    <row r="71" spans="1:17" x14ac:dyDescent="0.3">
      <c r="A71" s="20">
        <f t="shared" si="3"/>
        <v>25895.421176644639</v>
      </c>
      <c r="B71" s="9">
        <f>IF(Table4[[#This Row],[Month]]&lt;$B$20, A71*0, A71*($B$16/12))</f>
        <v>107.89758823601933</v>
      </c>
      <c r="C71" s="20">
        <f>IF((E71-B71)&lt;Table4[[#This Row],[Principal]], E71-B71, 0)</f>
        <v>428.61158426320975</v>
      </c>
      <c r="D71">
        <f t="shared" si="4"/>
        <v>7</v>
      </c>
      <c r="E71" s="9">
        <f t="shared" si="1"/>
        <v>536.50917249922907</v>
      </c>
      <c r="G71" s="20">
        <f t="shared" si="5"/>
        <v>23742.359169306063</v>
      </c>
      <c r="H71" s="9">
        <f>IF(Table48[[#This Row],[Month]]&lt;$C$20, G71*0, G71*($C$16/12))</f>
        <v>79.141197231020215</v>
      </c>
      <c r="I71" s="20">
        <f>IF(Table48[[#This Row],[Principal]]&gt;0, K71-H71, 0)</f>
        <v>562.78132623220961</v>
      </c>
      <c r="J71">
        <f t="shared" si="6"/>
        <v>7</v>
      </c>
      <c r="K71" s="9">
        <f t="shared" si="0"/>
        <v>641.92252346322982</v>
      </c>
      <c r="M71" s="20">
        <f t="shared" si="7"/>
        <v>25849.873777782035</v>
      </c>
      <c r="N71" s="9">
        <f>IF(Table49[[#This Row],[Month]]&lt;$D$20, M71*0, M71*($D$16/12))</f>
        <v>0</v>
      </c>
      <c r="O71" s="20">
        <f t="shared" si="2"/>
        <v>530.02103703632781</v>
      </c>
      <c r="P71">
        <f t="shared" si="8"/>
        <v>7</v>
      </c>
      <c r="Q71" s="9">
        <f>IF(Table49[[#This Row],[Month]]&lt;=$D$19, $A$65*((($D$16/12)*(1+$D$16/12)^$D$19)/(((1+$D$16/12)^$D$19)-1)), 0)</f>
        <v>530.02103703632781</v>
      </c>
    </row>
    <row r="72" spans="1:17" x14ac:dyDescent="0.3">
      <c r="A72" s="20">
        <f t="shared" si="3"/>
        <v>25466.809592381429</v>
      </c>
      <c r="B72" s="9">
        <f>IF(Table4[[#This Row],[Month]]&lt;$B$20, A72*0, A72*($B$16/12))</f>
        <v>106.11170663492261</v>
      </c>
      <c r="C72" s="20">
        <f>IF((E72-B72)&lt;Table4[[#This Row],[Principal]], E72-B72, 0)</f>
        <v>430.39746586430647</v>
      </c>
      <c r="D72">
        <f t="shared" si="4"/>
        <v>8</v>
      </c>
      <c r="E72" s="9">
        <f t="shared" si="1"/>
        <v>536.50917249922907</v>
      </c>
      <c r="G72" s="20">
        <f t="shared" si="5"/>
        <v>23179.577843073854</v>
      </c>
      <c r="H72" s="9">
        <f>IF(Table48[[#This Row],[Month]]&lt;$C$20, G72*0, G72*($C$16/12))</f>
        <v>77.265259476912846</v>
      </c>
      <c r="I72" s="20">
        <f>IF(Table48[[#This Row],[Principal]]&gt;0, K72-H72, 0)</f>
        <v>564.65726398631693</v>
      </c>
      <c r="J72">
        <f t="shared" si="6"/>
        <v>8</v>
      </c>
      <c r="K72" s="9">
        <f t="shared" si="0"/>
        <v>641.92252346322982</v>
      </c>
      <c r="M72" s="20">
        <f t="shared" si="7"/>
        <v>25319.852740745708</v>
      </c>
      <c r="N72" s="9">
        <f>IF(Table49[[#This Row],[Month]]&lt;$D$20, M72*0, M72*($D$16/12))</f>
        <v>0</v>
      </c>
      <c r="O72" s="20">
        <f t="shared" si="2"/>
        <v>530.02103703632781</v>
      </c>
      <c r="P72">
        <f t="shared" si="8"/>
        <v>8</v>
      </c>
      <c r="Q72" s="9">
        <f>IF(Table49[[#This Row],[Month]]&lt;=$D$19, $A$65*((($D$16/12)*(1+$D$16/12)^$D$19)/(((1+$D$16/12)^$D$19)-1)), 0)</f>
        <v>530.02103703632781</v>
      </c>
    </row>
    <row r="73" spans="1:17" x14ac:dyDescent="0.3">
      <c r="A73" s="20">
        <f t="shared" si="3"/>
        <v>25036.412126517123</v>
      </c>
      <c r="B73" s="9">
        <f>IF(Table4[[#This Row],[Month]]&lt;$B$20, A73*0, A73*($B$16/12))</f>
        <v>104.31838386048801</v>
      </c>
      <c r="C73" s="20">
        <f>IF((E73-B73)&lt;Table4[[#This Row],[Principal]], E73-B73, 0)</f>
        <v>432.19078863874108</v>
      </c>
      <c r="D73">
        <f t="shared" si="4"/>
        <v>9</v>
      </c>
      <c r="E73" s="9">
        <f t="shared" si="1"/>
        <v>536.50917249922907</v>
      </c>
      <c r="G73" s="20">
        <f t="shared" si="5"/>
        <v>22614.920579087538</v>
      </c>
      <c r="H73" s="9">
        <f>IF(Table48[[#This Row],[Month]]&lt;$C$20, G73*0, G73*($C$16/12))</f>
        <v>75.383068596958466</v>
      </c>
      <c r="I73" s="20">
        <f>IF(Table48[[#This Row],[Principal]]&gt;0, K73-H73, 0)</f>
        <v>566.5394548662714</v>
      </c>
      <c r="J73">
        <f t="shared" si="6"/>
        <v>9</v>
      </c>
      <c r="K73" s="9">
        <f t="shared" si="0"/>
        <v>641.92252346322982</v>
      </c>
      <c r="M73" s="20">
        <f t="shared" si="7"/>
        <v>24789.83170370938</v>
      </c>
      <c r="N73" s="9">
        <f>IF(Table49[[#This Row],[Month]]&lt;$D$20, M73*0, M73*($D$16/12))</f>
        <v>0</v>
      </c>
      <c r="O73" s="20">
        <f t="shared" si="2"/>
        <v>530.02103703632781</v>
      </c>
      <c r="P73">
        <f t="shared" si="8"/>
        <v>9</v>
      </c>
      <c r="Q73" s="9">
        <f>IF(Table49[[#This Row],[Month]]&lt;=$D$19, $A$65*((($D$16/12)*(1+$D$16/12)^$D$19)/(((1+$D$16/12)^$D$19)-1)), 0)</f>
        <v>530.02103703632781</v>
      </c>
    </row>
    <row r="74" spans="1:17" x14ac:dyDescent="0.3">
      <c r="A74" s="20">
        <f t="shared" si="3"/>
        <v>24604.221337878382</v>
      </c>
      <c r="B74" s="9">
        <f>IF(Table4[[#This Row],[Month]]&lt;$B$20, A74*0, A74*($B$16/12))</f>
        <v>102.51758890782659</v>
      </c>
      <c r="C74" s="20">
        <f>IF((E74-B74)&lt;Table4[[#This Row],[Principal]], E74-B74, 0)</f>
        <v>433.99158359140245</v>
      </c>
      <c r="D74">
        <f t="shared" si="4"/>
        <v>10</v>
      </c>
      <c r="E74" s="9">
        <f t="shared" si="1"/>
        <v>536.50917249922907</v>
      </c>
      <c r="G74" s="20">
        <f t="shared" si="5"/>
        <v>22048.381124221269</v>
      </c>
      <c r="H74" s="9">
        <f>IF(Table48[[#This Row],[Month]]&lt;$C$20, G74*0, G74*($C$16/12))</f>
        <v>73.494603747404227</v>
      </c>
      <c r="I74" s="20">
        <f>IF(Table48[[#This Row],[Principal]]&gt;0, K74-H74, 0)</f>
        <v>568.42791971582562</v>
      </c>
      <c r="J74">
        <f t="shared" si="6"/>
        <v>10</v>
      </c>
      <c r="K74" s="9">
        <f t="shared" si="0"/>
        <v>641.92252346322982</v>
      </c>
      <c r="M74" s="20">
        <f t="shared" si="7"/>
        <v>24259.810666673053</v>
      </c>
      <c r="N74" s="9">
        <f>IF(Table49[[#This Row],[Month]]&lt;$D$20, M74*0, M74*($D$16/12))</f>
        <v>0</v>
      </c>
      <c r="O74" s="20">
        <f t="shared" si="2"/>
        <v>530.02103703632781</v>
      </c>
      <c r="P74">
        <f t="shared" si="8"/>
        <v>10</v>
      </c>
      <c r="Q74" s="9">
        <f>IF(Table49[[#This Row],[Month]]&lt;=$D$19, $A$65*((($D$16/12)*(1+$D$16/12)^$D$19)/(((1+$D$16/12)^$D$19)-1)), 0)</f>
        <v>530.02103703632781</v>
      </c>
    </row>
    <row r="75" spans="1:17" x14ac:dyDescent="0.3">
      <c r="A75" s="20">
        <f t="shared" si="3"/>
        <v>24170.229754286978</v>
      </c>
      <c r="B75" s="9">
        <f>IF(Table4[[#This Row],[Month]]&lt;$B$20, A75*0, A75*($B$16/12))</f>
        <v>100.70929064286241</v>
      </c>
      <c r="C75" s="20">
        <f>IF((E75-B75)&lt;Table4[[#This Row],[Principal]], E75-B75, 0)</f>
        <v>435.79988185636665</v>
      </c>
      <c r="D75">
        <f t="shared" si="4"/>
        <v>11</v>
      </c>
      <c r="E75" s="9">
        <f t="shared" si="1"/>
        <v>536.50917249922907</v>
      </c>
      <c r="G75" s="20">
        <f t="shared" si="5"/>
        <v>21479.953204505444</v>
      </c>
      <c r="H75" s="9">
        <f>IF(Table48[[#This Row],[Month]]&lt;$C$20, G75*0, G75*($C$16/12))</f>
        <v>71.599844015018149</v>
      </c>
      <c r="I75" s="20">
        <f>IF(Table48[[#This Row],[Principal]]&gt;0, K75-H75, 0)</f>
        <v>570.32267944821172</v>
      </c>
      <c r="J75">
        <f t="shared" si="6"/>
        <v>11</v>
      </c>
      <c r="K75" s="9">
        <f t="shared" si="0"/>
        <v>641.92252346322982</v>
      </c>
      <c r="M75" s="20">
        <f t="shared" si="7"/>
        <v>23729.789629636725</v>
      </c>
      <c r="N75" s="9">
        <f>IF(Table49[[#This Row],[Month]]&lt;$D$20, M75*0, M75*($D$16/12))</f>
        <v>0</v>
      </c>
      <c r="O75" s="20">
        <f t="shared" si="2"/>
        <v>530.02103703632781</v>
      </c>
      <c r="P75">
        <f t="shared" si="8"/>
        <v>11</v>
      </c>
      <c r="Q75" s="9">
        <f>IF(Table49[[#This Row],[Month]]&lt;=$D$19, $A$65*((($D$16/12)*(1+$D$16/12)^$D$19)/(((1+$D$16/12)^$D$19)-1)), 0)</f>
        <v>530.02103703632781</v>
      </c>
    </row>
    <row r="76" spans="1:17" x14ac:dyDescent="0.3">
      <c r="A76" s="20">
        <f t="shared" si="3"/>
        <v>23734.42987243061</v>
      </c>
      <c r="B76" s="9">
        <f>IF(Table4[[#This Row],[Month]]&lt;$B$20, A76*0, A76*($B$16/12))</f>
        <v>98.893457801794213</v>
      </c>
      <c r="C76" s="20">
        <f>IF((E76-B76)&lt;Table4[[#This Row],[Principal]], E76-B76, 0)</f>
        <v>437.61571469743484</v>
      </c>
      <c r="D76">
        <f t="shared" si="4"/>
        <v>12</v>
      </c>
      <c r="E76" s="9">
        <f t="shared" si="1"/>
        <v>536.50917249922907</v>
      </c>
      <c r="G76" s="20">
        <f t="shared" si="5"/>
        <v>20909.630525057233</v>
      </c>
      <c r="H76" s="9">
        <f>IF(Table48[[#This Row],[Month]]&lt;$C$20, G76*0, G76*($C$16/12))</f>
        <v>69.698768416857448</v>
      </c>
      <c r="I76" s="20">
        <f>IF(Table48[[#This Row],[Principal]]&gt;0, K76-H76, 0)</f>
        <v>572.22375504637239</v>
      </c>
      <c r="J76">
        <f t="shared" si="6"/>
        <v>12</v>
      </c>
      <c r="K76" s="9">
        <f t="shared" si="0"/>
        <v>641.92252346322982</v>
      </c>
      <c r="M76" s="20">
        <f t="shared" si="7"/>
        <v>23199.768592600398</v>
      </c>
      <c r="N76" s="9">
        <f>IF(Table49[[#This Row],[Month]]&lt;$D$20, M76*0, M76*($D$16/12))</f>
        <v>0</v>
      </c>
      <c r="O76" s="20">
        <f t="shared" si="2"/>
        <v>530.02103703632781</v>
      </c>
      <c r="P76">
        <f t="shared" si="8"/>
        <v>12</v>
      </c>
      <c r="Q76" s="9">
        <f>IF(Table49[[#This Row],[Month]]&lt;=$D$19, $A$65*((($D$16/12)*(1+$D$16/12)^$D$19)/(((1+$D$16/12)^$D$19)-1)), 0)</f>
        <v>530.02103703632781</v>
      </c>
    </row>
    <row r="77" spans="1:17" x14ac:dyDescent="0.3">
      <c r="A77" s="20">
        <f t="shared" si="3"/>
        <v>23296.814157733173</v>
      </c>
      <c r="B77" s="9">
        <f>IF(Table4[[#This Row],[Month]]&lt;$B$20, A77*0, A77*($B$16/12))</f>
        <v>97.070058990554884</v>
      </c>
      <c r="C77" s="20">
        <f>IF((E77-B77)&lt;Table4[[#This Row],[Principal]], E77-B77, 0)</f>
        <v>439.43911350867415</v>
      </c>
      <c r="D77">
        <f t="shared" si="4"/>
        <v>13</v>
      </c>
      <c r="E77" s="9">
        <f t="shared" si="1"/>
        <v>536.50917249922907</v>
      </c>
      <c r="G77" s="20">
        <f t="shared" si="5"/>
        <v>20337.406770010861</v>
      </c>
      <c r="H77" s="9">
        <f>IF(Table48[[#This Row],[Month]]&lt;$C$20, G77*0, G77*($C$16/12))</f>
        <v>67.791355900036208</v>
      </c>
      <c r="I77" s="20">
        <f>IF(Table48[[#This Row],[Principal]]&gt;0, K77-H77, 0)</f>
        <v>574.13116756319357</v>
      </c>
      <c r="J77">
        <f t="shared" si="6"/>
        <v>13</v>
      </c>
      <c r="K77" s="9">
        <f t="shared" si="0"/>
        <v>641.92252346322982</v>
      </c>
      <c r="M77" s="20">
        <f t="shared" si="7"/>
        <v>22669.74755556407</v>
      </c>
      <c r="N77" s="9">
        <f>IF(Table49[[#This Row],[Month]]&lt;$D$20, M77*0, M77*($D$16/12))</f>
        <v>0</v>
      </c>
      <c r="O77" s="20">
        <f t="shared" si="2"/>
        <v>530.02103703632781</v>
      </c>
      <c r="P77">
        <f t="shared" si="8"/>
        <v>13</v>
      </c>
      <c r="Q77" s="9">
        <f>IF(Table49[[#This Row],[Month]]&lt;=$D$19, $A$65*((($D$16/12)*(1+$D$16/12)^$D$19)/(((1+$D$16/12)^$D$19)-1)), 0)</f>
        <v>530.02103703632781</v>
      </c>
    </row>
    <row r="78" spans="1:17" x14ac:dyDescent="0.3">
      <c r="A78" s="20">
        <f t="shared" si="3"/>
        <v>22857.3750442245</v>
      </c>
      <c r="B78" s="9">
        <f>IF(Table4[[#This Row],[Month]]&lt;$B$20, A78*0, A78*($B$16/12))</f>
        <v>95.239062684268745</v>
      </c>
      <c r="C78" s="20">
        <f>IF((E78-B78)&lt;Table4[[#This Row],[Principal]], E78-B78, 0)</f>
        <v>441.27010981496034</v>
      </c>
      <c r="D78">
        <f t="shared" si="4"/>
        <v>14</v>
      </c>
      <c r="E78" s="9">
        <f t="shared" si="1"/>
        <v>536.50917249922907</v>
      </c>
      <c r="G78" s="20">
        <f t="shared" si="5"/>
        <v>19763.275602447666</v>
      </c>
      <c r="H78" s="9">
        <f>IF(Table48[[#This Row],[Month]]&lt;$C$20, G78*0, G78*($C$16/12))</f>
        <v>65.877585341492221</v>
      </c>
      <c r="I78" s="20">
        <f>IF(Table48[[#This Row],[Principal]]&gt;0, K78-H78, 0)</f>
        <v>576.04493812173757</v>
      </c>
      <c r="J78">
        <f t="shared" si="6"/>
        <v>14</v>
      </c>
      <c r="K78" s="9">
        <f t="shared" si="0"/>
        <v>641.92252346322982</v>
      </c>
      <c r="M78" s="20">
        <f t="shared" si="7"/>
        <v>22139.726518527743</v>
      </c>
      <c r="N78" s="9">
        <f>IF(Table49[[#This Row],[Month]]&lt;$D$20, M78*0, M78*($D$16/12))</f>
        <v>0</v>
      </c>
      <c r="O78" s="20">
        <f t="shared" si="2"/>
        <v>530.02103703632781</v>
      </c>
      <c r="P78">
        <f t="shared" si="8"/>
        <v>14</v>
      </c>
      <c r="Q78" s="9">
        <f>IF(Table49[[#This Row],[Month]]&lt;=$D$19, $A$65*((($D$16/12)*(1+$D$16/12)^$D$19)/(((1+$D$16/12)^$D$19)-1)), 0)</f>
        <v>530.02103703632781</v>
      </c>
    </row>
    <row r="79" spans="1:17" x14ac:dyDescent="0.3">
      <c r="A79" s="20">
        <f t="shared" si="3"/>
        <v>22416.104934409541</v>
      </c>
      <c r="B79" s="9">
        <f>IF(Table4[[#This Row],[Month]]&lt;$B$20, A79*0, A79*($B$16/12))</f>
        <v>93.400437226706416</v>
      </c>
      <c r="C79" s="20">
        <f>IF((E79-B79)&lt;Table4[[#This Row],[Principal]], E79-B79, 0)</f>
        <v>443.10873527252267</v>
      </c>
      <c r="D79">
        <f t="shared" si="4"/>
        <v>15</v>
      </c>
      <c r="E79" s="9">
        <f t="shared" si="1"/>
        <v>536.50917249922907</v>
      </c>
      <c r="G79" s="20">
        <f t="shared" si="5"/>
        <v>19187.230664325929</v>
      </c>
      <c r="H79" s="9">
        <f>IF(Table48[[#This Row],[Month]]&lt;$C$20, G79*0, G79*($C$16/12))</f>
        <v>63.9574355477531</v>
      </c>
      <c r="I79" s="20">
        <f>IF(Table48[[#This Row],[Principal]]&gt;0, K79-H79, 0)</f>
        <v>577.96508791547672</v>
      </c>
      <c r="J79">
        <f t="shared" si="6"/>
        <v>15</v>
      </c>
      <c r="K79" s="9">
        <f t="shared" si="0"/>
        <v>641.92252346322982</v>
      </c>
      <c r="M79" s="20">
        <f t="shared" si="7"/>
        <v>21609.705481491415</v>
      </c>
      <c r="N79" s="9">
        <f>IF(Table49[[#This Row],[Month]]&lt;$D$20, M79*0, M79*($D$16/12))</f>
        <v>0</v>
      </c>
      <c r="O79" s="20">
        <f t="shared" si="2"/>
        <v>530.02103703632781</v>
      </c>
      <c r="P79">
        <f t="shared" si="8"/>
        <v>15</v>
      </c>
      <c r="Q79" s="9">
        <f>IF(Table49[[#This Row],[Month]]&lt;=$D$19, $A$65*((($D$16/12)*(1+$D$16/12)^$D$19)/(((1+$D$16/12)^$D$19)-1)), 0)</f>
        <v>530.02103703632781</v>
      </c>
    </row>
    <row r="80" spans="1:17" x14ac:dyDescent="0.3">
      <c r="A80" s="20">
        <f t="shared" si="3"/>
        <v>21972.996199137018</v>
      </c>
      <c r="B80" s="9">
        <f>IF(Table4[[#This Row],[Month]]&lt;$B$20, A80*0, A80*($B$16/12))</f>
        <v>91.55415082973758</v>
      </c>
      <c r="C80" s="20">
        <f>IF((E80-B80)&lt;Table4[[#This Row],[Principal]], E80-B80, 0)</f>
        <v>444.95502166949149</v>
      </c>
      <c r="D80">
        <f t="shared" si="4"/>
        <v>16</v>
      </c>
      <c r="E80" s="9">
        <f t="shared" si="1"/>
        <v>536.50917249922907</v>
      </c>
      <c r="G80" s="20">
        <f t="shared" si="5"/>
        <v>18609.265576410453</v>
      </c>
      <c r="H80" s="9">
        <f>IF(Table48[[#This Row],[Month]]&lt;$C$20, G80*0, G80*($C$16/12))</f>
        <v>62.030885254701516</v>
      </c>
      <c r="I80" s="20">
        <f>IF(Table48[[#This Row],[Principal]]&gt;0, K80-H80, 0)</f>
        <v>579.89163820852832</v>
      </c>
      <c r="J80">
        <f t="shared" si="6"/>
        <v>16</v>
      </c>
      <c r="K80" s="9">
        <f t="shared" si="0"/>
        <v>641.92252346322982</v>
      </c>
      <c r="M80" s="20">
        <f t="shared" si="7"/>
        <v>21079.684444455088</v>
      </c>
      <c r="N80" s="9">
        <f>IF(Table49[[#This Row],[Month]]&lt;$D$20, M80*0, M80*($D$16/12))</f>
        <v>0</v>
      </c>
      <c r="O80" s="20">
        <f t="shared" si="2"/>
        <v>530.02103703632781</v>
      </c>
      <c r="P80">
        <f t="shared" si="8"/>
        <v>16</v>
      </c>
      <c r="Q80" s="9">
        <f>IF(Table49[[#This Row],[Month]]&lt;=$D$19, $A$65*((($D$16/12)*(1+$D$16/12)^$D$19)/(((1+$D$16/12)^$D$19)-1)), 0)</f>
        <v>530.02103703632781</v>
      </c>
    </row>
    <row r="81" spans="1:17" x14ac:dyDescent="0.3">
      <c r="A81" s="20">
        <f t="shared" si="3"/>
        <v>21528.041177467527</v>
      </c>
      <c r="B81" s="9">
        <f>IF(Table4[[#This Row],[Month]]&lt;$B$20, A81*0, A81*($B$16/12))</f>
        <v>89.700171572781358</v>
      </c>
      <c r="C81" s="20">
        <f>IF((E81-B81)&lt;Table4[[#This Row],[Principal]], E81-B81, 0)</f>
        <v>446.80900092644771</v>
      </c>
      <c r="D81">
        <f t="shared" si="4"/>
        <v>17</v>
      </c>
      <c r="E81" s="9">
        <f t="shared" si="1"/>
        <v>536.50917249922907</v>
      </c>
      <c r="G81" s="20">
        <f t="shared" si="5"/>
        <v>18029.373938201923</v>
      </c>
      <c r="H81" s="9">
        <f>IF(Table48[[#This Row],[Month]]&lt;$C$20, G81*0, G81*($C$16/12))</f>
        <v>60.097913127339744</v>
      </c>
      <c r="I81" s="20">
        <f>IF(Table48[[#This Row],[Principal]]&gt;0, K81-H81, 0)</f>
        <v>581.82461033589004</v>
      </c>
      <c r="J81">
        <f t="shared" si="6"/>
        <v>17</v>
      </c>
      <c r="K81" s="9">
        <f t="shared" si="0"/>
        <v>641.92252346322982</v>
      </c>
      <c r="M81" s="20">
        <f t="shared" si="7"/>
        <v>20549.66340741876</v>
      </c>
      <c r="N81" s="9">
        <f>IF(Table49[[#This Row],[Month]]&lt;$D$20, M81*0, M81*($D$16/12))</f>
        <v>0</v>
      </c>
      <c r="O81" s="20">
        <f t="shared" si="2"/>
        <v>530.02103703632781</v>
      </c>
      <c r="P81">
        <f t="shared" si="8"/>
        <v>17</v>
      </c>
      <c r="Q81" s="9">
        <f>IF(Table49[[#This Row],[Month]]&lt;=$D$19, $A$65*((($D$16/12)*(1+$D$16/12)^$D$19)/(((1+$D$16/12)^$D$19)-1)), 0)</f>
        <v>530.02103703632781</v>
      </c>
    </row>
    <row r="82" spans="1:17" x14ac:dyDescent="0.3">
      <c r="A82" s="20">
        <f t="shared" si="3"/>
        <v>21081.232176541078</v>
      </c>
      <c r="B82" s="9">
        <f>IF(Table4[[#This Row],[Month]]&lt;$B$20, A82*0, A82*($B$16/12))</f>
        <v>87.838467402254494</v>
      </c>
      <c r="C82" s="20">
        <f>IF((E82-B82)&lt;Table4[[#This Row],[Principal]], E82-B82, 0)</f>
        <v>448.67070509697459</v>
      </c>
      <c r="D82">
        <f t="shared" si="4"/>
        <v>18</v>
      </c>
      <c r="E82" s="9">
        <f t="shared" si="1"/>
        <v>536.50917249922907</v>
      </c>
      <c r="G82" s="20">
        <f t="shared" si="5"/>
        <v>17447.549327866032</v>
      </c>
      <c r="H82" s="9">
        <f>IF(Table48[[#This Row],[Month]]&lt;$C$20, G82*0, G82*($C$16/12))</f>
        <v>58.158497759553448</v>
      </c>
      <c r="I82" s="20">
        <f>IF(Table48[[#This Row],[Principal]]&gt;0, K82-H82, 0)</f>
        <v>583.76402570367634</v>
      </c>
      <c r="J82">
        <f t="shared" si="6"/>
        <v>18</v>
      </c>
      <c r="K82" s="9">
        <f t="shared" si="0"/>
        <v>641.92252346322982</v>
      </c>
      <c r="M82" s="20">
        <f t="shared" si="7"/>
        <v>20019.642370382433</v>
      </c>
      <c r="N82" s="9">
        <f>IF(Table49[[#This Row],[Month]]&lt;$D$20, M82*0, M82*($D$16/12))</f>
        <v>0</v>
      </c>
      <c r="O82" s="20">
        <f t="shared" si="2"/>
        <v>530.02103703632781</v>
      </c>
      <c r="P82">
        <f t="shared" si="8"/>
        <v>18</v>
      </c>
      <c r="Q82" s="9">
        <f>IF(Table49[[#This Row],[Month]]&lt;=$D$19, $A$65*((($D$16/12)*(1+$D$16/12)^$D$19)/(((1+$D$16/12)^$D$19)-1)), 0)</f>
        <v>530.02103703632781</v>
      </c>
    </row>
    <row r="83" spans="1:17" x14ac:dyDescent="0.3">
      <c r="A83" s="20">
        <f t="shared" si="3"/>
        <v>20632.561471444104</v>
      </c>
      <c r="B83" s="9">
        <f>IF(Table4[[#This Row],[Month]]&lt;$B$20, A83*0, A83*($B$16/12))</f>
        <v>85.969006131017096</v>
      </c>
      <c r="C83" s="20">
        <f>IF((E83-B83)&lt;Table4[[#This Row],[Principal]], E83-B83, 0)</f>
        <v>450.540166368212</v>
      </c>
      <c r="D83">
        <f t="shared" si="4"/>
        <v>19</v>
      </c>
      <c r="E83" s="9">
        <f t="shared" si="1"/>
        <v>536.50917249922907</v>
      </c>
      <c r="G83" s="20">
        <f t="shared" si="5"/>
        <v>16863.785302162356</v>
      </c>
      <c r="H83" s="9">
        <f>IF(Table48[[#This Row],[Month]]&lt;$C$20, G83*0, G83*($C$16/12))</f>
        <v>56.212617673874526</v>
      </c>
      <c r="I83" s="20">
        <f>IF(Table48[[#This Row],[Principal]]&gt;0, K83-H83, 0)</f>
        <v>585.70990578935528</v>
      </c>
      <c r="J83">
        <f t="shared" si="6"/>
        <v>19</v>
      </c>
      <c r="K83" s="9">
        <f t="shared" si="0"/>
        <v>641.92252346322982</v>
      </c>
      <c r="M83" s="20">
        <f t="shared" si="7"/>
        <v>19489.621333346106</v>
      </c>
      <c r="N83" s="9">
        <f>IF(Table49[[#This Row],[Month]]&lt;$D$20, M83*0, M83*($D$16/12))</f>
        <v>0</v>
      </c>
      <c r="O83" s="20">
        <f t="shared" si="2"/>
        <v>530.02103703632781</v>
      </c>
      <c r="P83">
        <f t="shared" si="8"/>
        <v>19</v>
      </c>
      <c r="Q83" s="9">
        <f>IF(Table49[[#This Row],[Month]]&lt;=$D$19, $A$65*((($D$16/12)*(1+$D$16/12)^$D$19)/(((1+$D$16/12)^$D$19)-1)), 0)</f>
        <v>530.02103703632781</v>
      </c>
    </row>
    <row r="84" spans="1:17" x14ac:dyDescent="0.3">
      <c r="A84" s="20">
        <f t="shared" si="3"/>
        <v>20182.02130507589</v>
      </c>
      <c r="B84" s="9">
        <f>IF(Table4[[#This Row],[Month]]&lt;$B$20, A84*0, A84*($B$16/12))</f>
        <v>84.091755437816204</v>
      </c>
      <c r="C84" s="20">
        <f>IF((E84-B84)&lt;Table4[[#This Row],[Principal]], E84-B84, 0)</f>
        <v>452.41741706141283</v>
      </c>
      <c r="D84">
        <f t="shared" si="4"/>
        <v>20</v>
      </c>
      <c r="E84" s="9">
        <f t="shared" si="1"/>
        <v>536.50917249922907</v>
      </c>
      <c r="G84" s="20">
        <f t="shared" si="5"/>
        <v>16278.075396373</v>
      </c>
      <c r="H84" s="9">
        <f>IF(Table48[[#This Row],[Month]]&lt;$C$20, G84*0, G84*($C$16/12))</f>
        <v>54.260251321243338</v>
      </c>
      <c r="I84" s="20">
        <f>IF(Table48[[#This Row],[Principal]]&gt;0, K84-H84, 0)</f>
        <v>587.66227214198648</v>
      </c>
      <c r="J84">
        <f t="shared" si="6"/>
        <v>20</v>
      </c>
      <c r="K84" s="9">
        <f t="shared" si="0"/>
        <v>641.92252346322982</v>
      </c>
      <c r="M84" s="20">
        <f t="shared" si="7"/>
        <v>18959.600296309778</v>
      </c>
      <c r="N84" s="9">
        <f>IF(Table49[[#This Row],[Month]]&lt;$D$20, M84*0, M84*($D$16/12))</f>
        <v>0</v>
      </c>
      <c r="O84" s="20">
        <f t="shared" si="2"/>
        <v>530.02103703632781</v>
      </c>
      <c r="P84">
        <f t="shared" si="8"/>
        <v>20</v>
      </c>
      <c r="Q84" s="9">
        <f>IF(Table49[[#This Row],[Month]]&lt;=$D$19, $A$65*((($D$16/12)*(1+$D$16/12)^$D$19)/(((1+$D$16/12)^$D$19)-1)), 0)</f>
        <v>530.02103703632781</v>
      </c>
    </row>
    <row r="85" spans="1:17" x14ac:dyDescent="0.3">
      <c r="A85" s="20">
        <f t="shared" si="3"/>
        <v>19729.603888014477</v>
      </c>
      <c r="B85" s="9">
        <f>IF(Table4[[#This Row],[Month]]&lt;$B$20, A85*0, A85*($B$16/12))</f>
        <v>82.206682866726993</v>
      </c>
      <c r="C85" s="20">
        <f>IF((E85-B85)&lt;Table4[[#This Row],[Principal]], E85-B85, 0)</f>
        <v>454.3024896325021</v>
      </c>
      <c r="D85">
        <f t="shared" si="4"/>
        <v>21</v>
      </c>
      <c r="E85" s="9">
        <f t="shared" si="1"/>
        <v>536.50917249922907</v>
      </c>
      <c r="G85" s="20">
        <f t="shared" si="5"/>
        <v>15690.413124231014</v>
      </c>
      <c r="H85" s="9">
        <f>IF(Table48[[#This Row],[Month]]&lt;$C$20, G85*0, G85*($C$16/12))</f>
        <v>52.301377080770052</v>
      </c>
      <c r="I85" s="20">
        <f>IF(Table48[[#This Row],[Principal]]&gt;0, K85-H85, 0)</f>
        <v>589.62114638245976</v>
      </c>
      <c r="J85">
        <f t="shared" si="6"/>
        <v>21</v>
      </c>
      <c r="K85" s="9">
        <f t="shared" si="0"/>
        <v>641.92252346322982</v>
      </c>
      <c r="M85" s="20">
        <f t="shared" si="7"/>
        <v>18429.579259273451</v>
      </c>
      <c r="N85" s="9">
        <f>IF(Table49[[#This Row],[Month]]&lt;$D$20, M85*0, M85*($D$16/12))</f>
        <v>0</v>
      </c>
      <c r="O85" s="20">
        <f t="shared" si="2"/>
        <v>530.02103703632781</v>
      </c>
      <c r="P85">
        <f t="shared" si="8"/>
        <v>21</v>
      </c>
      <c r="Q85" s="9">
        <f>IF(Table49[[#This Row],[Month]]&lt;=$D$19, $A$65*((($D$16/12)*(1+$D$16/12)^$D$19)/(((1+$D$16/12)^$D$19)-1)), 0)</f>
        <v>530.02103703632781</v>
      </c>
    </row>
    <row r="86" spans="1:17" x14ac:dyDescent="0.3">
      <c r="A86" s="20">
        <f t="shared" si="3"/>
        <v>19275.301398381976</v>
      </c>
      <c r="B86" s="9">
        <f>IF(Table4[[#This Row],[Month]]&lt;$B$20, A86*0, A86*($B$16/12))</f>
        <v>80.313755826591574</v>
      </c>
      <c r="C86" s="20">
        <f>IF((E86-B86)&lt;Table4[[#This Row],[Principal]], E86-B86, 0)</f>
        <v>456.19541667263752</v>
      </c>
      <c r="D86">
        <f t="shared" si="4"/>
        <v>22</v>
      </c>
      <c r="E86" s="9">
        <f t="shared" si="1"/>
        <v>536.50917249922907</v>
      </c>
      <c r="G86" s="20">
        <f t="shared" si="5"/>
        <v>15100.791977848554</v>
      </c>
      <c r="H86" s="9">
        <f>IF(Table48[[#This Row],[Month]]&lt;$C$20, G86*0, G86*($C$16/12))</f>
        <v>50.335973259495184</v>
      </c>
      <c r="I86" s="20">
        <f>IF(Table48[[#This Row],[Principal]]&gt;0, K86-H86, 0)</f>
        <v>591.58655020373465</v>
      </c>
      <c r="J86">
        <f t="shared" si="6"/>
        <v>22</v>
      </c>
      <c r="K86" s="9">
        <f t="shared" si="0"/>
        <v>641.92252346322982</v>
      </c>
      <c r="M86" s="20">
        <f t="shared" si="7"/>
        <v>17899.558222237123</v>
      </c>
      <c r="N86" s="9">
        <f>IF(Table49[[#This Row],[Month]]&lt;$D$20, M86*0, M86*($D$16/12))</f>
        <v>0</v>
      </c>
      <c r="O86" s="20">
        <f t="shared" si="2"/>
        <v>530.02103703632781</v>
      </c>
      <c r="P86">
        <f t="shared" si="8"/>
        <v>22</v>
      </c>
      <c r="Q86" s="9">
        <f>IF(Table49[[#This Row],[Month]]&lt;=$D$19, $A$65*((($D$16/12)*(1+$D$16/12)^$D$19)/(((1+$D$16/12)^$D$19)-1)), 0)</f>
        <v>530.02103703632781</v>
      </c>
    </row>
    <row r="87" spans="1:17" x14ac:dyDescent="0.3">
      <c r="A87" s="20">
        <f t="shared" si="3"/>
        <v>18819.105981709337</v>
      </c>
      <c r="B87" s="9">
        <f>IF(Table4[[#This Row],[Month]]&lt;$B$20, A87*0, A87*($B$16/12))</f>
        <v>78.412941590455574</v>
      </c>
      <c r="C87" s="20">
        <f>IF((E87-B87)&lt;Table4[[#This Row],[Principal]], E87-B87, 0)</f>
        <v>458.09623090877346</v>
      </c>
      <c r="D87">
        <f t="shared" si="4"/>
        <v>23</v>
      </c>
      <c r="E87" s="9">
        <f t="shared" si="1"/>
        <v>536.50917249922907</v>
      </c>
      <c r="G87" s="20">
        <f t="shared" si="5"/>
        <v>14509.20542764482</v>
      </c>
      <c r="H87" s="9">
        <f>IF(Table48[[#This Row],[Month]]&lt;$C$20, G87*0, G87*($C$16/12))</f>
        <v>48.364018092149401</v>
      </c>
      <c r="I87" s="20">
        <f>IF(Table48[[#This Row],[Principal]]&gt;0, K87-H87, 0)</f>
        <v>593.5585053710804</v>
      </c>
      <c r="J87">
        <f t="shared" si="6"/>
        <v>23</v>
      </c>
      <c r="K87" s="9">
        <f t="shared" si="0"/>
        <v>641.92252346322982</v>
      </c>
      <c r="M87" s="20">
        <f t="shared" si="7"/>
        <v>17369.537185200796</v>
      </c>
      <c r="N87" s="9">
        <f>IF(Table49[[#This Row],[Month]]&lt;$D$20, M87*0, M87*($D$16/12))</f>
        <v>0</v>
      </c>
      <c r="O87" s="20">
        <f t="shared" si="2"/>
        <v>530.02103703632781</v>
      </c>
      <c r="P87">
        <f t="shared" si="8"/>
        <v>23</v>
      </c>
      <c r="Q87" s="9">
        <f>IF(Table49[[#This Row],[Month]]&lt;=$D$19, $A$65*((($D$16/12)*(1+$D$16/12)^$D$19)/(((1+$D$16/12)^$D$19)-1)), 0)</f>
        <v>530.02103703632781</v>
      </c>
    </row>
    <row r="88" spans="1:17" x14ac:dyDescent="0.3">
      <c r="A88" s="20">
        <f t="shared" si="3"/>
        <v>18361.009750800564</v>
      </c>
      <c r="B88" s="9">
        <f>IF(Table4[[#This Row],[Month]]&lt;$B$20, A88*0, A88*($B$16/12))</f>
        <v>76.504207295002345</v>
      </c>
      <c r="C88" s="20">
        <f>IF((E88-B88)&lt;Table4[[#This Row],[Principal]], E88-B88, 0)</f>
        <v>460.00496520422672</v>
      </c>
      <c r="D88">
        <f t="shared" si="4"/>
        <v>24</v>
      </c>
      <c r="E88" s="9">
        <f t="shared" si="1"/>
        <v>536.50917249922907</v>
      </c>
      <c r="G88" s="20">
        <f t="shared" si="5"/>
        <v>13915.64692227374</v>
      </c>
      <c r="H88" s="9">
        <f>IF(Table48[[#This Row],[Month]]&lt;$C$20, G88*0, G88*($C$16/12))</f>
        <v>46.385489740912469</v>
      </c>
      <c r="I88" s="20">
        <f>IF(Table48[[#This Row],[Principal]]&gt;0, K88-H88, 0)</f>
        <v>595.53703372231735</v>
      </c>
      <c r="J88">
        <f t="shared" si="6"/>
        <v>24</v>
      </c>
      <c r="K88" s="9">
        <f t="shared" si="0"/>
        <v>641.92252346322982</v>
      </c>
      <c r="M88" s="20">
        <f t="shared" si="7"/>
        <v>16839.516148164468</v>
      </c>
      <c r="N88" s="9">
        <f>IF(Table49[[#This Row],[Month]]&lt;$D$20, M88*0, M88*($D$16/12))</f>
        <v>63.148185555616756</v>
      </c>
      <c r="O88" s="20">
        <f t="shared" si="2"/>
        <v>466.87285148071106</v>
      </c>
      <c r="P88">
        <f t="shared" si="8"/>
        <v>24</v>
      </c>
      <c r="Q88" s="9">
        <f>IF(Table49[[#This Row],[Month]]&lt;=$D$19, $A$65*((($D$16/12)*(1+$D$16/12)^$D$19)/(((1+$D$16/12)^$D$19)-1)), 0)</f>
        <v>530.02103703632781</v>
      </c>
    </row>
    <row r="89" spans="1:17" x14ac:dyDescent="0.3">
      <c r="A89" s="20">
        <f t="shared" si="3"/>
        <v>17901.004785596338</v>
      </c>
      <c r="B89" s="9">
        <f>IF(Table4[[#This Row],[Month]]&lt;$B$20, A89*0, A89*($B$16/12))</f>
        <v>74.587519939984745</v>
      </c>
      <c r="C89" s="20">
        <f>IF((E89-B89)&lt;Table4[[#This Row],[Principal]], E89-B89, 0)</f>
        <v>461.92165255924431</v>
      </c>
      <c r="D89">
        <f t="shared" si="4"/>
        <v>25</v>
      </c>
      <c r="E89" s="9">
        <f t="shared" si="1"/>
        <v>536.50917249922907</v>
      </c>
      <c r="G89" s="20">
        <f t="shared" si="5"/>
        <v>13320.109888551422</v>
      </c>
      <c r="H89" s="9">
        <f>IF(Table48[[#This Row],[Month]]&lt;$C$20, G89*0, G89*($C$16/12))</f>
        <v>44.400366295171409</v>
      </c>
      <c r="I89" s="20">
        <f>IF(Table48[[#This Row],[Principal]]&gt;0, K89-H89, 0)</f>
        <v>597.52215716805836</v>
      </c>
      <c r="J89">
        <f t="shared" si="6"/>
        <v>25</v>
      </c>
      <c r="K89" s="9">
        <f t="shared" si="0"/>
        <v>641.92252346322982</v>
      </c>
      <c r="M89" s="20">
        <f t="shared" si="7"/>
        <v>16372.643296683756</v>
      </c>
      <c r="N89" s="9">
        <f>IF(Table49[[#This Row],[Month]]&lt;$D$20, M89*0, M89*($D$16/12))</f>
        <v>61.397412362564083</v>
      </c>
      <c r="O89" s="20">
        <f t="shared" si="2"/>
        <v>468.62362467376374</v>
      </c>
      <c r="P89">
        <f t="shared" si="8"/>
        <v>25</v>
      </c>
      <c r="Q89" s="9">
        <f>IF(Table49[[#This Row],[Month]]&lt;=$D$19, $A$65*((($D$16/12)*(1+$D$16/12)^$D$19)/(((1+$D$16/12)^$D$19)-1)), 0)</f>
        <v>530.02103703632781</v>
      </c>
    </row>
    <row r="90" spans="1:17" x14ac:dyDescent="0.3">
      <c r="A90" s="20">
        <f t="shared" si="3"/>
        <v>17439.083133037093</v>
      </c>
      <c r="B90" s="9">
        <f>IF(Table4[[#This Row],[Month]]&lt;$B$20, A90*0, A90*($B$16/12))</f>
        <v>72.662846387654554</v>
      </c>
      <c r="C90" s="20">
        <f>IF((E90-B90)&lt;Table4[[#This Row],[Principal]], E90-B90, 0)</f>
        <v>463.84632611157451</v>
      </c>
      <c r="D90">
        <f t="shared" si="4"/>
        <v>26</v>
      </c>
      <c r="E90" s="9">
        <f t="shared" si="1"/>
        <v>536.50917249922907</v>
      </c>
      <c r="G90" s="20">
        <f t="shared" si="5"/>
        <v>12722.587731383364</v>
      </c>
      <c r="H90" s="9">
        <f>IF(Table48[[#This Row],[Month]]&lt;$C$20, G90*0, G90*($C$16/12))</f>
        <v>42.408625771277883</v>
      </c>
      <c r="I90" s="20">
        <f>IF(Table48[[#This Row],[Principal]]&gt;0, K90-H90, 0)</f>
        <v>599.51389769195191</v>
      </c>
      <c r="J90">
        <f t="shared" si="6"/>
        <v>26</v>
      </c>
      <c r="K90" s="9">
        <f t="shared" si="0"/>
        <v>641.92252346322982</v>
      </c>
      <c r="M90" s="20">
        <f t="shared" si="7"/>
        <v>15904.019672009992</v>
      </c>
      <c r="N90" s="9">
        <f>IF(Table49[[#This Row],[Month]]&lt;$D$20, M90*0, M90*($D$16/12))</f>
        <v>59.640073770037468</v>
      </c>
      <c r="O90" s="20">
        <f t="shared" si="2"/>
        <v>470.38096326629034</v>
      </c>
      <c r="P90">
        <f t="shared" si="8"/>
        <v>26</v>
      </c>
      <c r="Q90" s="9">
        <f>IF(Table49[[#This Row],[Month]]&lt;=$D$19, $A$65*((($D$16/12)*(1+$D$16/12)^$D$19)/(((1+$D$16/12)^$D$19)-1)), 0)</f>
        <v>530.02103703632781</v>
      </c>
    </row>
    <row r="91" spans="1:17" x14ac:dyDescent="0.3">
      <c r="A91" s="20">
        <f t="shared" si="3"/>
        <v>16975.236806925517</v>
      </c>
      <c r="B91" s="9">
        <f>IF(Table4[[#This Row],[Month]]&lt;$B$20, A91*0, A91*($B$16/12))</f>
        <v>70.730153362189654</v>
      </c>
      <c r="C91" s="20">
        <f>IF((E91-B91)&lt;Table4[[#This Row],[Principal]], E91-B91, 0)</f>
        <v>465.77901913703943</v>
      </c>
      <c r="D91">
        <f t="shared" si="4"/>
        <v>27</v>
      </c>
      <c r="E91" s="9">
        <f t="shared" si="1"/>
        <v>536.50917249922907</v>
      </c>
      <c r="G91" s="20">
        <f t="shared" si="5"/>
        <v>12123.073833691413</v>
      </c>
      <c r="H91" s="9">
        <f>IF(Table48[[#This Row],[Month]]&lt;$C$20, G91*0, G91*($C$16/12))</f>
        <v>40.410246112304712</v>
      </c>
      <c r="I91" s="20">
        <f>IF(Table48[[#This Row],[Principal]]&gt;0, K91-H91, 0)</f>
        <v>601.51227735092516</v>
      </c>
      <c r="J91">
        <f t="shared" si="6"/>
        <v>27</v>
      </c>
      <c r="K91" s="9">
        <f t="shared" si="0"/>
        <v>641.92252346322982</v>
      </c>
      <c r="M91" s="20">
        <f t="shared" si="7"/>
        <v>15433.638708743701</v>
      </c>
      <c r="N91" s="9">
        <f>IF(Table49[[#This Row],[Month]]&lt;$D$20, M91*0, M91*($D$16/12))</f>
        <v>57.876145157788876</v>
      </c>
      <c r="O91" s="20">
        <f t="shared" si="2"/>
        <v>472.14489187853894</v>
      </c>
      <c r="P91">
        <f t="shared" si="8"/>
        <v>27</v>
      </c>
      <c r="Q91" s="9">
        <f>IF(Table49[[#This Row],[Month]]&lt;=$D$19, $A$65*((($D$16/12)*(1+$D$16/12)^$D$19)/(((1+$D$16/12)^$D$19)-1)), 0)</f>
        <v>530.02103703632781</v>
      </c>
    </row>
    <row r="92" spans="1:17" x14ac:dyDescent="0.3">
      <c r="A92" s="20">
        <f t="shared" si="3"/>
        <v>16509.457787788477</v>
      </c>
      <c r="B92" s="9">
        <f>IF(Table4[[#This Row],[Month]]&lt;$B$20, A92*0, A92*($B$16/12))</f>
        <v>68.789407449118656</v>
      </c>
      <c r="C92" s="20">
        <f>IF((E92-B92)&lt;Table4[[#This Row],[Principal]], E92-B92, 0)</f>
        <v>467.71976505011042</v>
      </c>
      <c r="D92">
        <f t="shared" si="4"/>
        <v>28</v>
      </c>
      <c r="E92" s="9">
        <f t="shared" si="1"/>
        <v>536.50917249922907</v>
      </c>
      <c r="G92" s="20">
        <f t="shared" si="5"/>
        <v>11521.561556340488</v>
      </c>
      <c r="H92" s="9">
        <f>IF(Table48[[#This Row],[Month]]&lt;$C$20, G92*0, G92*($C$16/12))</f>
        <v>38.405205187801627</v>
      </c>
      <c r="I92" s="20">
        <f>IF(Table48[[#This Row],[Principal]]&gt;0, K92-H92, 0)</f>
        <v>603.51731827542824</v>
      </c>
      <c r="J92">
        <f t="shared" si="6"/>
        <v>28</v>
      </c>
      <c r="K92" s="9">
        <f t="shared" si="0"/>
        <v>641.92252346322982</v>
      </c>
      <c r="M92" s="20">
        <f t="shared" si="7"/>
        <v>14961.493816865162</v>
      </c>
      <c r="N92" s="9">
        <f>IF(Table49[[#This Row],[Month]]&lt;$D$20, M92*0, M92*($D$16/12))</f>
        <v>56.105601813244355</v>
      </c>
      <c r="O92" s="20">
        <f t="shared" si="2"/>
        <v>473.91543522308348</v>
      </c>
      <c r="P92">
        <f t="shared" si="8"/>
        <v>28</v>
      </c>
      <c r="Q92" s="9">
        <f>IF(Table49[[#This Row],[Month]]&lt;=$D$19, $A$65*((($D$16/12)*(1+$D$16/12)^$D$19)/(((1+$D$16/12)^$D$19)-1)), 0)</f>
        <v>530.02103703632781</v>
      </c>
    </row>
    <row r="93" spans="1:17" x14ac:dyDescent="0.3">
      <c r="A93" s="20">
        <f t="shared" si="3"/>
        <v>16041.738022738366</v>
      </c>
      <c r="B93" s="9">
        <f>IF(Table4[[#This Row],[Month]]&lt;$B$20, A93*0, A93*($B$16/12))</f>
        <v>66.840575094743187</v>
      </c>
      <c r="C93" s="20">
        <f>IF((E93-B93)&lt;Table4[[#This Row],[Principal]], E93-B93, 0)</f>
        <v>469.66859740448587</v>
      </c>
      <c r="D93">
        <f t="shared" si="4"/>
        <v>29</v>
      </c>
      <c r="E93" s="9">
        <f t="shared" si="1"/>
        <v>536.50917249922907</v>
      </c>
      <c r="G93" s="20">
        <f t="shared" si="5"/>
        <v>10918.04423806506</v>
      </c>
      <c r="H93" s="9">
        <f>IF(Table48[[#This Row],[Month]]&lt;$C$20, G93*0, G93*($C$16/12))</f>
        <v>36.393480793550204</v>
      </c>
      <c r="I93" s="20">
        <f>IF(Table48[[#This Row],[Principal]]&gt;0, K93-H93, 0)</f>
        <v>605.5290426696796</v>
      </c>
      <c r="J93">
        <f t="shared" si="6"/>
        <v>29</v>
      </c>
      <c r="K93" s="9">
        <f t="shared" si="0"/>
        <v>641.92252346322982</v>
      </c>
      <c r="M93" s="20">
        <f t="shared" si="7"/>
        <v>14487.578381642079</v>
      </c>
      <c r="N93" s="9">
        <f>IF(Table49[[#This Row],[Month]]&lt;$D$20, M93*0, M93*($D$16/12))</f>
        <v>54.328418931157792</v>
      </c>
      <c r="O93" s="20">
        <f t="shared" si="2"/>
        <v>475.69261810517003</v>
      </c>
      <c r="P93">
        <f t="shared" si="8"/>
        <v>29</v>
      </c>
      <c r="Q93" s="9">
        <f>IF(Table49[[#This Row],[Month]]&lt;=$D$19, $A$65*((($D$16/12)*(1+$D$16/12)^$D$19)/(((1+$D$16/12)^$D$19)-1)), 0)</f>
        <v>530.02103703632781</v>
      </c>
    </row>
    <row r="94" spans="1:17" x14ac:dyDescent="0.3">
      <c r="A94" s="20">
        <f t="shared" si="3"/>
        <v>15572.069425333879</v>
      </c>
      <c r="B94" s="9">
        <f>IF(Table4[[#This Row],[Month]]&lt;$B$20, A94*0, A94*($B$16/12))</f>
        <v>64.883622605557832</v>
      </c>
      <c r="C94" s="20">
        <f>IF((E94-B94)&lt;Table4[[#This Row],[Principal]], E94-B94, 0)</f>
        <v>471.62554989367123</v>
      </c>
      <c r="D94">
        <f t="shared" si="4"/>
        <v>30</v>
      </c>
      <c r="E94" s="9">
        <f t="shared" si="1"/>
        <v>536.50917249922907</v>
      </c>
      <c r="G94" s="20">
        <f t="shared" si="5"/>
        <v>10312.515195395381</v>
      </c>
      <c r="H94" s="9">
        <f>IF(Table48[[#This Row],[Month]]&lt;$C$20, G94*0, G94*($C$16/12))</f>
        <v>34.375050651317942</v>
      </c>
      <c r="I94" s="20">
        <f>IF(Table48[[#This Row],[Principal]]&gt;0, K94-H94, 0)</f>
        <v>607.54747281191192</v>
      </c>
      <c r="J94">
        <f t="shared" si="6"/>
        <v>30</v>
      </c>
      <c r="K94" s="9">
        <f t="shared" si="0"/>
        <v>641.92252346322982</v>
      </c>
      <c r="M94" s="20">
        <f t="shared" si="7"/>
        <v>14011.88576353691</v>
      </c>
      <c r="N94" s="9">
        <f>IF(Table49[[#This Row],[Month]]&lt;$D$20, M94*0, M94*($D$16/12))</f>
        <v>52.544571613263408</v>
      </c>
      <c r="O94" s="20">
        <f t="shared" si="2"/>
        <v>477.47646542306438</v>
      </c>
      <c r="P94">
        <f t="shared" si="8"/>
        <v>30</v>
      </c>
      <c r="Q94" s="9">
        <f>IF(Table49[[#This Row],[Month]]&lt;=$D$19, $A$65*((($D$16/12)*(1+$D$16/12)^$D$19)/(((1+$D$16/12)^$D$19)-1)), 0)</f>
        <v>530.02103703632781</v>
      </c>
    </row>
    <row r="95" spans="1:17" x14ac:dyDescent="0.3">
      <c r="A95" s="20">
        <f t="shared" si="3"/>
        <v>15100.443875440207</v>
      </c>
      <c r="B95" s="9">
        <f>IF(Table4[[#This Row],[Month]]&lt;$B$20, A95*0, A95*($B$16/12))</f>
        <v>62.918516147667532</v>
      </c>
      <c r="C95" s="20">
        <f>IF((E95-B95)&lt;Table4[[#This Row],[Principal]], E95-B95, 0)</f>
        <v>473.59065635156151</v>
      </c>
      <c r="D95">
        <f t="shared" si="4"/>
        <v>31</v>
      </c>
      <c r="E95" s="9">
        <f t="shared" si="1"/>
        <v>536.50917249922907</v>
      </c>
      <c r="G95" s="20">
        <f t="shared" si="5"/>
        <v>9704.9677225834694</v>
      </c>
      <c r="H95" s="9">
        <f>IF(Table48[[#This Row],[Month]]&lt;$C$20, G95*0, G95*($C$16/12))</f>
        <v>32.349892408611566</v>
      </c>
      <c r="I95" s="20">
        <f>IF(Table48[[#This Row],[Principal]]&gt;0, K95-H95, 0)</f>
        <v>609.57263105461823</v>
      </c>
      <c r="J95">
        <f t="shared" si="6"/>
        <v>31</v>
      </c>
      <c r="K95" s="9">
        <f t="shared" si="0"/>
        <v>641.92252346322982</v>
      </c>
      <c r="M95" s="20">
        <f t="shared" si="7"/>
        <v>13534.409298113846</v>
      </c>
      <c r="N95" s="9">
        <f>IF(Table49[[#This Row],[Month]]&lt;$D$20, M95*0, M95*($D$16/12))</f>
        <v>50.754034867926919</v>
      </c>
      <c r="O95" s="20">
        <f t="shared" si="2"/>
        <v>479.26700216840089</v>
      </c>
      <c r="P95">
        <f t="shared" si="8"/>
        <v>31</v>
      </c>
      <c r="Q95" s="9">
        <f>IF(Table49[[#This Row],[Month]]&lt;=$D$19, $A$65*((($D$16/12)*(1+$D$16/12)^$D$19)/(((1+$D$16/12)^$D$19)-1)), 0)</f>
        <v>530.02103703632781</v>
      </c>
    </row>
    <row r="96" spans="1:17" x14ac:dyDescent="0.3">
      <c r="A96" s="20">
        <f t="shared" si="3"/>
        <v>14626.853219088645</v>
      </c>
      <c r="B96" s="9">
        <f>IF(Table4[[#This Row],[Month]]&lt;$B$20, A96*0, A96*($B$16/12))</f>
        <v>60.945221746202691</v>
      </c>
      <c r="C96" s="20">
        <f>IF((E96-B96)&lt;Table4[[#This Row],[Principal]], E96-B96, 0)</f>
        <v>475.56395075302635</v>
      </c>
      <c r="D96">
        <f t="shared" si="4"/>
        <v>32</v>
      </c>
      <c r="E96" s="9">
        <f t="shared" si="1"/>
        <v>536.50917249922907</v>
      </c>
      <c r="G96" s="20">
        <f t="shared" si="5"/>
        <v>9095.3950915288515</v>
      </c>
      <c r="H96" s="9">
        <f>IF(Table48[[#This Row],[Month]]&lt;$C$20, G96*0, G96*($C$16/12))</f>
        <v>30.317983638429506</v>
      </c>
      <c r="I96" s="20">
        <f>IF(Table48[[#This Row],[Principal]]&gt;0, K96-H96, 0)</f>
        <v>611.60453982480033</v>
      </c>
      <c r="J96">
        <f t="shared" si="6"/>
        <v>32</v>
      </c>
      <c r="K96" s="9">
        <f t="shared" si="0"/>
        <v>641.92252346322982</v>
      </c>
      <c r="M96" s="20">
        <f t="shared" si="7"/>
        <v>13055.142295945445</v>
      </c>
      <c r="N96" s="9">
        <f>IF(Table49[[#This Row],[Month]]&lt;$D$20, M96*0, M96*($D$16/12))</f>
        <v>48.956783609795416</v>
      </c>
      <c r="O96" s="20">
        <f t="shared" si="2"/>
        <v>481.06425342653239</v>
      </c>
      <c r="P96">
        <f t="shared" si="8"/>
        <v>32</v>
      </c>
      <c r="Q96" s="9">
        <f>IF(Table49[[#This Row],[Month]]&lt;=$D$19, $A$65*((($D$16/12)*(1+$D$16/12)^$D$19)/(((1+$D$16/12)^$D$19)-1)), 0)</f>
        <v>530.02103703632781</v>
      </c>
    </row>
    <row r="97" spans="1:17" x14ac:dyDescent="0.3">
      <c r="A97" s="20">
        <f t="shared" si="3"/>
        <v>14151.289268335619</v>
      </c>
      <c r="B97" s="9">
        <f>IF(Table4[[#This Row],[Month]]&lt;$B$20, A97*0, A97*($B$16/12))</f>
        <v>58.963705284731745</v>
      </c>
      <c r="C97" s="20">
        <f>IF((E97-B97)&lt;Table4[[#This Row],[Principal]], E97-B97, 0)</f>
        <v>477.54546721449731</v>
      </c>
      <c r="D97">
        <f t="shared" si="4"/>
        <v>33</v>
      </c>
      <c r="E97" s="9">
        <f t="shared" ref="E97:E128" si="9">$A$65*((($B$16/12)*(1+$B$16/12)^$B$19)/(((1+$B$16/12)^$B$19)-1))</f>
        <v>536.50917249922907</v>
      </c>
      <c r="G97" s="20">
        <f t="shared" si="5"/>
        <v>8483.7905517040508</v>
      </c>
      <c r="H97" s="9">
        <f>IF(Table48[[#This Row],[Month]]&lt;$C$20, G97*0, G97*($C$16/12))</f>
        <v>28.279301839013506</v>
      </c>
      <c r="I97" s="20">
        <f>IF(Table48[[#This Row],[Principal]]&gt;0, K97-H97, 0)</f>
        <v>613.64322162421627</v>
      </c>
      <c r="J97">
        <f t="shared" si="6"/>
        <v>33</v>
      </c>
      <c r="K97" s="9">
        <f t="shared" ref="K97:K128" si="10">$A$65*((($C$16/12)*(1+$C$16/12)^$C$19)/(((1+$C$16/12)^$C$19)-1))</f>
        <v>641.92252346322982</v>
      </c>
      <c r="M97" s="20">
        <f t="shared" si="7"/>
        <v>12574.078042518913</v>
      </c>
      <c r="N97" s="9">
        <f>IF(Table49[[#This Row],[Month]]&lt;$D$20, M97*0, M97*($D$16/12))</f>
        <v>47.152792659445922</v>
      </c>
      <c r="O97" s="20">
        <f t="shared" si="2"/>
        <v>482.86824437688188</v>
      </c>
      <c r="P97">
        <f t="shared" si="8"/>
        <v>33</v>
      </c>
      <c r="Q97" s="9">
        <f>IF(Table49[[#This Row],[Month]]&lt;=$D$19, $A$65*((($D$16/12)*(1+$D$16/12)^$D$19)/(((1+$D$16/12)^$D$19)-1)), 0)</f>
        <v>530.02103703632781</v>
      </c>
    </row>
    <row r="98" spans="1:17" x14ac:dyDescent="0.3">
      <c r="A98" s="20">
        <f t="shared" si="3"/>
        <v>13673.743801121122</v>
      </c>
      <c r="B98" s="9">
        <f>IF(Table4[[#This Row],[Month]]&lt;$B$20, A98*0, A98*($B$16/12))</f>
        <v>56.973932504671339</v>
      </c>
      <c r="C98" s="20">
        <f>IF((E98-B98)&lt;Table4[[#This Row],[Principal]], E98-B98, 0)</f>
        <v>479.53523999455774</v>
      </c>
      <c r="D98">
        <f t="shared" si="4"/>
        <v>34</v>
      </c>
      <c r="E98" s="9">
        <f t="shared" si="9"/>
        <v>536.50917249922907</v>
      </c>
      <c r="G98" s="20">
        <f t="shared" si="5"/>
        <v>7870.1473300798343</v>
      </c>
      <c r="H98" s="9">
        <f>IF(Table48[[#This Row],[Month]]&lt;$C$20, G98*0, G98*($C$16/12))</f>
        <v>26.233824433599448</v>
      </c>
      <c r="I98" s="20">
        <f>IF(Table48[[#This Row],[Principal]]&gt;0, K98-H98, 0)</f>
        <v>615.68869902963036</v>
      </c>
      <c r="J98">
        <f t="shared" si="6"/>
        <v>34</v>
      </c>
      <c r="K98" s="9">
        <f t="shared" si="10"/>
        <v>641.92252346322982</v>
      </c>
      <c r="M98" s="20">
        <f t="shared" si="7"/>
        <v>12091.209798142032</v>
      </c>
      <c r="N98" s="9">
        <f>IF(Table49[[#This Row],[Month]]&lt;$D$20, M98*0, M98*($D$16/12))</f>
        <v>45.342036743032615</v>
      </c>
      <c r="O98" s="20">
        <f t="shared" si="2"/>
        <v>484.67900029329519</v>
      </c>
      <c r="P98">
        <f t="shared" si="8"/>
        <v>34</v>
      </c>
      <c r="Q98" s="9">
        <f>IF(Table49[[#This Row],[Month]]&lt;=$D$19, $A$65*((($D$16/12)*(1+$D$16/12)^$D$19)/(((1+$D$16/12)^$D$19)-1)), 0)</f>
        <v>530.02103703632781</v>
      </c>
    </row>
    <row r="99" spans="1:17" x14ac:dyDescent="0.3">
      <c r="A99" s="20">
        <f t="shared" si="3"/>
        <v>13194.208561126565</v>
      </c>
      <c r="B99" s="9">
        <f>IF(Table4[[#This Row],[Month]]&lt;$B$20, A99*0, A99*($B$16/12))</f>
        <v>54.975869004694019</v>
      </c>
      <c r="C99" s="20">
        <f>IF((E99-B99)&lt;Table4[[#This Row],[Principal]], E99-B99, 0)</f>
        <v>481.53330349453506</v>
      </c>
      <c r="D99">
        <f t="shared" si="4"/>
        <v>35</v>
      </c>
      <c r="E99" s="9">
        <f t="shared" si="9"/>
        <v>536.50917249922907</v>
      </c>
      <c r="G99" s="20">
        <f t="shared" si="5"/>
        <v>7254.4586310502036</v>
      </c>
      <c r="H99" s="9">
        <f>IF(Table48[[#This Row],[Month]]&lt;$C$20, G99*0, G99*($C$16/12))</f>
        <v>24.181528770167347</v>
      </c>
      <c r="I99" s="20">
        <f>IF(Table48[[#This Row],[Principal]]&gt;0, K99-H99, 0)</f>
        <v>617.74099469306248</v>
      </c>
      <c r="J99">
        <f t="shared" si="6"/>
        <v>35</v>
      </c>
      <c r="K99" s="9">
        <f t="shared" si="10"/>
        <v>641.92252346322982</v>
      </c>
      <c r="M99" s="20">
        <f t="shared" si="7"/>
        <v>11606.530797848736</v>
      </c>
      <c r="N99" s="9">
        <f>IF(Table49[[#This Row],[Month]]&lt;$D$20, M99*0, M99*($D$16/12))</f>
        <v>43.52449049193276</v>
      </c>
      <c r="O99" s="20">
        <f t="shared" si="2"/>
        <v>486.49654654439507</v>
      </c>
      <c r="P99">
        <f t="shared" si="8"/>
        <v>35</v>
      </c>
      <c r="Q99" s="9">
        <f>IF(Table49[[#This Row],[Month]]&lt;=$D$19, $A$65*((($D$16/12)*(1+$D$16/12)^$D$19)/(((1+$D$16/12)^$D$19)-1)), 0)</f>
        <v>530.02103703632781</v>
      </c>
    </row>
    <row r="100" spans="1:17" x14ac:dyDescent="0.3">
      <c r="A100" s="20">
        <f t="shared" si="3"/>
        <v>12712.67525763203</v>
      </c>
      <c r="B100" s="9">
        <f>IF(Table4[[#This Row],[Month]]&lt;$B$20, A100*0, A100*($B$16/12))</f>
        <v>52.969480240133457</v>
      </c>
      <c r="C100" s="20">
        <f>IF((E100-B100)&lt;Table4[[#This Row],[Principal]], E100-B100, 0)</f>
        <v>483.5396922590956</v>
      </c>
      <c r="D100">
        <f t="shared" si="4"/>
        <v>36</v>
      </c>
      <c r="E100" s="9">
        <f t="shared" si="9"/>
        <v>536.50917249922907</v>
      </c>
      <c r="G100" s="20">
        <f t="shared" si="5"/>
        <v>6636.7176363571416</v>
      </c>
      <c r="H100" s="9">
        <f>IF(Table48[[#This Row],[Month]]&lt;$C$20, G100*0, G100*($C$16/12))</f>
        <v>22.122392121190472</v>
      </c>
      <c r="I100" s="20">
        <f>IF(Table48[[#This Row],[Principal]]&gt;0, K100-H100, 0)</f>
        <v>619.80013134203932</v>
      </c>
      <c r="J100">
        <f t="shared" si="6"/>
        <v>36</v>
      </c>
      <c r="K100" s="9">
        <f t="shared" si="10"/>
        <v>641.92252346322982</v>
      </c>
      <c r="M100" s="20">
        <f t="shared" si="7"/>
        <v>11120.034251304342</v>
      </c>
      <c r="N100" s="9">
        <f>IF(Table49[[#This Row],[Month]]&lt;$D$20, M100*0, M100*($D$16/12))</f>
        <v>41.700128442391282</v>
      </c>
      <c r="O100" s="20">
        <f t="shared" si="2"/>
        <v>488.32090859393651</v>
      </c>
      <c r="P100">
        <f t="shared" si="8"/>
        <v>36</v>
      </c>
      <c r="Q100" s="9">
        <f>IF(Table49[[#This Row],[Month]]&lt;=$D$19, $A$65*((($D$16/12)*(1+$D$16/12)^$D$19)/(((1+$D$16/12)^$D$19)-1)), 0)</f>
        <v>530.02103703632781</v>
      </c>
    </row>
    <row r="101" spans="1:17" x14ac:dyDescent="0.3">
      <c r="A101" s="20">
        <f t="shared" si="3"/>
        <v>12229.135565372935</v>
      </c>
      <c r="B101" s="9">
        <f>IF(Table4[[#This Row],[Month]]&lt;$B$20, A101*0, A101*($B$16/12))</f>
        <v>50.954731522387227</v>
      </c>
      <c r="C101" s="20">
        <f>IF((E101-B101)&lt;Table4[[#This Row],[Principal]], E101-B101, 0)</f>
        <v>485.55444097684182</v>
      </c>
      <c r="D101">
        <f t="shared" si="4"/>
        <v>37</v>
      </c>
      <c r="E101" s="9">
        <f t="shared" si="9"/>
        <v>536.50917249922907</v>
      </c>
      <c r="G101" s="20">
        <f t="shared" si="5"/>
        <v>6016.9175050151025</v>
      </c>
      <c r="H101" s="9">
        <f>IF(Table48[[#This Row],[Month]]&lt;$C$20, G101*0, G101*($C$16/12))</f>
        <v>20.056391683383676</v>
      </c>
      <c r="I101" s="20">
        <f>IF(Table48[[#This Row],[Principal]]&gt;0, K101-H101, 0)</f>
        <v>621.86613177984611</v>
      </c>
      <c r="J101">
        <f t="shared" si="6"/>
        <v>37</v>
      </c>
      <c r="K101" s="9">
        <f t="shared" si="10"/>
        <v>641.92252346322982</v>
      </c>
      <c r="M101" s="20">
        <f t="shared" si="7"/>
        <v>10631.713342710405</v>
      </c>
      <c r="N101" s="9">
        <f>IF(Table49[[#This Row],[Month]]&lt;$D$20, M101*0, M101*($D$16/12))</f>
        <v>39.868925035164018</v>
      </c>
      <c r="O101" s="20">
        <f t="shared" si="2"/>
        <v>490.1521120011638</v>
      </c>
      <c r="P101">
        <f t="shared" si="8"/>
        <v>37</v>
      </c>
      <c r="Q101" s="9">
        <f>IF(Table49[[#This Row],[Month]]&lt;=$D$19, $A$65*((($D$16/12)*(1+$D$16/12)^$D$19)/(((1+$D$16/12)^$D$19)-1)), 0)</f>
        <v>530.02103703632781</v>
      </c>
    </row>
    <row r="102" spans="1:17" x14ac:dyDescent="0.3">
      <c r="A102" s="20">
        <f t="shared" si="3"/>
        <v>11743.581124396092</v>
      </c>
      <c r="B102" s="9">
        <f>IF(Table4[[#This Row],[Month]]&lt;$B$20, A102*0, A102*($B$16/12))</f>
        <v>48.931588018317051</v>
      </c>
      <c r="C102" s="20">
        <f>IF((E102-B102)&lt;Table4[[#This Row],[Principal]], E102-B102, 0)</f>
        <v>487.57758448091204</v>
      </c>
      <c r="D102">
        <f t="shared" si="4"/>
        <v>38</v>
      </c>
      <c r="E102" s="9">
        <f t="shared" si="9"/>
        <v>536.50917249922907</v>
      </c>
      <c r="G102" s="20">
        <f t="shared" si="5"/>
        <v>5395.0513732352565</v>
      </c>
      <c r="H102" s="9">
        <f>IF(Table48[[#This Row],[Month]]&lt;$C$20, G102*0, G102*($C$16/12))</f>
        <v>17.983504577450855</v>
      </c>
      <c r="I102" s="20">
        <f>IF(Table48[[#This Row],[Principal]]&gt;0, K102-H102, 0)</f>
        <v>623.93901888577898</v>
      </c>
      <c r="J102">
        <f t="shared" si="6"/>
        <v>38</v>
      </c>
      <c r="K102" s="9">
        <f t="shared" si="10"/>
        <v>641.92252346322982</v>
      </c>
      <c r="M102" s="20">
        <f t="shared" si="7"/>
        <v>10141.561230709241</v>
      </c>
      <c r="N102" s="9">
        <f>IF(Table49[[#This Row],[Month]]&lt;$D$20, M102*0, M102*($D$16/12))</f>
        <v>38.030854615159654</v>
      </c>
      <c r="O102" s="20">
        <f t="shared" si="2"/>
        <v>491.99018242116813</v>
      </c>
      <c r="P102">
        <f t="shared" si="8"/>
        <v>38</v>
      </c>
      <c r="Q102" s="9">
        <f>IF(Table49[[#This Row],[Month]]&lt;=$D$19, $A$65*((($D$16/12)*(1+$D$16/12)^$D$19)/(((1+$D$16/12)^$D$19)-1)), 0)</f>
        <v>530.02103703632781</v>
      </c>
    </row>
    <row r="103" spans="1:17" x14ac:dyDescent="0.3">
      <c r="A103" s="20">
        <f t="shared" si="3"/>
        <v>11256.00353991518</v>
      </c>
      <c r="B103" s="9">
        <f>IF(Table4[[#This Row],[Month]]&lt;$B$20, A103*0, A103*($B$16/12))</f>
        <v>46.900014749646587</v>
      </c>
      <c r="C103" s="20">
        <f>IF((E103-B103)&lt;Table4[[#This Row],[Principal]], E103-B103, 0)</f>
        <v>489.60915774958249</v>
      </c>
      <c r="D103">
        <f t="shared" si="4"/>
        <v>39</v>
      </c>
      <c r="E103" s="9">
        <f t="shared" si="9"/>
        <v>536.50917249922907</v>
      </c>
      <c r="G103" s="20">
        <f t="shared" si="5"/>
        <v>4771.1123543494778</v>
      </c>
      <c r="H103" s="9">
        <f>IF(Table48[[#This Row],[Month]]&lt;$C$20, G103*0, G103*($C$16/12))</f>
        <v>15.903707847831594</v>
      </c>
      <c r="I103" s="20">
        <f>IF(Table48[[#This Row],[Principal]]&gt;0, K103-H103, 0)</f>
        <v>626.01881561539824</v>
      </c>
      <c r="J103">
        <f t="shared" si="6"/>
        <v>39</v>
      </c>
      <c r="K103" s="9">
        <f t="shared" si="10"/>
        <v>641.92252346322982</v>
      </c>
      <c r="M103" s="20">
        <f t="shared" si="7"/>
        <v>9649.5710482880731</v>
      </c>
      <c r="N103" s="9">
        <f>IF(Table49[[#This Row],[Month]]&lt;$D$20, M103*0, M103*($D$16/12))</f>
        <v>36.185891431080272</v>
      </c>
      <c r="O103" s="20">
        <f t="shared" si="2"/>
        <v>493.83514560524753</v>
      </c>
      <c r="P103">
        <f t="shared" si="8"/>
        <v>39</v>
      </c>
      <c r="Q103" s="9">
        <f>IF(Table49[[#This Row],[Month]]&lt;=$D$19, $A$65*((($D$16/12)*(1+$D$16/12)^$D$19)/(((1+$D$16/12)^$D$19)-1)), 0)</f>
        <v>530.02103703632781</v>
      </c>
    </row>
    <row r="104" spans="1:17" x14ac:dyDescent="0.3">
      <c r="A104" s="20">
        <f t="shared" si="3"/>
        <v>10766.394382165598</v>
      </c>
      <c r="B104" s="9">
        <f>IF(Table4[[#This Row],[Month]]&lt;$B$20, A104*0, A104*($B$16/12))</f>
        <v>44.859976592356659</v>
      </c>
      <c r="C104" s="20">
        <f>IF((E104-B104)&lt;Table4[[#This Row],[Principal]], E104-B104, 0)</f>
        <v>491.64919590687242</v>
      </c>
      <c r="D104">
        <f t="shared" si="4"/>
        <v>40</v>
      </c>
      <c r="E104" s="9">
        <f t="shared" si="9"/>
        <v>536.50917249922907</v>
      </c>
      <c r="G104" s="20">
        <f t="shared" si="5"/>
        <v>4145.0935387340796</v>
      </c>
      <c r="H104" s="9">
        <f>IF(Table48[[#This Row],[Month]]&lt;$C$20, G104*0, G104*($C$16/12))</f>
        <v>13.816978462446933</v>
      </c>
      <c r="I104" s="20">
        <f>IF(Table48[[#This Row],[Principal]]&gt;0, K104-H104, 0)</f>
        <v>628.10554500078285</v>
      </c>
      <c r="J104">
        <f t="shared" si="6"/>
        <v>40</v>
      </c>
      <c r="K104" s="9">
        <f t="shared" si="10"/>
        <v>641.92252346322982</v>
      </c>
      <c r="M104" s="20">
        <f t="shared" si="7"/>
        <v>9155.7359026828253</v>
      </c>
      <c r="N104" s="9">
        <f>IF(Table49[[#This Row],[Month]]&lt;$D$20, M104*0, M104*($D$16/12))</f>
        <v>34.334009635060596</v>
      </c>
      <c r="O104" s="20">
        <f t="shared" si="2"/>
        <v>495.68702740126719</v>
      </c>
      <c r="P104">
        <f t="shared" si="8"/>
        <v>40</v>
      </c>
      <c r="Q104" s="9">
        <f>IF(Table49[[#This Row],[Month]]&lt;=$D$19, $A$65*((($D$16/12)*(1+$D$16/12)^$D$19)/(((1+$D$16/12)^$D$19)-1)), 0)</f>
        <v>530.02103703632781</v>
      </c>
    </row>
    <row r="105" spans="1:17" x14ac:dyDescent="0.3">
      <c r="A105" s="20">
        <f t="shared" si="3"/>
        <v>10274.745186258726</v>
      </c>
      <c r="B105" s="9">
        <f>IF(Table4[[#This Row],[Month]]&lt;$B$20, A105*0, A105*($B$16/12))</f>
        <v>42.811438276078022</v>
      </c>
      <c r="C105" s="20">
        <f>IF((E105-B105)&lt;Table4[[#This Row],[Principal]], E105-B105, 0)</f>
        <v>493.69773422315103</v>
      </c>
      <c r="D105">
        <f t="shared" si="4"/>
        <v>41</v>
      </c>
      <c r="E105" s="9">
        <f t="shared" si="9"/>
        <v>536.50917249922907</v>
      </c>
      <c r="G105" s="20">
        <f t="shared" si="5"/>
        <v>3516.9879937332967</v>
      </c>
      <c r="H105" s="9">
        <f>IF(Table48[[#This Row],[Month]]&lt;$C$20, G105*0, G105*($C$16/12))</f>
        <v>11.723293312444323</v>
      </c>
      <c r="I105" s="20">
        <f>IF(Table48[[#This Row],[Principal]]&gt;0, K105-H105, 0)</f>
        <v>630.19923015078552</v>
      </c>
      <c r="J105">
        <f t="shared" si="6"/>
        <v>41</v>
      </c>
      <c r="K105" s="9">
        <f t="shared" si="10"/>
        <v>641.92252346322982</v>
      </c>
      <c r="M105" s="20">
        <f t="shared" si="7"/>
        <v>8660.0488752815581</v>
      </c>
      <c r="N105" s="9">
        <f>IF(Table49[[#This Row],[Month]]&lt;$D$20, M105*0, M105*($D$16/12))</f>
        <v>32.475183282305842</v>
      </c>
      <c r="O105" s="20">
        <f t="shared" si="2"/>
        <v>497.54585375402195</v>
      </c>
      <c r="P105">
        <f t="shared" si="8"/>
        <v>41</v>
      </c>
      <c r="Q105" s="9">
        <f>IF(Table49[[#This Row],[Month]]&lt;=$D$19, $A$65*((($D$16/12)*(1+$D$16/12)^$D$19)/(((1+$D$16/12)^$D$19)-1)), 0)</f>
        <v>530.02103703632781</v>
      </c>
    </row>
    <row r="106" spans="1:17" x14ac:dyDescent="0.3">
      <c r="A106" s="20">
        <f t="shared" si="3"/>
        <v>9781.0474520355747</v>
      </c>
      <c r="B106" s="9">
        <f>IF(Table4[[#This Row],[Month]]&lt;$B$20, A106*0, A106*($B$16/12))</f>
        <v>40.754364383481558</v>
      </c>
      <c r="C106" s="20">
        <f>IF((E106-B106)&lt;Table4[[#This Row],[Principal]], E106-B106, 0)</f>
        <v>495.75480811574749</v>
      </c>
      <c r="D106">
        <f t="shared" si="4"/>
        <v>42</v>
      </c>
      <c r="E106" s="9">
        <f t="shared" si="9"/>
        <v>536.50917249922907</v>
      </c>
      <c r="G106" s="20">
        <f t="shared" si="5"/>
        <v>2886.7887635825109</v>
      </c>
      <c r="H106" s="9">
        <f>IF(Table48[[#This Row],[Month]]&lt;$C$20, G106*0, G106*($C$16/12))</f>
        <v>9.6226292119417032</v>
      </c>
      <c r="I106" s="20">
        <f>IF(Table48[[#This Row],[Principal]]&gt;0, K106-H106, 0)</f>
        <v>632.29989425128815</v>
      </c>
      <c r="J106">
        <f t="shared" si="6"/>
        <v>42</v>
      </c>
      <c r="K106" s="9">
        <f t="shared" si="10"/>
        <v>641.92252346322982</v>
      </c>
      <c r="M106" s="20">
        <f t="shared" si="7"/>
        <v>8162.5030215275365</v>
      </c>
      <c r="N106" s="9">
        <f>IF(Table49[[#This Row],[Month]]&lt;$D$20, M106*0, M106*($D$16/12))</f>
        <v>30.60938633072826</v>
      </c>
      <c r="O106" s="20">
        <f t="shared" si="2"/>
        <v>499.41165070559953</v>
      </c>
      <c r="P106">
        <f t="shared" si="8"/>
        <v>42</v>
      </c>
      <c r="Q106" s="9">
        <f>IF(Table49[[#This Row],[Month]]&lt;=$D$19, $A$65*((($D$16/12)*(1+$D$16/12)^$D$19)/(((1+$D$16/12)^$D$19)-1)), 0)</f>
        <v>530.02103703632781</v>
      </c>
    </row>
    <row r="107" spans="1:17" x14ac:dyDescent="0.3">
      <c r="A107" s="20">
        <f t="shared" si="3"/>
        <v>9285.2926439198272</v>
      </c>
      <c r="B107" s="9">
        <f>IF(Table4[[#This Row],[Month]]&lt;$B$20, A107*0, A107*($B$16/12))</f>
        <v>38.688719349665945</v>
      </c>
      <c r="C107" s="20">
        <f>IF((E107-B107)&lt;Table4[[#This Row],[Principal]], E107-B107, 0)</f>
        <v>497.82045314956315</v>
      </c>
      <c r="D107">
        <f t="shared" si="4"/>
        <v>43</v>
      </c>
      <c r="E107" s="9">
        <f t="shared" si="9"/>
        <v>536.50917249922907</v>
      </c>
      <c r="G107" s="20">
        <f t="shared" si="5"/>
        <v>2254.4888693312228</v>
      </c>
      <c r="H107" s="9">
        <f>IF(Table48[[#This Row],[Month]]&lt;$C$20, G107*0, G107*($C$16/12))</f>
        <v>7.5149628977707428</v>
      </c>
      <c r="I107" s="20">
        <f>IF(Table48[[#This Row],[Principal]]&gt;0, K107-H107, 0)</f>
        <v>634.40756056545911</v>
      </c>
      <c r="J107">
        <f t="shared" si="6"/>
        <v>43</v>
      </c>
      <c r="K107" s="9">
        <f t="shared" si="10"/>
        <v>641.92252346322982</v>
      </c>
      <c r="M107" s="20">
        <f t="shared" si="7"/>
        <v>7663.0913708219368</v>
      </c>
      <c r="N107" s="9">
        <f>IF(Table49[[#This Row],[Month]]&lt;$D$20, M107*0, M107*($D$16/12))</f>
        <v>28.736592640582263</v>
      </c>
      <c r="O107" s="20">
        <f t="shared" si="2"/>
        <v>501.28444439574554</v>
      </c>
      <c r="P107">
        <f t="shared" si="8"/>
        <v>43</v>
      </c>
      <c r="Q107" s="9">
        <f>IF(Table49[[#This Row],[Month]]&lt;=$D$19, $A$65*((($D$16/12)*(1+$D$16/12)^$D$19)/(((1+$D$16/12)^$D$19)-1)), 0)</f>
        <v>530.02103703632781</v>
      </c>
    </row>
    <row r="108" spans="1:17" x14ac:dyDescent="0.3">
      <c r="A108" s="20">
        <f t="shared" si="3"/>
        <v>8787.4721907702642</v>
      </c>
      <c r="B108" s="9">
        <f>IF(Table4[[#This Row],[Month]]&lt;$B$20, A108*0, A108*($B$16/12))</f>
        <v>36.614467461542766</v>
      </c>
      <c r="C108" s="20">
        <f>IF((E108-B108)&lt;Table4[[#This Row],[Principal]], E108-B108, 0)</f>
        <v>499.89470503768632</v>
      </c>
      <c r="D108">
        <f t="shared" si="4"/>
        <v>44</v>
      </c>
      <c r="E108" s="9">
        <f t="shared" si="9"/>
        <v>536.50917249922907</v>
      </c>
      <c r="G108" s="20">
        <f t="shared" si="5"/>
        <v>1620.0813087657637</v>
      </c>
      <c r="H108" s="9">
        <f>IF(Table48[[#This Row],[Month]]&lt;$C$20, G108*0, G108*($C$16/12))</f>
        <v>5.4002710292192129</v>
      </c>
      <c r="I108" s="20">
        <f>IF(Table48[[#This Row],[Principal]]&gt;0, K108-H108, 0)</f>
        <v>636.52225243401062</v>
      </c>
      <c r="J108">
        <f t="shared" si="6"/>
        <v>44</v>
      </c>
      <c r="K108" s="9">
        <f t="shared" si="10"/>
        <v>641.92252346322982</v>
      </c>
      <c r="M108" s="20">
        <f t="shared" si="7"/>
        <v>7161.8069264261912</v>
      </c>
      <c r="N108" s="9">
        <f>IF(Table49[[#This Row],[Month]]&lt;$D$20, M108*0, M108*($D$16/12))</f>
        <v>26.856775974098216</v>
      </c>
      <c r="O108" s="20">
        <f t="shared" si="2"/>
        <v>503.16426106222957</v>
      </c>
      <c r="P108">
        <f t="shared" si="8"/>
        <v>44</v>
      </c>
      <c r="Q108" s="9">
        <f>IF(Table49[[#This Row],[Month]]&lt;=$D$19, $A$65*((($D$16/12)*(1+$D$16/12)^$D$19)/(((1+$D$16/12)^$D$19)-1)), 0)</f>
        <v>530.02103703632781</v>
      </c>
    </row>
    <row r="109" spans="1:17" x14ac:dyDescent="0.3">
      <c r="A109" s="20">
        <f t="shared" si="3"/>
        <v>8287.5774857325778</v>
      </c>
      <c r="B109" s="9">
        <f>IF(Table4[[#This Row],[Month]]&lt;$B$20, A109*0, A109*($B$16/12))</f>
        <v>34.531572857219075</v>
      </c>
      <c r="C109" s="20">
        <f>IF((E109-B109)&lt;Table4[[#This Row],[Principal]], E109-B109, 0)</f>
        <v>501.97759964200998</v>
      </c>
      <c r="D109">
        <f t="shared" si="4"/>
        <v>45</v>
      </c>
      <c r="E109" s="9">
        <f t="shared" si="9"/>
        <v>536.50917249922907</v>
      </c>
      <c r="G109" s="20">
        <f t="shared" si="5"/>
        <v>983.55905633175303</v>
      </c>
      <c r="H109" s="9">
        <f>IF(Table48[[#This Row],[Month]]&lt;$C$20, G109*0, G109*($C$16/12))</f>
        <v>3.2785301877725104</v>
      </c>
      <c r="I109" s="20">
        <f>IF(Table48[[#This Row],[Principal]]&gt;0, K109-H109, 0)</f>
        <v>638.64399327545732</v>
      </c>
      <c r="J109">
        <f t="shared" si="6"/>
        <v>45</v>
      </c>
      <c r="K109" s="9">
        <f t="shared" si="10"/>
        <v>641.92252346322982</v>
      </c>
      <c r="M109" s="20">
        <f t="shared" si="7"/>
        <v>6658.6426653639619</v>
      </c>
      <c r="N109" s="9">
        <f>IF(Table49[[#This Row],[Month]]&lt;$D$20, M109*0, M109*($D$16/12))</f>
        <v>24.969909995114858</v>
      </c>
      <c r="O109" s="20">
        <f t="shared" si="2"/>
        <v>505.05112704121296</v>
      </c>
      <c r="P109">
        <f t="shared" si="8"/>
        <v>45</v>
      </c>
      <c r="Q109" s="9">
        <f>IF(Table49[[#This Row],[Month]]&lt;=$D$19, $A$65*((($D$16/12)*(1+$D$16/12)^$D$19)/(((1+$D$16/12)^$D$19)-1)), 0)</f>
        <v>530.02103703632781</v>
      </c>
    </row>
    <row r="110" spans="1:17" x14ac:dyDescent="0.3">
      <c r="A110" s="20">
        <f t="shared" si="3"/>
        <v>7785.5998860905675</v>
      </c>
      <c r="B110" s="9">
        <f>IF(Table4[[#This Row],[Month]]&lt;$B$20, A110*0, A110*($B$16/12))</f>
        <v>32.439999525377367</v>
      </c>
      <c r="C110" s="20">
        <f>IF((E110-B110)&lt;Table4[[#This Row],[Principal]], E110-B110, 0)</f>
        <v>504.06917297385172</v>
      </c>
      <c r="D110">
        <f t="shared" si="4"/>
        <v>46</v>
      </c>
      <c r="E110" s="9">
        <f t="shared" si="9"/>
        <v>536.50917249922907</v>
      </c>
      <c r="G110" s="20">
        <f t="shared" si="5"/>
        <v>344.91506305629571</v>
      </c>
      <c r="H110" s="9">
        <f>IF(Table48[[#This Row],[Month]]&lt;$C$20, G110*0, G110*($C$16/12))</f>
        <v>1.1497168768543191</v>
      </c>
      <c r="I110" s="20">
        <f>IF(Table48[[#This Row],[Principal]]&gt;0, K110-H110, 0)</f>
        <v>640.77280658637551</v>
      </c>
      <c r="J110">
        <f t="shared" si="6"/>
        <v>46</v>
      </c>
      <c r="K110" s="9">
        <f t="shared" si="10"/>
        <v>641.92252346322982</v>
      </c>
      <c r="M110" s="20">
        <f t="shared" si="7"/>
        <v>6153.5915383227493</v>
      </c>
      <c r="N110" s="9">
        <f>IF(Table49[[#This Row],[Month]]&lt;$D$20, M110*0, M110*($D$16/12))</f>
        <v>23.075968268710309</v>
      </c>
      <c r="O110" s="20">
        <f t="shared" si="2"/>
        <v>506.9450687676175</v>
      </c>
      <c r="P110">
        <f t="shared" si="8"/>
        <v>46</v>
      </c>
      <c r="Q110" s="9">
        <f>IF(Table49[[#This Row],[Month]]&lt;=$D$19, $A$65*((($D$16/12)*(1+$D$16/12)^$D$19)/(((1+$D$16/12)^$D$19)-1)), 0)</f>
        <v>530.02103703632781</v>
      </c>
    </row>
    <row r="111" spans="1:17" x14ac:dyDescent="0.3">
      <c r="A111" s="20">
        <f t="shared" si="3"/>
        <v>7281.5307131167156</v>
      </c>
      <c r="B111" s="9">
        <f>IF(Table4[[#This Row],[Month]]&lt;$B$20, A111*0, A111*($B$16/12))</f>
        <v>30.33971130465298</v>
      </c>
      <c r="C111" s="20">
        <f>IF((E111-B111)&lt;Table4[[#This Row],[Principal]], E111-B111, 0)</f>
        <v>506.16946119457612</v>
      </c>
      <c r="D111">
        <f t="shared" si="4"/>
        <v>47</v>
      </c>
      <c r="E111" s="9">
        <f t="shared" si="9"/>
        <v>536.50917249922907</v>
      </c>
      <c r="G111" s="20">
        <f t="shared" si="5"/>
        <v>0</v>
      </c>
      <c r="H111" s="9">
        <f>IF(Table48[[#This Row],[Month]]&lt;$C$20, G111*0, G111*($C$16/12))</f>
        <v>0</v>
      </c>
      <c r="I111" s="20">
        <f>IF(Table48[[#This Row],[Principal]]&gt;0, K111-H111, 0)</f>
        <v>0</v>
      </c>
      <c r="J111">
        <f t="shared" si="6"/>
        <v>47</v>
      </c>
      <c r="K111" s="9">
        <f t="shared" si="10"/>
        <v>641.92252346322982</v>
      </c>
      <c r="M111" s="20">
        <f t="shared" si="7"/>
        <v>5646.6464695551322</v>
      </c>
      <c r="N111" s="9">
        <f>IF(Table49[[#This Row],[Month]]&lt;$D$20, M111*0, M111*($D$16/12))</f>
        <v>21.174924260831745</v>
      </c>
      <c r="O111" s="20">
        <f t="shared" si="2"/>
        <v>508.84611277549607</v>
      </c>
      <c r="P111">
        <f t="shared" si="8"/>
        <v>47</v>
      </c>
      <c r="Q111" s="9">
        <f>IF(Table49[[#This Row],[Month]]&lt;=$D$19, $A$65*((($D$16/12)*(1+$D$16/12)^$D$19)/(((1+$D$16/12)^$D$19)-1)), 0)</f>
        <v>530.02103703632781</v>
      </c>
    </row>
    <row r="112" spans="1:17" x14ac:dyDescent="0.3">
      <c r="A112" s="20">
        <f t="shared" si="3"/>
        <v>6775.3612519221397</v>
      </c>
      <c r="B112" s="9">
        <f>IF(Table4[[#This Row],[Month]]&lt;$B$20, A112*0, A112*($B$16/12))</f>
        <v>28.230671883008913</v>
      </c>
      <c r="C112" s="20">
        <f>IF((E112-B112)&lt;Table4[[#This Row],[Principal]], E112-B112, 0)</f>
        <v>508.27850061622013</v>
      </c>
      <c r="D112">
        <f t="shared" si="4"/>
        <v>48</v>
      </c>
      <c r="E112" s="9">
        <f t="shared" si="9"/>
        <v>536.50917249922907</v>
      </c>
      <c r="G112" s="20">
        <f t="shared" si="5"/>
        <v>0</v>
      </c>
      <c r="H112" s="9">
        <f>IF(Table48[[#This Row],[Month]]&lt;$C$20, G112*0, G112*($C$16/12))</f>
        <v>0</v>
      </c>
      <c r="I112" s="20">
        <f>IF(Table48[[#This Row],[Principal]]&gt;0, K112-H112, 0)</f>
        <v>0</v>
      </c>
      <c r="J112">
        <f t="shared" si="6"/>
        <v>48</v>
      </c>
      <c r="K112" s="9">
        <f t="shared" si="10"/>
        <v>641.92252346322982</v>
      </c>
      <c r="M112" s="20">
        <f t="shared" si="7"/>
        <v>5137.8003567796359</v>
      </c>
      <c r="N112" s="9">
        <f>IF(Table49[[#This Row],[Month]]&lt;$D$20, M112*0, M112*($D$16/12))</f>
        <v>19.266751337923633</v>
      </c>
      <c r="O112" s="20">
        <f t="shared" si="2"/>
        <v>510.7542856984042</v>
      </c>
      <c r="P112">
        <f t="shared" si="8"/>
        <v>48</v>
      </c>
      <c r="Q112" s="9">
        <f>IF(Table49[[#This Row],[Month]]&lt;=$D$19, $A$65*((($D$16/12)*(1+$D$16/12)^$D$19)/(((1+$D$16/12)^$D$19)-1)), 0)</f>
        <v>530.02103703632781</v>
      </c>
    </row>
    <row r="113" spans="1:17" x14ac:dyDescent="0.3">
      <c r="A113" s="20">
        <f t="shared" si="3"/>
        <v>6267.0827513059194</v>
      </c>
      <c r="B113" s="9">
        <f>IF(Table4[[#This Row],[Month]]&lt;$B$20, A113*0, A113*($B$16/12))</f>
        <v>26.112844797107996</v>
      </c>
      <c r="C113" s="20">
        <f>IF((E113-B113)&lt;Table4[[#This Row],[Principal]], E113-B113, 0)</f>
        <v>510.39632770212108</v>
      </c>
      <c r="D113">
        <f t="shared" si="4"/>
        <v>49</v>
      </c>
      <c r="E113" s="9">
        <f t="shared" si="9"/>
        <v>536.50917249922907</v>
      </c>
      <c r="G113" s="20">
        <f t="shared" si="5"/>
        <v>0</v>
      </c>
      <c r="H113" s="9">
        <f>IF(Table48[[#This Row],[Month]]&lt;$C$20, G113*0, G113*($C$16/12))</f>
        <v>0</v>
      </c>
      <c r="I113" s="20">
        <f>IF(Table48[[#This Row],[Principal]]&gt;0, K113-H113, 0)</f>
        <v>0</v>
      </c>
      <c r="J113">
        <f t="shared" si="6"/>
        <v>49</v>
      </c>
      <c r="K113" s="9">
        <f t="shared" si="10"/>
        <v>641.92252346322982</v>
      </c>
      <c r="M113" s="20">
        <f t="shared" si="7"/>
        <v>4627.0460710812313</v>
      </c>
      <c r="N113" s="9">
        <f>IF(Table49[[#This Row],[Month]]&lt;$D$20, M113*0, M113*($D$16/12))</f>
        <v>17.351422766554617</v>
      </c>
      <c r="O113" s="20">
        <f t="shared" si="2"/>
        <v>512.66961426977321</v>
      </c>
      <c r="P113">
        <f t="shared" si="8"/>
        <v>49</v>
      </c>
      <c r="Q113" s="9">
        <f>IF(Table49[[#This Row],[Month]]&lt;=$D$19, $A$65*((($D$16/12)*(1+$D$16/12)^$D$19)/(((1+$D$16/12)^$D$19)-1)), 0)</f>
        <v>530.02103703632781</v>
      </c>
    </row>
    <row r="114" spans="1:17" x14ac:dyDescent="0.3">
      <c r="A114" s="20">
        <f t="shared" si="3"/>
        <v>5756.6864236037982</v>
      </c>
      <c r="B114" s="9">
        <f>IF(Table4[[#This Row],[Month]]&lt;$B$20, A114*0, A114*($B$16/12))</f>
        <v>23.986193431682491</v>
      </c>
      <c r="C114" s="20">
        <f>IF((E114-B114)&lt;Table4[[#This Row],[Principal]], E114-B114, 0)</f>
        <v>512.52297906754654</v>
      </c>
      <c r="D114">
        <f t="shared" si="4"/>
        <v>50</v>
      </c>
      <c r="E114" s="9">
        <f t="shared" si="9"/>
        <v>536.50917249922907</v>
      </c>
      <c r="G114" s="20">
        <f t="shared" si="5"/>
        <v>0</v>
      </c>
      <c r="H114" s="9">
        <f>IF(Table48[[#This Row],[Month]]&lt;$C$20, G114*0, G114*($C$16/12))</f>
        <v>0</v>
      </c>
      <c r="I114" s="20">
        <f>IF(Table48[[#This Row],[Principal]]&gt;0, K114-H114, 0)</f>
        <v>0</v>
      </c>
      <c r="J114">
        <f t="shared" si="6"/>
        <v>50</v>
      </c>
      <c r="K114" s="9">
        <f t="shared" si="10"/>
        <v>641.92252346322982</v>
      </c>
      <c r="M114" s="20">
        <f t="shared" si="7"/>
        <v>4114.3764568114584</v>
      </c>
      <c r="N114" s="9">
        <f>IF(Table49[[#This Row],[Month]]&lt;$D$20, M114*0, M114*($D$16/12))</f>
        <v>15.428911713042968</v>
      </c>
      <c r="O114" s="20">
        <f t="shared" si="2"/>
        <v>514.59212532328479</v>
      </c>
      <c r="P114">
        <f t="shared" si="8"/>
        <v>50</v>
      </c>
      <c r="Q114" s="9">
        <f>IF(Table49[[#This Row],[Month]]&lt;=$D$19, $A$65*((($D$16/12)*(1+$D$16/12)^$D$19)/(((1+$D$16/12)^$D$19)-1)), 0)</f>
        <v>530.02103703632781</v>
      </c>
    </row>
    <row r="115" spans="1:17" x14ac:dyDescent="0.3">
      <c r="A115" s="20">
        <f t="shared" si="3"/>
        <v>5244.1634445362515</v>
      </c>
      <c r="B115" s="9">
        <f>IF(Table4[[#This Row],[Month]]&lt;$B$20, A115*0, A115*($B$16/12))</f>
        <v>21.850681018901049</v>
      </c>
      <c r="C115" s="20">
        <f>IF((E115-B115)&lt;Table4[[#This Row],[Principal]], E115-B115, 0)</f>
        <v>514.65849148032805</v>
      </c>
      <c r="D115">
        <f t="shared" si="4"/>
        <v>51</v>
      </c>
      <c r="E115" s="9">
        <f t="shared" si="9"/>
        <v>536.50917249922907</v>
      </c>
      <c r="G115" s="20">
        <f t="shared" si="5"/>
        <v>0</v>
      </c>
      <c r="H115" s="9">
        <f>IF(Table48[[#This Row],[Month]]&lt;$C$20, G115*0, G115*($C$16/12))</f>
        <v>0</v>
      </c>
      <c r="I115" s="20">
        <f>IF(Table48[[#This Row],[Principal]]&gt;0, K115-H115, 0)</f>
        <v>0</v>
      </c>
      <c r="J115">
        <f t="shared" si="6"/>
        <v>51</v>
      </c>
      <c r="K115" s="9">
        <f t="shared" si="10"/>
        <v>641.92252346322982</v>
      </c>
      <c r="M115" s="20">
        <f t="shared" si="7"/>
        <v>3599.7843314881738</v>
      </c>
      <c r="N115" s="9">
        <f>IF(Table49[[#This Row],[Month]]&lt;$D$20, M115*0, M115*($D$16/12))</f>
        <v>13.499191243080652</v>
      </c>
      <c r="O115" s="20">
        <f t="shared" si="2"/>
        <v>516.52184579324717</v>
      </c>
      <c r="P115">
        <f t="shared" si="8"/>
        <v>51</v>
      </c>
      <c r="Q115" s="9">
        <f>IF(Table49[[#This Row],[Month]]&lt;=$D$19, $A$65*((($D$16/12)*(1+$D$16/12)^$D$19)/(((1+$D$16/12)^$D$19)-1)), 0)</f>
        <v>530.02103703632781</v>
      </c>
    </row>
    <row r="116" spans="1:17" x14ac:dyDescent="0.3">
      <c r="A116" s="20">
        <f t="shared" si="3"/>
        <v>4729.5049530559236</v>
      </c>
      <c r="B116" s="9">
        <f>IF(Table4[[#This Row],[Month]]&lt;$B$20, A116*0, A116*($B$16/12))</f>
        <v>19.706270637733013</v>
      </c>
      <c r="C116" s="20">
        <f>IF((E116-B116)&lt;Table4[[#This Row],[Principal]], E116-B116, 0)</f>
        <v>516.80290186149603</v>
      </c>
      <c r="D116">
        <f t="shared" si="4"/>
        <v>52</v>
      </c>
      <c r="E116" s="9">
        <f t="shared" si="9"/>
        <v>536.50917249922907</v>
      </c>
      <c r="G116" s="20">
        <f t="shared" si="5"/>
        <v>0</v>
      </c>
      <c r="H116" s="9">
        <f>IF(Table48[[#This Row],[Month]]&lt;$C$20, G116*0, G116*($C$16/12))</f>
        <v>0</v>
      </c>
      <c r="I116" s="20">
        <f>IF(Table48[[#This Row],[Principal]]&gt;0, K116-H116, 0)</f>
        <v>0</v>
      </c>
      <c r="J116">
        <f t="shared" si="6"/>
        <v>52</v>
      </c>
      <c r="K116" s="9">
        <f t="shared" si="10"/>
        <v>641.92252346322982</v>
      </c>
      <c r="M116" s="20">
        <f t="shared" si="7"/>
        <v>3083.2624856949269</v>
      </c>
      <c r="N116" s="9">
        <f>IF(Table49[[#This Row],[Month]]&lt;$D$20, M116*0, M116*($D$16/12))</f>
        <v>11.562234321355975</v>
      </c>
      <c r="O116" s="20">
        <f t="shared" si="2"/>
        <v>518.45880271497185</v>
      </c>
      <c r="P116">
        <f t="shared" si="8"/>
        <v>52</v>
      </c>
      <c r="Q116" s="9">
        <f>IF(Table49[[#This Row],[Month]]&lt;=$D$19, $A$65*((($D$16/12)*(1+$D$16/12)^$D$19)/(((1+$D$16/12)^$D$19)-1)), 0)</f>
        <v>530.02103703632781</v>
      </c>
    </row>
    <row r="117" spans="1:17" x14ac:dyDescent="0.3">
      <c r="A117" s="20">
        <f t="shared" si="3"/>
        <v>4212.7020511944274</v>
      </c>
      <c r="B117" s="9">
        <f>IF(Table4[[#This Row],[Month]]&lt;$B$20, A117*0, A117*($B$16/12))</f>
        <v>17.552925213310115</v>
      </c>
      <c r="C117" s="20">
        <f>IF((E117-B117)&lt;Table4[[#This Row],[Principal]], E117-B117, 0)</f>
        <v>518.95624728591895</v>
      </c>
      <c r="D117">
        <f t="shared" si="4"/>
        <v>53</v>
      </c>
      <c r="E117" s="9">
        <f t="shared" si="9"/>
        <v>536.50917249922907</v>
      </c>
      <c r="G117" s="20">
        <f t="shared" si="5"/>
        <v>0</v>
      </c>
      <c r="H117" s="9">
        <f>IF(Table48[[#This Row],[Month]]&lt;$C$20, G117*0, G117*($C$16/12))</f>
        <v>0</v>
      </c>
      <c r="I117" s="20">
        <f>IF(Table48[[#This Row],[Principal]]&gt;0, K117-H117, 0)</f>
        <v>0</v>
      </c>
      <c r="J117">
        <f t="shared" si="6"/>
        <v>53</v>
      </c>
      <c r="K117" s="9">
        <f t="shared" si="10"/>
        <v>641.92252346322982</v>
      </c>
      <c r="M117" s="20">
        <f t="shared" si="7"/>
        <v>2564.8036829799548</v>
      </c>
      <c r="N117" s="9">
        <f>IF(Table49[[#This Row],[Month]]&lt;$D$20, M117*0, M117*($D$16/12))</f>
        <v>9.6180138111748299</v>
      </c>
      <c r="O117" s="20">
        <f t="shared" si="2"/>
        <v>520.40302322515299</v>
      </c>
      <c r="P117">
        <f t="shared" si="8"/>
        <v>53</v>
      </c>
      <c r="Q117" s="9">
        <f>IF(Table49[[#This Row],[Month]]&lt;=$D$19, $A$65*((($D$16/12)*(1+$D$16/12)^$D$19)/(((1+$D$16/12)^$D$19)-1)), 0)</f>
        <v>530.02103703632781</v>
      </c>
    </row>
    <row r="118" spans="1:17" x14ac:dyDescent="0.3">
      <c r="A118" s="20">
        <f t="shared" si="3"/>
        <v>3693.7458039085086</v>
      </c>
      <c r="B118" s="9">
        <f>IF(Table4[[#This Row],[Month]]&lt;$B$20, A118*0, A118*($B$16/12))</f>
        <v>15.390607516285453</v>
      </c>
      <c r="C118" s="20">
        <f>IF((E118-B118)&lt;Table4[[#This Row],[Principal]], E118-B118, 0)</f>
        <v>521.11856498294367</v>
      </c>
      <c r="D118">
        <f t="shared" si="4"/>
        <v>54</v>
      </c>
      <c r="E118" s="9">
        <f t="shared" si="9"/>
        <v>536.50917249922907</v>
      </c>
      <c r="G118" s="20">
        <f t="shared" si="5"/>
        <v>0</v>
      </c>
      <c r="H118" s="9">
        <f>IF(Table48[[#This Row],[Month]]&lt;$C$20, G118*0, G118*($C$16/12))</f>
        <v>0</v>
      </c>
      <c r="I118" s="20">
        <f>IF(Table48[[#This Row],[Principal]]&gt;0, K118-H118, 0)</f>
        <v>0</v>
      </c>
      <c r="J118">
        <f t="shared" si="6"/>
        <v>54</v>
      </c>
      <c r="K118" s="9">
        <f t="shared" si="10"/>
        <v>641.92252346322982</v>
      </c>
      <c r="M118" s="20">
        <f t="shared" si="7"/>
        <v>2044.4006597548018</v>
      </c>
      <c r="N118" s="9">
        <f>IF(Table49[[#This Row],[Month]]&lt;$D$20, M118*0, M118*($D$16/12))</f>
        <v>7.6665024740805068</v>
      </c>
      <c r="O118" s="20">
        <f t="shared" si="2"/>
        <v>522.3545345622473</v>
      </c>
      <c r="P118">
        <f t="shared" si="8"/>
        <v>54</v>
      </c>
      <c r="Q118" s="9">
        <f>IF(Table49[[#This Row],[Month]]&lt;=$D$19, $A$65*((($D$16/12)*(1+$D$16/12)^$D$19)/(((1+$D$16/12)^$D$19)-1)), 0)</f>
        <v>530.02103703632781</v>
      </c>
    </row>
    <row r="119" spans="1:17" x14ac:dyDescent="0.3">
      <c r="A119" s="20">
        <f t="shared" si="3"/>
        <v>3172.6272389255651</v>
      </c>
      <c r="B119" s="9">
        <f>IF(Table4[[#This Row],[Month]]&lt;$B$20, A119*0, A119*($B$16/12))</f>
        <v>13.219280162189854</v>
      </c>
      <c r="C119" s="20">
        <f>IF((E119-B119)&lt;Table4[[#This Row],[Principal]], E119-B119, 0)</f>
        <v>523.28989233703919</v>
      </c>
      <c r="D119">
        <f t="shared" si="4"/>
        <v>55</v>
      </c>
      <c r="E119" s="9">
        <f t="shared" si="9"/>
        <v>536.50917249922907</v>
      </c>
      <c r="G119" s="20">
        <f t="shared" si="5"/>
        <v>0</v>
      </c>
      <c r="H119" s="9">
        <f>IF(Table48[[#This Row],[Month]]&lt;$C$20, G119*0, G119*($C$16/12))</f>
        <v>0</v>
      </c>
      <c r="I119" s="20">
        <f>IF(Table48[[#This Row],[Principal]]&gt;0, K119-H119, 0)</f>
        <v>0</v>
      </c>
      <c r="J119">
        <f t="shared" si="6"/>
        <v>55</v>
      </c>
      <c r="K119" s="9">
        <f t="shared" si="10"/>
        <v>641.92252346322982</v>
      </c>
      <c r="M119" s="20">
        <f t="shared" si="7"/>
        <v>1522.0461251925544</v>
      </c>
      <c r="N119" s="9">
        <f>IF(Table49[[#This Row],[Month]]&lt;$D$20, M119*0, M119*($D$16/12))</f>
        <v>5.7076729694720791</v>
      </c>
      <c r="O119" s="20">
        <f t="shared" si="2"/>
        <v>524.31336406685568</v>
      </c>
      <c r="P119">
        <f t="shared" si="8"/>
        <v>55</v>
      </c>
      <c r="Q119" s="9">
        <f>IF(Table49[[#This Row],[Month]]&lt;=$D$19, $A$65*((($D$16/12)*(1+$D$16/12)^$D$19)/(((1+$D$16/12)^$D$19)-1)), 0)</f>
        <v>530.02103703632781</v>
      </c>
    </row>
    <row r="120" spans="1:17" x14ac:dyDescent="0.3">
      <c r="A120" s="20">
        <f t="shared" si="3"/>
        <v>2649.3373465885261</v>
      </c>
      <c r="B120" s="9">
        <f>IF(Table4[[#This Row],[Month]]&lt;$B$20, A120*0, A120*($B$16/12))</f>
        <v>11.038905610785525</v>
      </c>
      <c r="C120" s="20">
        <f>IF((E120-B120)&lt;Table4[[#This Row],[Principal]], E120-B120, 0)</f>
        <v>525.47026688844358</v>
      </c>
      <c r="D120">
        <f t="shared" si="4"/>
        <v>56</v>
      </c>
      <c r="E120" s="9">
        <f t="shared" si="9"/>
        <v>536.50917249922907</v>
      </c>
      <c r="G120" s="20">
        <f t="shared" si="5"/>
        <v>0</v>
      </c>
      <c r="H120" s="9">
        <f>IF(Table48[[#This Row],[Month]]&lt;$C$20, G120*0, G120*($C$16/12))</f>
        <v>0</v>
      </c>
      <c r="I120" s="20">
        <f>IF(Table48[[#This Row],[Principal]]&gt;0, K120-H120, 0)</f>
        <v>0</v>
      </c>
      <c r="J120">
        <f t="shared" si="6"/>
        <v>56</v>
      </c>
      <c r="K120" s="9">
        <f t="shared" si="10"/>
        <v>641.92252346322982</v>
      </c>
      <c r="M120" s="20">
        <f t="shared" si="7"/>
        <v>997.73276112569874</v>
      </c>
      <c r="N120" s="9">
        <f>IF(Table49[[#This Row],[Month]]&lt;$D$20, M120*0, M120*($D$16/12))</f>
        <v>3.7414978542213699</v>
      </c>
      <c r="O120" s="20">
        <f t="shared" si="2"/>
        <v>526.27953918210642</v>
      </c>
      <c r="P120">
        <f t="shared" si="8"/>
        <v>56</v>
      </c>
      <c r="Q120" s="9">
        <f>IF(Table49[[#This Row],[Month]]&lt;=$D$19, $A$65*((($D$16/12)*(1+$D$16/12)^$D$19)/(((1+$D$16/12)^$D$19)-1)), 0)</f>
        <v>530.02103703632781</v>
      </c>
    </row>
    <row r="121" spans="1:17" x14ac:dyDescent="0.3">
      <c r="A121" s="20">
        <f t="shared" si="3"/>
        <v>2123.8670797000823</v>
      </c>
      <c r="B121" s="9">
        <f>IF(Table4[[#This Row],[Month]]&lt;$B$20, A121*0, A121*($B$16/12))</f>
        <v>8.8494461654170102</v>
      </c>
      <c r="C121" s="20">
        <f>IF((E121-B121)&lt;Table4[[#This Row],[Principal]], E121-B121, 0)</f>
        <v>527.65972633381205</v>
      </c>
      <c r="D121">
        <f t="shared" si="4"/>
        <v>57</v>
      </c>
      <c r="E121" s="9">
        <f t="shared" si="9"/>
        <v>536.50917249922907</v>
      </c>
      <c r="G121" s="20">
        <f t="shared" si="5"/>
        <v>0</v>
      </c>
      <c r="H121" s="9">
        <f>IF(Table48[[#This Row],[Month]]&lt;$C$20, G121*0, G121*($C$16/12))</f>
        <v>0</v>
      </c>
      <c r="I121" s="20">
        <f>IF(Table48[[#This Row],[Principal]]&gt;0, K121-H121, 0)</f>
        <v>0</v>
      </c>
      <c r="J121">
        <f t="shared" si="6"/>
        <v>57</v>
      </c>
      <c r="K121" s="9">
        <f t="shared" si="10"/>
        <v>641.92252346322982</v>
      </c>
      <c r="M121" s="20">
        <f t="shared" si="7"/>
        <v>471.45322194359233</v>
      </c>
      <c r="N121" s="9">
        <f>IF(Table49[[#This Row],[Month]]&lt;$D$20, M121*0, M121*($D$16/12))</f>
        <v>1.7679495822884712</v>
      </c>
      <c r="O121" s="20">
        <f t="shared" si="2"/>
        <v>528.25308745403936</v>
      </c>
      <c r="P121">
        <f t="shared" si="8"/>
        <v>57</v>
      </c>
      <c r="Q121" s="9">
        <f>IF(Table49[[#This Row],[Month]]&lt;=$D$19, $A$65*((($D$16/12)*(1+$D$16/12)^$D$19)/(((1+$D$16/12)^$D$19)-1)), 0)</f>
        <v>530.02103703632781</v>
      </c>
    </row>
    <row r="122" spans="1:17" x14ac:dyDescent="0.3">
      <c r="A122" s="20">
        <f t="shared" si="3"/>
        <v>1596.2073533662701</v>
      </c>
      <c r="B122" s="9">
        <f>IF(Table4[[#This Row],[Month]]&lt;$B$20, A122*0, A122*($B$16/12))</f>
        <v>6.6508639723594589</v>
      </c>
      <c r="C122" s="20">
        <f>IF((E122-B122)&lt;Table4[[#This Row],[Principal]], E122-B122, 0)</f>
        <v>529.85830852686956</v>
      </c>
      <c r="D122">
        <f t="shared" si="4"/>
        <v>58</v>
      </c>
      <c r="E122" s="9">
        <f t="shared" si="9"/>
        <v>536.50917249922907</v>
      </c>
      <c r="G122" s="20">
        <f t="shared" si="5"/>
        <v>0</v>
      </c>
      <c r="H122" s="9">
        <f>IF(Table48[[#This Row],[Month]]&lt;$C$20, G122*0, G122*($C$16/12))</f>
        <v>0</v>
      </c>
      <c r="I122" s="20">
        <f>IF(Table48[[#This Row],[Principal]]&gt;0, K122-H122, 0)</f>
        <v>0</v>
      </c>
      <c r="J122">
        <f t="shared" si="6"/>
        <v>58</v>
      </c>
      <c r="K122" s="9">
        <f t="shared" si="10"/>
        <v>641.92252346322982</v>
      </c>
      <c r="M122" s="20">
        <f t="shared" si="7"/>
        <v>0</v>
      </c>
      <c r="N122" s="9">
        <f>IF(Table49[[#This Row],[Month]]&lt;$D$20, M122*0, M122*($D$16/12))</f>
        <v>0</v>
      </c>
      <c r="O122" s="20">
        <f t="shared" si="2"/>
        <v>530.02103703632781</v>
      </c>
      <c r="P122">
        <f t="shared" si="8"/>
        <v>58</v>
      </c>
      <c r="Q122" s="9">
        <f>IF(Table49[[#This Row],[Month]]&lt;=$D$19, $A$65*((($D$16/12)*(1+$D$16/12)^$D$19)/(((1+$D$16/12)^$D$19)-1)), 0)</f>
        <v>530.02103703632781</v>
      </c>
    </row>
    <row r="123" spans="1:17" x14ac:dyDescent="0.3">
      <c r="A123" s="20">
        <f t="shared" si="3"/>
        <v>1066.3490448394004</v>
      </c>
      <c r="B123" s="9">
        <f>IF(Table4[[#This Row],[Month]]&lt;$B$20, A123*0, A123*($B$16/12))</f>
        <v>4.4431210201641687</v>
      </c>
      <c r="C123" s="20">
        <f>IF((E123-B123)&lt;Table4[[#This Row],[Principal]], E123-B123, 0)</f>
        <v>532.06605147906487</v>
      </c>
      <c r="D123">
        <f t="shared" si="4"/>
        <v>59</v>
      </c>
      <c r="E123" s="9">
        <f t="shared" si="9"/>
        <v>536.50917249922907</v>
      </c>
      <c r="G123" s="20">
        <f t="shared" si="5"/>
        <v>0</v>
      </c>
      <c r="H123" s="9">
        <f>IF(Table48[[#This Row],[Month]]&lt;$C$20, G123*0, G123*($C$16/12))</f>
        <v>0</v>
      </c>
      <c r="I123" s="20">
        <f>IF(Table48[[#This Row],[Principal]]&gt;0, K123-H123, 0)</f>
        <v>0</v>
      </c>
      <c r="J123">
        <f t="shared" si="6"/>
        <v>59</v>
      </c>
      <c r="K123" s="9">
        <f t="shared" si="10"/>
        <v>641.92252346322982</v>
      </c>
      <c r="M123" s="20">
        <f t="shared" si="7"/>
        <v>0</v>
      </c>
      <c r="N123" s="9">
        <f>IF(Table49[[#This Row],[Month]]&lt;$D$20, M123*0, M123*($D$16/12))</f>
        <v>0</v>
      </c>
      <c r="O123" s="20">
        <f t="shared" si="2"/>
        <v>530.02103703632781</v>
      </c>
      <c r="P123">
        <f t="shared" si="8"/>
        <v>59</v>
      </c>
      <c r="Q123" s="9">
        <f>IF(Table49[[#This Row],[Month]]&lt;=$D$19, $A$65*((($D$16/12)*(1+$D$16/12)^$D$19)/(((1+$D$16/12)^$D$19)-1)), 0)</f>
        <v>530.02103703632781</v>
      </c>
    </row>
    <row r="124" spans="1:17" x14ac:dyDescent="0.3">
      <c r="A124" s="20">
        <f t="shared" si="3"/>
        <v>534.28299336033558</v>
      </c>
      <c r="B124" s="9">
        <f>IF(Table4[[#This Row],[Month]]&lt;$B$20, A124*0, A124*($B$16/12))</f>
        <v>2.2261791390013981</v>
      </c>
      <c r="C124" s="20">
        <f>IF((E124-B124)&lt;Table4[[#This Row],[Principal]], E124-B124, 0)</f>
        <v>534.28299336022769</v>
      </c>
      <c r="D124">
        <f t="shared" si="4"/>
        <v>60</v>
      </c>
      <c r="E124" s="9">
        <f t="shared" si="9"/>
        <v>536.50917249922907</v>
      </c>
      <c r="G124" s="20">
        <f t="shared" si="5"/>
        <v>0</v>
      </c>
      <c r="H124" s="9">
        <f>IF(Table48[[#This Row],[Month]]&lt;$C$20, G124*0, G124*($C$16/12))</f>
        <v>0</v>
      </c>
      <c r="I124" s="20">
        <f>IF(Table48[[#This Row],[Principal]]&gt;0, K124-H124, 0)</f>
        <v>0</v>
      </c>
      <c r="J124">
        <f t="shared" si="6"/>
        <v>60</v>
      </c>
      <c r="K124" s="9">
        <f t="shared" si="10"/>
        <v>641.92252346322982</v>
      </c>
      <c r="M124" s="20">
        <f t="shared" si="7"/>
        <v>0</v>
      </c>
      <c r="N124" s="9">
        <f>IF(Table49[[#This Row],[Month]]&lt;$D$20, M124*0, M124*($D$16/12))</f>
        <v>0</v>
      </c>
      <c r="O124" s="20">
        <f t="shared" si="2"/>
        <v>530.02103703632781</v>
      </c>
      <c r="P124">
        <f t="shared" si="8"/>
        <v>60</v>
      </c>
      <c r="Q124" s="9">
        <f>IF(Table49[[#This Row],[Month]]&lt;=$D$19, $A$65*((($D$16/12)*(1+$D$16/12)^$D$19)/(((1+$D$16/12)^$D$19)-1)), 0)</f>
        <v>530.02103703632781</v>
      </c>
    </row>
    <row r="125" spans="1:17" x14ac:dyDescent="0.3">
      <c r="A125" s="20">
        <f t="shared" si="3"/>
        <v>1.0788880899781361E-10</v>
      </c>
      <c r="B125" s="9">
        <f>IF(Table4[[#This Row],[Month]]&lt;$B$20, A125*0, A125*($B$16/12))</f>
        <v>4.4953670415755671E-13</v>
      </c>
      <c r="C125" s="20">
        <f>IF((E125-B125)&lt;Table4[[#This Row],[Principal]], E125-B125, 0)</f>
        <v>0</v>
      </c>
      <c r="D125">
        <f t="shared" si="4"/>
        <v>61</v>
      </c>
      <c r="E125" s="21">
        <f t="shared" si="9"/>
        <v>536.50917249922907</v>
      </c>
      <c r="G125" s="20">
        <f t="shared" si="5"/>
        <v>0</v>
      </c>
      <c r="H125" s="9">
        <f>IF(Table48[[#This Row],[Month]]&lt;$C$20, G125*0, G125*($C$16/12))</f>
        <v>0</v>
      </c>
      <c r="I125" s="20">
        <f>IF(Table48[[#This Row],[Principal]]&gt;0, K125-H125, 0)</f>
        <v>0</v>
      </c>
      <c r="J125">
        <f t="shared" si="6"/>
        <v>61</v>
      </c>
      <c r="K125" s="21">
        <f t="shared" si="10"/>
        <v>641.92252346322982</v>
      </c>
      <c r="M125" s="20">
        <f t="shared" si="7"/>
        <v>0</v>
      </c>
      <c r="N125" s="9">
        <f>IF(Table49[[#This Row],[Month]]&lt;$D$20, M125*0, M125*($D$16/12))</f>
        <v>0</v>
      </c>
      <c r="O125" s="20">
        <f t="shared" si="2"/>
        <v>0</v>
      </c>
      <c r="P125">
        <f t="shared" si="8"/>
        <v>61</v>
      </c>
      <c r="Q125" s="21">
        <f>IF(Table49[[#This Row],[Month]]&lt;=$D$19, $A$65*((($D$16/12)*(1+$D$16/12)^$D$19)/(((1+$D$16/12)^$D$19)-1)), 0)</f>
        <v>0</v>
      </c>
    </row>
    <row r="126" spans="1:17" x14ac:dyDescent="0.3">
      <c r="A126" s="20">
        <f t="shared" si="3"/>
        <v>1.0788880899781361E-10</v>
      </c>
      <c r="B126" s="9">
        <f>IF(Table4[[#This Row],[Month]]&lt;$B$20, A126*0, A126*($B$16/12))</f>
        <v>4.4953670415755671E-13</v>
      </c>
      <c r="C126" s="20">
        <f>IF((E126-B126)&lt;Table4[[#This Row],[Principal]], E126-B126, 0)</f>
        <v>0</v>
      </c>
      <c r="D126">
        <f t="shared" si="4"/>
        <v>62</v>
      </c>
      <c r="E126" s="21">
        <f t="shared" si="9"/>
        <v>536.50917249922907</v>
      </c>
      <c r="G126" s="20">
        <f t="shared" si="5"/>
        <v>0</v>
      </c>
      <c r="H126" s="9">
        <f>IF(Table48[[#This Row],[Month]]&lt;$C$20, G126*0, G126*($C$16/12))</f>
        <v>0</v>
      </c>
      <c r="I126" s="20">
        <f>IF(Table48[[#This Row],[Principal]]&gt;0, K126-H126, 0)</f>
        <v>0</v>
      </c>
      <c r="J126">
        <f t="shared" si="6"/>
        <v>62</v>
      </c>
      <c r="K126" s="21">
        <f t="shared" si="10"/>
        <v>641.92252346322982</v>
      </c>
      <c r="M126" s="20">
        <f t="shared" si="7"/>
        <v>0</v>
      </c>
      <c r="N126" s="9">
        <f>IF(Table49[[#This Row],[Month]]&lt;$D$20, M126*0, M126*($D$16/12))</f>
        <v>0</v>
      </c>
      <c r="O126" s="20">
        <f t="shared" si="2"/>
        <v>0</v>
      </c>
      <c r="P126">
        <f t="shared" si="8"/>
        <v>62</v>
      </c>
      <c r="Q126" s="21">
        <f>IF(Table49[[#This Row],[Month]]&lt;=$D$19, $A$65*((($D$16/12)*(1+$D$16/12)^$D$19)/(((1+$D$16/12)^$D$19)-1)), 0)</f>
        <v>0</v>
      </c>
    </row>
    <row r="127" spans="1:17" x14ac:dyDescent="0.3">
      <c r="A127" s="20">
        <f t="shared" si="3"/>
        <v>1.0788880899781361E-10</v>
      </c>
      <c r="B127" s="9">
        <f>IF(Table4[[#This Row],[Month]]&lt;$B$20, A127*0, A127*($B$16/12))</f>
        <v>4.4953670415755671E-13</v>
      </c>
      <c r="C127" s="20">
        <f>IF((E127-B127)&lt;Table4[[#This Row],[Principal]], E127-B127, 0)</f>
        <v>0</v>
      </c>
      <c r="D127">
        <f t="shared" si="4"/>
        <v>63</v>
      </c>
      <c r="E127" s="21">
        <f t="shared" si="9"/>
        <v>536.50917249922907</v>
      </c>
      <c r="G127" s="20">
        <f t="shared" si="5"/>
        <v>0</v>
      </c>
      <c r="H127" s="9">
        <f>IF(Table48[[#This Row],[Month]]&lt;$C$20, G127*0, G127*($C$16/12))</f>
        <v>0</v>
      </c>
      <c r="I127" s="20">
        <f>IF(Table48[[#This Row],[Principal]]&gt;0, K127-H127, 0)</f>
        <v>0</v>
      </c>
      <c r="J127">
        <f t="shared" si="6"/>
        <v>63</v>
      </c>
      <c r="K127" s="21">
        <f t="shared" si="10"/>
        <v>641.92252346322982</v>
      </c>
      <c r="M127" s="20">
        <f t="shared" si="7"/>
        <v>0</v>
      </c>
      <c r="N127" s="9">
        <f>IF(Table49[[#This Row],[Month]]&lt;$D$20, M127*0, M127*($D$16/12))</f>
        <v>0</v>
      </c>
      <c r="O127" s="20">
        <f t="shared" si="2"/>
        <v>0</v>
      </c>
      <c r="P127">
        <f t="shared" si="8"/>
        <v>63</v>
      </c>
      <c r="Q127" s="21">
        <f>IF(Table49[[#This Row],[Month]]&lt;=$D$19, $A$65*((($D$16/12)*(1+$D$16/12)^$D$19)/(((1+$D$16/12)^$D$19)-1)), 0)</f>
        <v>0</v>
      </c>
    </row>
    <row r="128" spans="1:17" x14ac:dyDescent="0.3">
      <c r="A128" s="20">
        <f t="shared" si="3"/>
        <v>1.0788880899781361E-10</v>
      </c>
      <c r="B128" s="9">
        <f>IF(Table4[[#This Row],[Month]]&lt;$B$20, A128*0, A128*($B$16/12))</f>
        <v>4.4953670415755671E-13</v>
      </c>
      <c r="C128" s="20">
        <f>IF((E128-B128)&lt;Table4[[#This Row],[Principal]], E128-B128, 0)</f>
        <v>0</v>
      </c>
      <c r="D128">
        <f t="shared" si="4"/>
        <v>64</v>
      </c>
      <c r="E128" s="21">
        <f t="shared" si="9"/>
        <v>536.50917249922907</v>
      </c>
      <c r="G128" s="20">
        <f t="shared" si="5"/>
        <v>0</v>
      </c>
      <c r="H128" s="9">
        <f>IF(Table48[[#This Row],[Month]]&lt;$C$20, G128*0, G128*($C$16/12))</f>
        <v>0</v>
      </c>
      <c r="I128" s="20">
        <f>IF(Table48[[#This Row],[Principal]]&gt;0, K128-H128, 0)</f>
        <v>0</v>
      </c>
      <c r="J128">
        <f t="shared" si="6"/>
        <v>64</v>
      </c>
      <c r="K128" s="21">
        <f t="shared" si="10"/>
        <v>641.92252346322982</v>
      </c>
      <c r="M128" s="20">
        <f t="shared" si="7"/>
        <v>0</v>
      </c>
      <c r="N128" s="9">
        <f>IF(Table49[[#This Row],[Month]]&lt;$D$20, M128*0, M128*($D$16/12))</f>
        <v>0</v>
      </c>
      <c r="O128" s="20">
        <f t="shared" si="2"/>
        <v>0</v>
      </c>
      <c r="P128">
        <f t="shared" si="8"/>
        <v>64</v>
      </c>
      <c r="Q128" s="21">
        <f>IF(Table49[[#This Row],[Month]]&lt;=$D$19, $A$65*((($D$16/12)*(1+$D$16/12)^$D$19)/(((1+$D$16/12)^$D$19)-1)), 0)</f>
        <v>0</v>
      </c>
    </row>
    <row r="129" spans="1:17" x14ac:dyDescent="0.3">
      <c r="A129" s="20">
        <f t="shared" si="3"/>
        <v>1.0788880899781361E-10</v>
      </c>
      <c r="B129" s="9">
        <f>IF(Table4[[#This Row],[Month]]&lt;$B$20, A129*0, A129*($B$16/12))</f>
        <v>4.4953670415755671E-13</v>
      </c>
      <c r="C129" s="20">
        <f>IF((E129-B129)&lt;Table4[[#This Row],[Principal]], E129-B129, 0)</f>
        <v>0</v>
      </c>
      <c r="D129">
        <f t="shared" si="4"/>
        <v>65</v>
      </c>
      <c r="E129" s="21">
        <f t="shared" ref="E129:E160" si="11">$A$65*((($B$16/12)*(1+$B$16/12)^$B$19)/(((1+$B$16/12)^$B$19)-1))</f>
        <v>536.50917249922907</v>
      </c>
      <c r="G129" s="20">
        <f t="shared" si="5"/>
        <v>0</v>
      </c>
      <c r="H129" s="9">
        <f>IF(Table48[[#This Row],[Month]]&lt;$C$20, G129*0, G129*($C$16/12))</f>
        <v>0</v>
      </c>
      <c r="I129" s="20">
        <f>IF(Table48[[#This Row],[Principal]]&gt;0, K129-H129, 0)</f>
        <v>0</v>
      </c>
      <c r="J129">
        <f t="shared" si="6"/>
        <v>65</v>
      </c>
      <c r="K129" s="21">
        <f t="shared" ref="K129:K160" si="12">$A$65*((($C$16/12)*(1+$C$16/12)^$C$19)/(((1+$C$16/12)^$C$19)-1))</f>
        <v>641.92252346322982</v>
      </c>
      <c r="M129" s="20">
        <f t="shared" si="7"/>
        <v>0</v>
      </c>
      <c r="N129" s="9">
        <f>IF(Table49[[#This Row],[Month]]&lt;$D$20, M129*0, M129*($D$16/12))</f>
        <v>0</v>
      </c>
      <c r="O129" s="20">
        <f t="shared" si="2"/>
        <v>0</v>
      </c>
      <c r="P129">
        <f t="shared" si="8"/>
        <v>65</v>
      </c>
      <c r="Q129" s="21">
        <f>IF(Table49[[#This Row],[Month]]&lt;=$D$19, $A$65*((($D$16/12)*(1+$D$16/12)^$D$19)/(((1+$D$16/12)^$D$19)-1)), 0)</f>
        <v>0</v>
      </c>
    </row>
    <row r="130" spans="1:17" x14ac:dyDescent="0.3">
      <c r="A130" s="20">
        <f t="shared" si="3"/>
        <v>1.0788880899781361E-10</v>
      </c>
      <c r="B130" s="9">
        <f>IF(Table4[[#This Row],[Month]]&lt;$B$20, A130*0, A130*($B$16/12))</f>
        <v>4.4953670415755671E-13</v>
      </c>
      <c r="C130" s="20">
        <f>IF((E130-B130)&lt;Table4[[#This Row],[Principal]], E130-B130, 0)</f>
        <v>0</v>
      </c>
      <c r="D130">
        <f t="shared" si="4"/>
        <v>66</v>
      </c>
      <c r="E130" s="21">
        <f t="shared" si="11"/>
        <v>536.50917249922907</v>
      </c>
      <c r="G130" s="20">
        <f t="shared" si="5"/>
        <v>0</v>
      </c>
      <c r="H130" s="9">
        <f>IF(Table48[[#This Row],[Month]]&lt;$C$20, G130*0, G130*($C$16/12))</f>
        <v>0</v>
      </c>
      <c r="I130" s="20">
        <f>IF(Table48[[#This Row],[Principal]]&gt;0, K130-H130, 0)</f>
        <v>0</v>
      </c>
      <c r="J130">
        <f t="shared" si="6"/>
        <v>66</v>
      </c>
      <c r="K130" s="21">
        <f t="shared" si="12"/>
        <v>641.92252346322982</v>
      </c>
      <c r="M130" s="20">
        <f t="shared" si="7"/>
        <v>0</v>
      </c>
      <c r="N130" s="9">
        <f>IF(Table49[[#This Row],[Month]]&lt;$D$20, M130*0, M130*($D$16/12))</f>
        <v>0</v>
      </c>
      <c r="O130" s="20">
        <f t="shared" ref="O130:O191" si="13">Q130-N130</f>
        <v>0</v>
      </c>
      <c r="P130">
        <f t="shared" si="8"/>
        <v>66</v>
      </c>
      <c r="Q130" s="21">
        <f>IF(Table49[[#This Row],[Month]]&lt;=$D$19, $A$65*((($D$16/12)*(1+$D$16/12)^$D$19)/(((1+$D$16/12)^$D$19)-1)), 0)</f>
        <v>0</v>
      </c>
    </row>
    <row r="131" spans="1:17" x14ac:dyDescent="0.3">
      <c r="A131" s="20">
        <f t="shared" ref="A131:A191" si="14">IF(A130-C130&gt;0, A130-C130, 0)</f>
        <v>1.0788880899781361E-10</v>
      </c>
      <c r="B131" s="9">
        <f>IF(Table4[[#This Row],[Month]]&lt;$B$20, A131*0, A131*($B$16/12))</f>
        <v>4.4953670415755671E-13</v>
      </c>
      <c r="C131" s="20">
        <f>IF((E131-B131)&lt;Table4[[#This Row],[Principal]], E131-B131, 0)</f>
        <v>0</v>
      </c>
      <c r="D131">
        <f t="shared" ref="D131:D175" si="15">D130+1</f>
        <v>67</v>
      </c>
      <c r="E131" s="21">
        <f t="shared" si="11"/>
        <v>536.50917249922907</v>
      </c>
      <c r="G131" s="20">
        <f t="shared" ref="G131:G191" si="16">IF(G130-I130&gt;0, G130-I130, 0)</f>
        <v>0</v>
      </c>
      <c r="H131" s="9">
        <f>IF(Table48[[#This Row],[Month]]&lt;$C$20, G131*0, G131*($C$16/12))</f>
        <v>0</v>
      </c>
      <c r="I131" s="20">
        <f>IF(Table48[[#This Row],[Principal]]&gt;0, K131-H131, 0)</f>
        <v>0</v>
      </c>
      <c r="J131">
        <f t="shared" ref="J131:J175" si="17">J130+1</f>
        <v>67</v>
      </c>
      <c r="K131" s="21">
        <f t="shared" si="12"/>
        <v>641.92252346322982</v>
      </c>
      <c r="M131" s="20">
        <f t="shared" ref="M131:M191" si="18">IF(M130-O130&gt;0, M130-O130, 0)</f>
        <v>0</v>
      </c>
      <c r="N131" s="9">
        <f>IF(Table49[[#This Row],[Month]]&lt;$D$20, M131*0, M131*($D$16/12))</f>
        <v>0</v>
      </c>
      <c r="O131" s="20">
        <f t="shared" si="13"/>
        <v>0</v>
      </c>
      <c r="P131">
        <f t="shared" ref="P131:P175" si="19">P130+1</f>
        <v>67</v>
      </c>
      <c r="Q131" s="21">
        <f>IF(Table49[[#This Row],[Month]]&lt;=$D$19, $A$65*((($D$16/12)*(1+$D$16/12)^$D$19)/(((1+$D$16/12)^$D$19)-1)), 0)</f>
        <v>0</v>
      </c>
    </row>
    <row r="132" spans="1:17" x14ac:dyDescent="0.3">
      <c r="A132" s="20">
        <f t="shared" si="14"/>
        <v>1.0788880899781361E-10</v>
      </c>
      <c r="B132" s="9">
        <f>IF(Table4[[#This Row],[Month]]&lt;$B$20, A132*0, A132*($B$16/12))</f>
        <v>4.4953670415755671E-13</v>
      </c>
      <c r="C132" s="20">
        <f>IF((E132-B132)&lt;Table4[[#This Row],[Principal]], E132-B132, 0)</f>
        <v>0</v>
      </c>
      <c r="D132">
        <f t="shared" si="15"/>
        <v>68</v>
      </c>
      <c r="E132" s="21">
        <f t="shared" si="11"/>
        <v>536.50917249922907</v>
      </c>
      <c r="G132" s="20">
        <f t="shared" si="16"/>
        <v>0</v>
      </c>
      <c r="H132" s="9">
        <f>IF(Table48[[#This Row],[Month]]&lt;$C$20, G132*0, G132*($C$16/12))</f>
        <v>0</v>
      </c>
      <c r="I132" s="20">
        <f>IF(Table48[[#This Row],[Principal]]&gt;0, K132-H132, 0)</f>
        <v>0</v>
      </c>
      <c r="J132">
        <f t="shared" si="17"/>
        <v>68</v>
      </c>
      <c r="K132" s="21">
        <f t="shared" si="12"/>
        <v>641.92252346322982</v>
      </c>
      <c r="M132" s="20">
        <f t="shared" si="18"/>
        <v>0</v>
      </c>
      <c r="N132" s="9">
        <f>IF(Table49[[#This Row],[Month]]&lt;$D$20, M132*0, M132*($D$16/12))</f>
        <v>0</v>
      </c>
      <c r="O132" s="20">
        <f t="shared" si="13"/>
        <v>0</v>
      </c>
      <c r="P132">
        <f t="shared" si="19"/>
        <v>68</v>
      </c>
      <c r="Q132" s="21">
        <f>IF(Table49[[#This Row],[Month]]&lt;=$D$19, $A$65*((($D$16/12)*(1+$D$16/12)^$D$19)/(((1+$D$16/12)^$D$19)-1)), 0)</f>
        <v>0</v>
      </c>
    </row>
    <row r="133" spans="1:17" x14ac:dyDescent="0.3">
      <c r="A133" s="20">
        <f t="shared" si="14"/>
        <v>1.0788880899781361E-10</v>
      </c>
      <c r="B133" s="9">
        <f>IF(Table4[[#This Row],[Month]]&lt;$B$20, A133*0, A133*($B$16/12))</f>
        <v>4.4953670415755671E-13</v>
      </c>
      <c r="C133" s="20">
        <f>IF((E133-B133)&lt;Table4[[#This Row],[Principal]], E133-B133, 0)</f>
        <v>0</v>
      </c>
      <c r="D133">
        <f t="shared" si="15"/>
        <v>69</v>
      </c>
      <c r="E133" s="21">
        <f t="shared" si="11"/>
        <v>536.50917249922907</v>
      </c>
      <c r="G133" s="20">
        <f t="shared" si="16"/>
        <v>0</v>
      </c>
      <c r="H133" s="9">
        <f>IF(Table48[[#This Row],[Month]]&lt;$C$20, G133*0, G133*($C$16/12))</f>
        <v>0</v>
      </c>
      <c r="I133" s="20">
        <f>IF(Table48[[#This Row],[Principal]]&gt;0, K133-H133, 0)</f>
        <v>0</v>
      </c>
      <c r="J133">
        <f t="shared" si="17"/>
        <v>69</v>
      </c>
      <c r="K133" s="21">
        <f t="shared" si="12"/>
        <v>641.92252346322982</v>
      </c>
      <c r="M133" s="20">
        <f t="shared" si="18"/>
        <v>0</v>
      </c>
      <c r="N133" s="9">
        <f>IF(Table49[[#This Row],[Month]]&lt;$D$20, M133*0, M133*($D$16/12))</f>
        <v>0</v>
      </c>
      <c r="O133" s="20">
        <f t="shared" si="13"/>
        <v>0</v>
      </c>
      <c r="P133">
        <f t="shared" si="19"/>
        <v>69</v>
      </c>
      <c r="Q133" s="21">
        <f>IF(Table49[[#This Row],[Month]]&lt;=$D$19, $A$65*((($D$16/12)*(1+$D$16/12)^$D$19)/(((1+$D$16/12)^$D$19)-1)), 0)</f>
        <v>0</v>
      </c>
    </row>
    <row r="134" spans="1:17" x14ac:dyDescent="0.3">
      <c r="A134" s="20">
        <f t="shared" si="14"/>
        <v>1.0788880899781361E-10</v>
      </c>
      <c r="B134" s="9">
        <f>IF(Table4[[#This Row],[Month]]&lt;$B$20, A134*0, A134*($B$16/12))</f>
        <v>4.4953670415755671E-13</v>
      </c>
      <c r="C134" s="20">
        <f>IF((E134-B134)&lt;Table4[[#This Row],[Principal]], E134-B134, 0)</f>
        <v>0</v>
      </c>
      <c r="D134">
        <f t="shared" si="15"/>
        <v>70</v>
      </c>
      <c r="E134" s="21">
        <f t="shared" si="11"/>
        <v>536.50917249922907</v>
      </c>
      <c r="G134" s="20">
        <f t="shared" si="16"/>
        <v>0</v>
      </c>
      <c r="H134" s="9">
        <f>IF(Table48[[#This Row],[Month]]&lt;$C$20, G134*0, G134*($C$16/12))</f>
        <v>0</v>
      </c>
      <c r="I134" s="20">
        <f>IF(Table48[[#This Row],[Principal]]&gt;0, K134-H134, 0)</f>
        <v>0</v>
      </c>
      <c r="J134">
        <f t="shared" si="17"/>
        <v>70</v>
      </c>
      <c r="K134" s="21">
        <f t="shared" si="12"/>
        <v>641.92252346322982</v>
      </c>
      <c r="M134" s="20">
        <f t="shared" si="18"/>
        <v>0</v>
      </c>
      <c r="N134" s="9">
        <f>IF(Table49[[#This Row],[Month]]&lt;$D$20, M134*0, M134*($D$16/12))</f>
        <v>0</v>
      </c>
      <c r="O134" s="20">
        <f t="shared" si="13"/>
        <v>0</v>
      </c>
      <c r="P134">
        <f t="shared" si="19"/>
        <v>70</v>
      </c>
      <c r="Q134" s="21">
        <f>IF(Table49[[#This Row],[Month]]&lt;=$D$19, $A$65*((($D$16/12)*(1+$D$16/12)^$D$19)/(((1+$D$16/12)^$D$19)-1)), 0)</f>
        <v>0</v>
      </c>
    </row>
    <row r="135" spans="1:17" x14ac:dyDescent="0.3">
      <c r="A135" s="20">
        <f t="shared" si="14"/>
        <v>1.0788880899781361E-10</v>
      </c>
      <c r="B135" s="9">
        <f>IF(Table4[[#This Row],[Month]]&lt;$B$20, A135*0, A135*($B$16/12))</f>
        <v>4.4953670415755671E-13</v>
      </c>
      <c r="C135" s="20">
        <f>IF((E135-B135)&lt;Table4[[#This Row],[Principal]], E135-B135, 0)</f>
        <v>0</v>
      </c>
      <c r="D135">
        <f t="shared" si="15"/>
        <v>71</v>
      </c>
      <c r="E135" s="21">
        <f t="shared" si="11"/>
        <v>536.50917249922907</v>
      </c>
      <c r="G135" s="20">
        <f t="shared" si="16"/>
        <v>0</v>
      </c>
      <c r="H135" s="9">
        <f>IF(Table48[[#This Row],[Month]]&lt;$C$20, G135*0, G135*($C$16/12))</f>
        <v>0</v>
      </c>
      <c r="I135" s="20">
        <f>IF(Table48[[#This Row],[Principal]]&gt;0, K135-H135, 0)</f>
        <v>0</v>
      </c>
      <c r="J135">
        <f t="shared" si="17"/>
        <v>71</v>
      </c>
      <c r="K135" s="21">
        <f t="shared" si="12"/>
        <v>641.92252346322982</v>
      </c>
      <c r="M135" s="20">
        <f t="shared" si="18"/>
        <v>0</v>
      </c>
      <c r="N135" s="9">
        <f>IF(Table49[[#This Row],[Month]]&lt;$D$20, M135*0, M135*($D$16/12))</f>
        <v>0</v>
      </c>
      <c r="O135" s="20">
        <f t="shared" si="13"/>
        <v>0</v>
      </c>
      <c r="P135">
        <f t="shared" si="19"/>
        <v>71</v>
      </c>
      <c r="Q135" s="21">
        <f>IF(Table49[[#This Row],[Month]]&lt;=$D$19, $A$65*((($D$16/12)*(1+$D$16/12)^$D$19)/(((1+$D$16/12)^$D$19)-1)), 0)</f>
        <v>0</v>
      </c>
    </row>
    <row r="136" spans="1:17" x14ac:dyDescent="0.3">
      <c r="A136" s="20">
        <f t="shared" si="14"/>
        <v>1.0788880899781361E-10</v>
      </c>
      <c r="B136" s="9">
        <f>IF(Table4[[#This Row],[Month]]&lt;$B$20, A136*0, A136*($B$16/12))</f>
        <v>4.4953670415755671E-13</v>
      </c>
      <c r="C136" s="20">
        <f>IF((E136-B136)&lt;Table4[[#This Row],[Principal]], E136-B136, 0)</f>
        <v>0</v>
      </c>
      <c r="D136">
        <f t="shared" si="15"/>
        <v>72</v>
      </c>
      <c r="E136" s="21">
        <f t="shared" si="11"/>
        <v>536.50917249922907</v>
      </c>
      <c r="G136" s="20">
        <f t="shared" si="16"/>
        <v>0</v>
      </c>
      <c r="H136" s="9">
        <f>IF(Table48[[#This Row],[Month]]&lt;$C$20, G136*0, G136*($C$16/12))</f>
        <v>0</v>
      </c>
      <c r="I136" s="20">
        <f>IF(Table48[[#This Row],[Principal]]&gt;0, K136-H136, 0)</f>
        <v>0</v>
      </c>
      <c r="J136">
        <f t="shared" si="17"/>
        <v>72</v>
      </c>
      <c r="K136" s="21">
        <f t="shared" si="12"/>
        <v>641.92252346322982</v>
      </c>
      <c r="M136" s="20">
        <f t="shared" si="18"/>
        <v>0</v>
      </c>
      <c r="N136" s="9">
        <f>IF(Table49[[#This Row],[Month]]&lt;$D$20, M136*0, M136*($D$16/12))</f>
        <v>0</v>
      </c>
      <c r="O136" s="20">
        <f t="shared" si="13"/>
        <v>0</v>
      </c>
      <c r="P136">
        <f t="shared" si="19"/>
        <v>72</v>
      </c>
      <c r="Q136" s="21">
        <f>IF(Table49[[#This Row],[Month]]&lt;=$D$19, $A$65*((($D$16/12)*(1+$D$16/12)^$D$19)/(((1+$D$16/12)^$D$19)-1)), 0)</f>
        <v>0</v>
      </c>
    </row>
    <row r="137" spans="1:17" x14ac:dyDescent="0.3">
      <c r="A137" s="20">
        <f t="shared" si="14"/>
        <v>1.0788880899781361E-10</v>
      </c>
      <c r="B137" s="9">
        <f>IF(Table4[[#This Row],[Month]]&lt;$B$20, A137*0, A137*($B$16/12))</f>
        <v>4.4953670415755671E-13</v>
      </c>
      <c r="C137" s="20">
        <f>IF((E137-B137)&lt;Table4[[#This Row],[Principal]], E137-B137, 0)</f>
        <v>0</v>
      </c>
      <c r="D137">
        <f t="shared" si="15"/>
        <v>73</v>
      </c>
      <c r="E137" s="21">
        <f t="shared" si="11"/>
        <v>536.50917249922907</v>
      </c>
      <c r="G137" s="20">
        <f t="shared" si="16"/>
        <v>0</v>
      </c>
      <c r="H137" s="9">
        <f>IF(Table48[[#This Row],[Month]]&lt;$C$20, G137*0, G137*($C$16/12))</f>
        <v>0</v>
      </c>
      <c r="I137" s="20">
        <f>IF(Table48[[#This Row],[Principal]]&gt;0, K137-H137, 0)</f>
        <v>0</v>
      </c>
      <c r="J137">
        <f t="shared" si="17"/>
        <v>73</v>
      </c>
      <c r="K137" s="21">
        <f t="shared" si="12"/>
        <v>641.92252346322982</v>
      </c>
      <c r="M137" s="20">
        <f t="shared" si="18"/>
        <v>0</v>
      </c>
      <c r="N137" s="9">
        <f>IF(Table49[[#This Row],[Month]]&lt;$D$20, M137*0, M137*($D$16/12))</f>
        <v>0</v>
      </c>
      <c r="O137" s="20">
        <f t="shared" si="13"/>
        <v>0</v>
      </c>
      <c r="P137">
        <f t="shared" si="19"/>
        <v>73</v>
      </c>
      <c r="Q137" s="21">
        <f>IF(Table49[[#This Row],[Month]]&lt;=$D$19, $A$65*((($D$16/12)*(1+$D$16/12)^$D$19)/(((1+$D$16/12)^$D$19)-1)), 0)</f>
        <v>0</v>
      </c>
    </row>
    <row r="138" spans="1:17" x14ac:dyDescent="0.3">
      <c r="A138" s="20">
        <f t="shared" si="14"/>
        <v>1.0788880899781361E-10</v>
      </c>
      <c r="B138" s="9">
        <f>IF(Table4[[#This Row],[Month]]&lt;$B$20, A138*0, A138*($B$16/12))</f>
        <v>4.4953670415755671E-13</v>
      </c>
      <c r="C138" s="20">
        <f>IF((E138-B138)&lt;Table4[[#This Row],[Principal]], E138-B138, 0)</f>
        <v>0</v>
      </c>
      <c r="D138">
        <f t="shared" si="15"/>
        <v>74</v>
      </c>
      <c r="E138" s="21">
        <f t="shared" si="11"/>
        <v>536.50917249922907</v>
      </c>
      <c r="G138" s="20">
        <f t="shared" si="16"/>
        <v>0</v>
      </c>
      <c r="H138" s="9">
        <f>IF(Table48[[#This Row],[Month]]&lt;$C$20, G138*0, G138*($C$16/12))</f>
        <v>0</v>
      </c>
      <c r="I138" s="20">
        <f>IF(Table48[[#This Row],[Principal]]&gt;0, K138-H138, 0)</f>
        <v>0</v>
      </c>
      <c r="J138">
        <f t="shared" si="17"/>
        <v>74</v>
      </c>
      <c r="K138" s="21">
        <f t="shared" si="12"/>
        <v>641.92252346322982</v>
      </c>
      <c r="M138" s="20">
        <f t="shared" si="18"/>
        <v>0</v>
      </c>
      <c r="N138" s="9">
        <f>IF(Table49[[#This Row],[Month]]&lt;$D$20, M138*0, M138*($D$16/12))</f>
        <v>0</v>
      </c>
      <c r="O138" s="20">
        <f t="shared" si="13"/>
        <v>0</v>
      </c>
      <c r="P138">
        <f t="shared" si="19"/>
        <v>74</v>
      </c>
      <c r="Q138" s="21">
        <f>IF(Table49[[#This Row],[Month]]&lt;=$D$19, $A$65*((($D$16/12)*(1+$D$16/12)^$D$19)/(((1+$D$16/12)^$D$19)-1)), 0)</f>
        <v>0</v>
      </c>
    </row>
    <row r="139" spans="1:17" x14ac:dyDescent="0.3">
      <c r="A139" s="20">
        <f t="shared" si="14"/>
        <v>1.0788880899781361E-10</v>
      </c>
      <c r="B139" s="9">
        <f>IF(Table4[[#This Row],[Month]]&lt;$B$20, A139*0, A139*($B$16/12))</f>
        <v>4.4953670415755671E-13</v>
      </c>
      <c r="C139" s="20">
        <f>IF((E139-B139)&lt;Table4[[#This Row],[Principal]], E139-B139, 0)</f>
        <v>0</v>
      </c>
      <c r="D139">
        <f t="shared" si="15"/>
        <v>75</v>
      </c>
      <c r="E139" s="21">
        <f t="shared" si="11"/>
        <v>536.50917249922907</v>
      </c>
      <c r="G139" s="20">
        <f t="shared" si="16"/>
        <v>0</v>
      </c>
      <c r="H139" s="9">
        <f>IF(Table48[[#This Row],[Month]]&lt;$C$20, G139*0, G139*($C$16/12))</f>
        <v>0</v>
      </c>
      <c r="I139" s="20">
        <f>IF(Table48[[#This Row],[Principal]]&gt;0, K139-H139, 0)</f>
        <v>0</v>
      </c>
      <c r="J139">
        <f t="shared" si="17"/>
        <v>75</v>
      </c>
      <c r="K139" s="21">
        <f t="shared" si="12"/>
        <v>641.92252346322982</v>
      </c>
      <c r="M139" s="20">
        <f t="shared" si="18"/>
        <v>0</v>
      </c>
      <c r="N139" s="9">
        <f>IF(Table49[[#This Row],[Month]]&lt;$D$20, M139*0, M139*($D$16/12))</f>
        <v>0</v>
      </c>
      <c r="O139" s="20">
        <f t="shared" si="13"/>
        <v>0</v>
      </c>
      <c r="P139">
        <f t="shared" si="19"/>
        <v>75</v>
      </c>
      <c r="Q139" s="21">
        <f>IF(Table49[[#This Row],[Month]]&lt;=$D$19, $A$65*((($D$16/12)*(1+$D$16/12)^$D$19)/(((1+$D$16/12)^$D$19)-1)), 0)</f>
        <v>0</v>
      </c>
    </row>
    <row r="140" spans="1:17" x14ac:dyDescent="0.3">
      <c r="A140" s="20">
        <f t="shared" si="14"/>
        <v>1.0788880899781361E-10</v>
      </c>
      <c r="B140" s="9">
        <f>IF(Table4[[#This Row],[Month]]&lt;$B$20, A140*0, A140*($B$16/12))</f>
        <v>4.4953670415755671E-13</v>
      </c>
      <c r="C140" s="20">
        <f>IF((E140-B140)&lt;Table4[[#This Row],[Principal]], E140-B140, 0)</f>
        <v>0</v>
      </c>
      <c r="D140">
        <f t="shared" si="15"/>
        <v>76</v>
      </c>
      <c r="E140" s="21">
        <f t="shared" si="11"/>
        <v>536.50917249922907</v>
      </c>
      <c r="G140" s="20">
        <f t="shared" si="16"/>
        <v>0</v>
      </c>
      <c r="H140" s="9">
        <f>IF(Table48[[#This Row],[Month]]&lt;$C$20, G140*0, G140*($C$16/12))</f>
        <v>0</v>
      </c>
      <c r="I140" s="20">
        <f>IF(Table48[[#This Row],[Principal]]&gt;0, K140-H140, 0)</f>
        <v>0</v>
      </c>
      <c r="J140">
        <f t="shared" si="17"/>
        <v>76</v>
      </c>
      <c r="K140" s="21">
        <f t="shared" si="12"/>
        <v>641.92252346322982</v>
      </c>
      <c r="M140" s="20">
        <f t="shared" si="18"/>
        <v>0</v>
      </c>
      <c r="N140" s="9">
        <f>IF(Table49[[#This Row],[Month]]&lt;$D$20, M140*0, M140*($D$16/12))</f>
        <v>0</v>
      </c>
      <c r="O140" s="20">
        <f t="shared" si="13"/>
        <v>0</v>
      </c>
      <c r="P140">
        <f t="shared" si="19"/>
        <v>76</v>
      </c>
      <c r="Q140" s="21">
        <f>IF(Table49[[#This Row],[Month]]&lt;=$D$19, $A$65*((($D$16/12)*(1+$D$16/12)^$D$19)/(((1+$D$16/12)^$D$19)-1)), 0)</f>
        <v>0</v>
      </c>
    </row>
    <row r="141" spans="1:17" x14ac:dyDescent="0.3">
      <c r="A141" s="20">
        <f t="shared" si="14"/>
        <v>1.0788880899781361E-10</v>
      </c>
      <c r="B141" s="9">
        <f>IF(Table4[[#This Row],[Month]]&lt;$B$20, A141*0, A141*($B$16/12))</f>
        <v>4.4953670415755671E-13</v>
      </c>
      <c r="C141" s="20">
        <f>IF((E141-B141)&lt;Table4[[#This Row],[Principal]], E141-B141, 0)</f>
        <v>0</v>
      </c>
      <c r="D141">
        <f t="shared" si="15"/>
        <v>77</v>
      </c>
      <c r="E141" s="21">
        <f t="shared" si="11"/>
        <v>536.50917249922907</v>
      </c>
      <c r="G141" s="20">
        <f t="shared" si="16"/>
        <v>0</v>
      </c>
      <c r="H141" s="9">
        <f>IF(Table48[[#This Row],[Month]]&lt;$C$20, G141*0, G141*($C$16/12))</f>
        <v>0</v>
      </c>
      <c r="I141" s="20">
        <f>IF(Table48[[#This Row],[Principal]]&gt;0, K141-H141, 0)</f>
        <v>0</v>
      </c>
      <c r="J141">
        <f t="shared" si="17"/>
        <v>77</v>
      </c>
      <c r="K141" s="21">
        <f t="shared" si="12"/>
        <v>641.92252346322982</v>
      </c>
      <c r="M141" s="20">
        <f t="shared" si="18"/>
        <v>0</v>
      </c>
      <c r="N141" s="9">
        <f>IF(Table49[[#This Row],[Month]]&lt;$D$20, M141*0, M141*($D$16/12))</f>
        <v>0</v>
      </c>
      <c r="O141" s="20">
        <f t="shared" si="13"/>
        <v>0</v>
      </c>
      <c r="P141">
        <f t="shared" si="19"/>
        <v>77</v>
      </c>
      <c r="Q141" s="21">
        <f>IF(Table49[[#This Row],[Month]]&lt;=$D$19, $A$65*((($D$16/12)*(1+$D$16/12)^$D$19)/(((1+$D$16/12)^$D$19)-1)), 0)</f>
        <v>0</v>
      </c>
    </row>
    <row r="142" spans="1:17" x14ac:dyDescent="0.3">
      <c r="A142" s="20">
        <f t="shared" si="14"/>
        <v>1.0788880899781361E-10</v>
      </c>
      <c r="B142" s="9">
        <f>IF(Table4[[#This Row],[Month]]&lt;$B$20, A142*0, A142*($B$16/12))</f>
        <v>4.4953670415755671E-13</v>
      </c>
      <c r="C142" s="20">
        <f>IF((E142-B142)&lt;Table4[[#This Row],[Principal]], E142-B142, 0)</f>
        <v>0</v>
      </c>
      <c r="D142">
        <f t="shared" si="15"/>
        <v>78</v>
      </c>
      <c r="E142" s="21">
        <f t="shared" si="11"/>
        <v>536.50917249922907</v>
      </c>
      <c r="G142" s="20">
        <f t="shared" si="16"/>
        <v>0</v>
      </c>
      <c r="H142" s="9">
        <f>IF(Table48[[#This Row],[Month]]&lt;$C$20, G142*0, G142*($C$16/12))</f>
        <v>0</v>
      </c>
      <c r="I142" s="20">
        <f>IF(Table48[[#This Row],[Principal]]&gt;0, K142-H142, 0)</f>
        <v>0</v>
      </c>
      <c r="J142">
        <f t="shared" si="17"/>
        <v>78</v>
      </c>
      <c r="K142" s="21">
        <f t="shared" si="12"/>
        <v>641.92252346322982</v>
      </c>
      <c r="M142" s="20">
        <f t="shared" si="18"/>
        <v>0</v>
      </c>
      <c r="N142" s="9">
        <f>IF(Table49[[#This Row],[Month]]&lt;$D$20, M142*0, M142*($D$16/12))</f>
        <v>0</v>
      </c>
      <c r="O142" s="20">
        <f t="shared" si="13"/>
        <v>0</v>
      </c>
      <c r="P142">
        <f t="shared" si="19"/>
        <v>78</v>
      </c>
      <c r="Q142" s="21">
        <f>IF(Table49[[#This Row],[Month]]&lt;=$D$19, $A$65*((($D$16/12)*(1+$D$16/12)^$D$19)/(((1+$D$16/12)^$D$19)-1)), 0)</f>
        <v>0</v>
      </c>
    </row>
    <row r="143" spans="1:17" x14ac:dyDescent="0.3">
      <c r="A143" s="20">
        <f t="shared" si="14"/>
        <v>1.0788880899781361E-10</v>
      </c>
      <c r="B143" s="9">
        <f>IF(Table4[[#This Row],[Month]]&lt;$B$20, A143*0, A143*($B$16/12))</f>
        <v>4.4953670415755671E-13</v>
      </c>
      <c r="C143" s="20">
        <f>IF((E143-B143)&lt;Table4[[#This Row],[Principal]], E143-B143, 0)</f>
        <v>0</v>
      </c>
      <c r="D143">
        <f t="shared" si="15"/>
        <v>79</v>
      </c>
      <c r="E143" s="21">
        <f t="shared" si="11"/>
        <v>536.50917249922907</v>
      </c>
      <c r="G143" s="20">
        <f t="shared" si="16"/>
        <v>0</v>
      </c>
      <c r="H143" s="9">
        <f>IF(Table48[[#This Row],[Month]]&lt;$C$20, G143*0, G143*($C$16/12))</f>
        <v>0</v>
      </c>
      <c r="I143" s="20">
        <f>IF(Table48[[#This Row],[Principal]]&gt;0, K143-H143, 0)</f>
        <v>0</v>
      </c>
      <c r="J143">
        <f t="shared" si="17"/>
        <v>79</v>
      </c>
      <c r="K143" s="21">
        <f t="shared" si="12"/>
        <v>641.92252346322982</v>
      </c>
      <c r="M143" s="20">
        <f t="shared" si="18"/>
        <v>0</v>
      </c>
      <c r="N143" s="9">
        <f>IF(Table49[[#This Row],[Month]]&lt;$D$20, M143*0, M143*($D$16/12))</f>
        <v>0</v>
      </c>
      <c r="O143" s="20">
        <f t="shared" si="13"/>
        <v>0</v>
      </c>
      <c r="P143">
        <f t="shared" si="19"/>
        <v>79</v>
      </c>
      <c r="Q143" s="21">
        <f>IF(Table49[[#This Row],[Month]]&lt;=$D$19, $A$65*((($D$16/12)*(1+$D$16/12)^$D$19)/(((1+$D$16/12)^$D$19)-1)), 0)</f>
        <v>0</v>
      </c>
    </row>
    <row r="144" spans="1:17" x14ac:dyDescent="0.3">
      <c r="A144" s="20">
        <f t="shared" si="14"/>
        <v>1.0788880899781361E-10</v>
      </c>
      <c r="B144" s="9">
        <f>IF(Table4[[#This Row],[Month]]&lt;$B$20, A144*0, A144*($B$16/12))</f>
        <v>4.4953670415755671E-13</v>
      </c>
      <c r="C144" s="20">
        <f>IF((E144-B144)&lt;Table4[[#This Row],[Principal]], E144-B144, 0)</f>
        <v>0</v>
      </c>
      <c r="D144">
        <f t="shared" si="15"/>
        <v>80</v>
      </c>
      <c r="E144" s="21">
        <f t="shared" si="11"/>
        <v>536.50917249922907</v>
      </c>
      <c r="G144" s="20">
        <f t="shared" si="16"/>
        <v>0</v>
      </c>
      <c r="H144" s="9">
        <f>IF(Table48[[#This Row],[Month]]&lt;$C$20, G144*0, G144*($C$16/12))</f>
        <v>0</v>
      </c>
      <c r="I144" s="20">
        <f>IF(Table48[[#This Row],[Principal]]&gt;0, K144-H144, 0)</f>
        <v>0</v>
      </c>
      <c r="J144">
        <f t="shared" si="17"/>
        <v>80</v>
      </c>
      <c r="K144" s="21">
        <f t="shared" si="12"/>
        <v>641.92252346322982</v>
      </c>
      <c r="M144" s="20">
        <f t="shared" si="18"/>
        <v>0</v>
      </c>
      <c r="N144" s="9">
        <f>IF(Table49[[#This Row],[Month]]&lt;$D$20, M144*0, M144*($D$16/12))</f>
        <v>0</v>
      </c>
      <c r="O144" s="20">
        <f t="shared" si="13"/>
        <v>0</v>
      </c>
      <c r="P144">
        <f t="shared" si="19"/>
        <v>80</v>
      </c>
      <c r="Q144" s="21">
        <f>IF(Table49[[#This Row],[Month]]&lt;=$D$19, $A$65*((($D$16/12)*(1+$D$16/12)^$D$19)/(((1+$D$16/12)^$D$19)-1)), 0)</f>
        <v>0</v>
      </c>
    </row>
    <row r="145" spans="1:17" x14ac:dyDescent="0.3">
      <c r="A145" s="20">
        <f t="shared" si="14"/>
        <v>1.0788880899781361E-10</v>
      </c>
      <c r="B145" s="9">
        <f>IF(Table4[[#This Row],[Month]]&lt;$B$20, A145*0, A145*($B$16/12))</f>
        <v>4.4953670415755671E-13</v>
      </c>
      <c r="C145" s="20">
        <f>IF((E145-B145)&lt;Table4[[#This Row],[Principal]], E145-B145, 0)</f>
        <v>0</v>
      </c>
      <c r="D145">
        <f t="shared" si="15"/>
        <v>81</v>
      </c>
      <c r="E145" s="21">
        <f t="shared" si="11"/>
        <v>536.50917249922907</v>
      </c>
      <c r="G145" s="20">
        <f t="shared" si="16"/>
        <v>0</v>
      </c>
      <c r="H145" s="9">
        <f>IF(Table48[[#This Row],[Month]]&lt;$C$20, G145*0, G145*($C$16/12))</f>
        <v>0</v>
      </c>
      <c r="I145" s="20">
        <f>IF(Table48[[#This Row],[Principal]]&gt;0, K145-H145, 0)</f>
        <v>0</v>
      </c>
      <c r="J145">
        <f t="shared" si="17"/>
        <v>81</v>
      </c>
      <c r="K145" s="21">
        <f t="shared" si="12"/>
        <v>641.92252346322982</v>
      </c>
      <c r="M145" s="20">
        <f t="shared" si="18"/>
        <v>0</v>
      </c>
      <c r="N145" s="9">
        <f>IF(Table49[[#This Row],[Month]]&lt;$D$20, M145*0, M145*($D$16/12))</f>
        <v>0</v>
      </c>
      <c r="O145" s="20">
        <f t="shared" si="13"/>
        <v>0</v>
      </c>
      <c r="P145">
        <f t="shared" si="19"/>
        <v>81</v>
      </c>
      <c r="Q145" s="21">
        <f>IF(Table49[[#This Row],[Month]]&lt;=$D$19, $A$65*((($D$16/12)*(1+$D$16/12)^$D$19)/(((1+$D$16/12)^$D$19)-1)), 0)</f>
        <v>0</v>
      </c>
    </row>
    <row r="146" spans="1:17" x14ac:dyDescent="0.3">
      <c r="A146" s="20">
        <f t="shared" si="14"/>
        <v>1.0788880899781361E-10</v>
      </c>
      <c r="B146" s="9">
        <f>IF(Table4[[#This Row],[Month]]&lt;$B$20, A146*0, A146*($B$16/12))</f>
        <v>4.4953670415755671E-13</v>
      </c>
      <c r="C146" s="20">
        <f>IF((E146-B146)&lt;Table4[[#This Row],[Principal]], E146-B146, 0)</f>
        <v>0</v>
      </c>
      <c r="D146">
        <f t="shared" si="15"/>
        <v>82</v>
      </c>
      <c r="E146" s="21">
        <f t="shared" si="11"/>
        <v>536.50917249922907</v>
      </c>
      <c r="G146" s="20">
        <f t="shared" si="16"/>
        <v>0</v>
      </c>
      <c r="H146" s="9">
        <f>IF(Table48[[#This Row],[Month]]&lt;$C$20, G146*0, G146*($C$16/12))</f>
        <v>0</v>
      </c>
      <c r="I146" s="20">
        <f>IF(Table48[[#This Row],[Principal]]&gt;0, K146-H146, 0)</f>
        <v>0</v>
      </c>
      <c r="J146">
        <f t="shared" si="17"/>
        <v>82</v>
      </c>
      <c r="K146" s="21">
        <f t="shared" si="12"/>
        <v>641.92252346322982</v>
      </c>
      <c r="M146" s="20">
        <f t="shared" si="18"/>
        <v>0</v>
      </c>
      <c r="N146" s="9">
        <f>IF(Table49[[#This Row],[Month]]&lt;$D$20, M146*0, M146*($D$16/12))</f>
        <v>0</v>
      </c>
      <c r="O146" s="20">
        <f t="shared" si="13"/>
        <v>0</v>
      </c>
      <c r="P146">
        <f t="shared" si="19"/>
        <v>82</v>
      </c>
      <c r="Q146" s="21">
        <f>IF(Table49[[#This Row],[Month]]&lt;=$D$19, $A$65*((($D$16/12)*(1+$D$16/12)^$D$19)/(((1+$D$16/12)^$D$19)-1)), 0)</f>
        <v>0</v>
      </c>
    </row>
    <row r="147" spans="1:17" x14ac:dyDescent="0.3">
      <c r="A147" s="20">
        <f t="shared" si="14"/>
        <v>1.0788880899781361E-10</v>
      </c>
      <c r="B147" s="9">
        <f>IF(Table4[[#This Row],[Month]]&lt;$B$20, A147*0, A147*($B$16/12))</f>
        <v>4.4953670415755671E-13</v>
      </c>
      <c r="C147" s="20">
        <f>IF((E147-B147)&lt;Table4[[#This Row],[Principal]], E147-B147, 0)</f>
        <v>0</v>
      </c>
      <c r="D147">
        <f t="shared" si="15"/>
        <v>83</v>
      </c>
      <c r="E147" s="21">
        <f t="shared" si="11"/>
        <v>536.50917249922907</v>
      </c>
      <c r="G147" s="20">
        <f t="shared" si="16"/>
        <v>0</v>
      </c>
      <c r="H147" s="9">
        <f>IF(Table48[[#This Row],[Month]]&lt;$C$20, G147*0, G147*($C$16/12))</f>
        <v>0</v>
      </c>
      <c r="I147" s="20">
        <f>IF(Table48[[#This Row],[Principal]]&gt;0, K147-H147, 0)</f>
        <v>0</v>
      </c>
      <c r="J147">
        <f t="shared" si="17"/>
        <v>83</v>
      </c>
      <c r="K147" s="21">
        <f t="shared" si="12"/>
        <v>641.92252346322982</v>
      </c>
      <c r="M147" s="20">
        <f t="shared" si="18"/>
        <v>0</v>
      </c>
      <c r="N147" s="9">
        <f>IF(Table49[[#This Row],[Month]]&lt;$D$20, M147*0, M147*($D$16/12))</f>
        <v>0</v>
      </c>
      <c r="O147" s="20">
        <f t="shared" si="13"/>
        <v>0</v>
      </c>
      <c r="P147">
        <f t="shared" si="19"/>
        <v>83</v>
      </c>
      <c r="Q147" s="21">
        <f>IF(Table49[[#This Row],[Month]]&lt;=$D$19, $A$65*((($D$16/12)*(1+$D$16/12)^$D$19)/(((1+$D$16/12)^$D$19)-1)), 0)</f>
        <v>0</v>
      </c>
    </row>
    <row r="148" spans="1:17" x14ac:dyDescent="0.3">
      <c r="A148" s="20">
        <f t="shared" si="14"/>
        <v>1.0788880899781361E-10</v>
      </c>
      <c r="B148" s="9">
        <f>IF(Table4[[#This Row],[Month]]&lt;$B$20, A148*0, A148*($B$16/12))</f>
        <v>4.4953670415755671E-13</v>
      </c>
      <c r="C148" s="20">
        <f>IF((E148-B148)&lt;Table4[[#This Row],[Principal]], E148-B148, 0)</f>
        <v>0</v>
      </c>
      <c r="D148">
        <f t="shared" si="15"/>
        <v>84</v>
      </c>
      <c r="E148" s="21">
        <f t="shared" si="11"/>
        <v>536.50917249922907</v>
      </c>
      <c r="G148" s="20">
        <f t="shared" si="16"/>
        <v>0</v>
      </c>
      <c r="H148" s="9">
        <f>IF(Table48[[#This Row],[Month]]&lt;$C$20, G148*0, G148*($C$16/12))</f>
        <v>0</v>
      </c>
      <c r="I148" s="20">
        <f>IF(Table48[[#This Row],[Principal]]&gt;0, K148-H148, 0)</f>
        <v>0</v>
      </c>
      <c r="J148">
        <f t="shared" si="17"/>
        <v>84</v>
      </c>
      <c r="K148" s="21">
        <f t="shared" si="12"/>
        <v>641.92252346322982</v>
      </c>
      <c r="M148" s="20">
        <f t="shared" si="18"/>
        <v>0</v>
      </c>
      <c r="N148" s="9">
        <f>IF(Table49[[#This Row],[Month]]&lt;$D$20, M148*0, M148*($D$16/12))</f>
        <v>0</v>
      </c>
      <c r="O148" s="20">
        <f t="shared" si="13"/>
        <v>0</v>
      </c>
      <c r="P148">
        <f t="shared" si="19"/>
        <v>84</v>
      </c>
      <c r="Q148" s="21">
        <f>IF(Table49[[#This Row],[Month]]&lt;=$D$19, $A$65*((($D$16/12)*(1+$D$16/12)^$D$19)/(((1+$D$16/12)^$D$19)-1)), 0)</f>
        <v>0</v>
      </c>
    </row>
    <row r="149" spans="1:17" x14ac:dyDescent="0.3">
      <c r="A149" s="20">
        <f t="shared" si="14"/>
        <v>1.0788880899781361E-10</v>
      </c>
      <c r="B149" s="9">
        <f>IF(Table4[[#This Row],[Month]]&lt;$B$20, A149*0, A149*($B$16/12))</f>
        <v>4.4953670415755671E-13</v>
      </c>
      <c r="C149" s="20">
        <f>IF((E149-B149)&lt;Table4[[#This Row],[Principal]], E149-B149, 0)</f>
        <v>0</v>
      </c>
      <c r="D149">
        <f t="shared" si="15"/>
        <v>85</v>
      </c>
      <c r="E149" s="21">
        <f t="shared" si="11"/>
        <v>536.50917249922907</v>
      </c>
      <c r="G149" s="20">
        <f t="shared" si="16"/>
        <v>0</v>
      </c>
      <c r="H149" s="9">
        <f>IF(Table48[[#This Row],[Month]]&lt;$C$20, G149*0, G149*($C$16/12))</f>
        <v>0</v>
      </c>
      <c r="I149" s="20">
        <f>IF(Table48[[#This Row],[Principal]]&gt;0, K149-H149, 0)</f>
        <v>0</v>
      </c>
      <c r="J149">
        <f t="shared" si="17"/>
        <v>85</v>
      </c>
      <c r="K149" s="21">
        <f t="shared" si="12"/>
        <v>641.92252346322982</v>
      </c>
      <c r="M149" s="20">
        <f t="shared" si="18"/>
        <v>0</v>
      </c>
      <c r="N149" s="9">
        <f>IF(Table49[[#This Row],[Month]]&lt;$D$20, M149*0, M149*($D$16/12))</f>
        <v>0</v>
      </c>
      <c r="O149" s="20">
        <f t="shared" si="13"/>
        <v>0</v>
      </c>
      <c r="P149">
        <f t="shared" si="19"/>
        <v>85</v>
      </c>
      <c r="Q149" s="21">
        <f>IF(Table49[[#This Row],[Month]]&lt;=$D$19, $A$65*((($D$16/12)*(1+$D$16/12)^$D$19)/(((1+$D$16/12)^$D$19)-1)), 0)</f>
        <v>0</v>
      </c>
    </row>
    <row r="150" spans="1:17" x14ac:dyDescent="0.3">
      <c r="A150" s="20">
        <f t="shared" si="14"/>
        <v>1.0788880899781361E-10</v>
      </c>
      <c r="B150" s="9">
        <f>IF(Table4[[#This Row],[Month]]&lt;$B$20, A150*0, A150*($B$16/12))</f>
        <v>4.4953670415755671E-13</v>
      </c>
      <c r="C150" s="20">
        <f>IF((E150-B150)&lt;Table4[[#This Row],[Principal]], E150-B150, 0)</f>
        <v>0</v>
      </c>
      <c r="D150">
        <f t="shared" si="15"/>
        <v>86</v>
      </c>
      <c r="E150" s="21">
        <f t="shared" si="11"/>
        <v>536.50917249922907</v>
      </c>
      <c r="G150" s="20">
        <f t="shared" si="16"/>
        <v>0</v>
      </c>
      <c r="H150" s="9">
        <f>IF(Table48[[#This Row],[Month]]&lt;$C$20, G150*0, G150*($C$16/12))</f>
        <v>0</v>
      </c>
      <c r="I150" s="20">
        <f>IF(Table48[[#This Row],[Principal]]&gt;0, K150-H150, 0)</f>
        <v>0</v>
      </c>
      <c r="J150">
        <f t="shared" si="17"/>
        <v>86</v>
      </c>
      <c r="K150" s="21">
        <f t="shared" si="12"/>
        <v>641.92252346322982</v>
      </c>
      <c r="M150" s="20">
        <f t="shared" si="18"/>
        <v>0</v>
      </c>
      <c r="N150" s="9">
        <f>IF(Table49[[#This Row],[Month]]&lt;$D$20, M150*0, M150*($D$16/12))</f>
        <v>0</v>
      </c>
      <c r="O150" s="20">
        <f t="shared" si="13"/>
        <v>0</v>
      </c>
      <c r="P150">
        <f t="shared" si="19"/>
        <v>86</v>
      </c>
      <c r="Q150" s="21">
        <f>IF(Table49[[#This Row],[Month]]&lt;=$D$19, $A$65*((($D$16/12)*(1+$D$16/12)^$D$19)/(((1+$D$16/12)^$D$19)-1)), 0)</f>
        <v>0</v>
      </c>
    </row>
    <row r="151" spans="1:17" x14ac:dyDescent="0.3">
      <c r="A151" s="20">
        <f t="shared" si="14"/>
        <v>1.0788880899781361E-10</v>
      </c>
      <c r="B151" s="9">
        <f>IF(Table4[[#This Row],[Month]]&lt;$B$20, A151*0, A151*($B$16/12))</f>
        <v>4.4953670415755671E-13</v>
      </c>
      <c r="C151" s="20">
        <f>IF((E151-B151)&lt;Table4[[#This Row],[Principal]], E151-B151, 0)</f>
        <v>0</v>
      </c>
      <c r="D151">
        <f t="shared" si="15"/>
        <v>87</v>
      </c>
      <c r="E151" s="21">
        <f t="shared" si="11"/>
        <v>536.50917249922907</v>
      </c>
      <c r="G151" s="20">
        <f t="shared" si="16"/>
        <v>0</v>
      </c>
      <c r="H151" s="9">
        <f>IF(Table48[[#This Row],[Month]]&lt;$C$20, G151*0, G151*($C$16/12))</f>
        <v>0</v>
      </c>
      <c r="I151" s="20">
        <f>IF(Table48[[#This Row],[Principal]]&gt;0, K151-H151, 0)</f>
        <v>0</v>
      </c>
      <c r="J151">
        <f t="shared" si="17"/>
        <v>87</v>
      </c>
      <c r="K151" s="21">
        <f t="shared" si="12"/>
        <v>641.92252346322982</v>
      </c>
      <c r="M151" s="20">
        <f t="shared" si="18"/>
        <v>0</v>
      </c>
      <c r="N151" s="9">
        <f>IF(Table49[[#This Row],[Month]]&lt;$D$20, M151*0, M151*($D$16/12))</f>
        <v>0</v>
      </c>
      <c r="O151" s="20">
        <f t="shared" si="13"/>
        <v>0</v>
      </c>
      <c r="P151">
        <f t="shared" si="19"/>
        <v>87</v>
      </c>
      <c r="Q151" s="21">
        <f>IF(Table49[[#This Row],[Month]]&lt;=$D$19, $A$65*((($D$16/12)*(1+$D$16/12)^$D$19)/(((1+$D$16/12)^$D$19)-1)), 0)</f>
        <v>0</v>
      </c>
    </row>
    <row r="152" spans="1:17" x14ac:dyDescent="0.3">
      <c r="A152" s="20">
        <f t="shared" si="14"/>
        <v>1.0788880899781361E-10</v>
      </c>
      <c r="B152" s="9">
        <f>IF(Table4[[#This Row],[Month]]&lt;$B$20, A152*0, A152*($B$16/12))</f>
        <v>4.4953670415755671E-13</v>
      </c>
      <c r="C152" s="20">
        <f>IF((E152-B152)&lt;Table4[[#This Row],[Principal]], E152-B152, 0)</f>
        <v>0</v>
      </c>
      <c r="D152">
        <f t="shared" si="15"/>
        <v>88</v>
      </c>
      <c r="E152" s="21">
        <f t="shared" si="11"/>
        <v>536.50917249922907</v>
      </c>
      <c r="G152" s="20">
        <f t="shared" si="16"/>
        <v>0</v>
      </c>
      <c r="H152" s="9">
        <f>IF(Table48[[#This Row],[Month]]&lt;$C$20, G152*0, G152*($C$16/12))</f>
        <v>0</v>
      </c>
      <c r="I152" s="20">
        <f>IF(Table48[[#This Row],[Principal]]&gt;0, K152-H152, 0)</f>
        <v>0</v>
      </c>
      <c r="J152">
        <f t="shared" si="17"/>
        <v>88</v>
      </c>
      <c r="K152" s="21">
        <f t="shared" si="12"/>
        <v>641.92252346322982</v>
      </c>
      <c r="M152" s="20">
        <f t="shared" si="18"/>
        <v>0</v>
      </c>
      <c r="N152" s="9">
        <f>IF(Table49[[#This Row],[Month]]&lt;$D$20, M152*0, M152*($D$16/12))</f>
        <v>0</v>
      </c>
      <c r="O152" s="20">
        <f t="shared" si="13"/>
        <v>0</v>
      </c>
      <c r="P152">
        <f t="shared" si="19"/>
        <v>88</v>
      </c>
      <c r="Q152" s="21">
        <f>IF(Table49[[#This Row],[Month]]&lt;=$D$19, $A$65*((($D$16/12)*(1+$D$16/12)^$D$19)/(((1+$D$16/12)^$D$19)-1)), 0)</f>
        <v>0</v>
      </c>
    </row>
    <row r="153" spans="1:17" x14ac:dyDescent="0.3">
      <c r="A153" s="20">
        <f t="shared" si="14"/>
        <v>1.0788880899781361E-10</v>
      </c>
      <c r="B153" s="9">
        <f>IF(Table4[[#This Row],[Month]]&lt;$B$20, A153*0, A153*($B$16/12))</f>
        <v>4.4953670415755671E-13</v>
      </c>
      <c r="C153" s="20">
        <f>IF((E153-B153)&lt;Table4[[#This Row],[Principal]], E153-B153, 0)</f>
        <v>0</v>
      </c>
      <c r="D153">
        <f t="shared" si="15"/>
        <v>89</v>
      </c>
      <c r="E153" s="21">
        <f t="shared" si="11"/>
        <v>536.50917249922907</v>
      </c>
      <c r="G153" s="20">
        <f t="shared" si="16"/>
        <v>0</v>
      </c>
      <c r="H153" s="9">
        <f>IF(Table48[[#This Row],[Month]]&lt;$C$20, G153*0, G153*($C$16/12))</f>
        <v>0</v>
      </c>
      <c r="I153" s="20">
        <f>IF(Table48[[#This Row],[Principal]]&gt;0, K153-H153, 0)</f>
        <v>0</v>
      </c>
      <c r="J153">
        <f t="shared" si="17"/>
        <v>89</v>
      </c>
      <c r="K153" s="21">
        <f t="shared" si="12"/>
        <v>641.92252346322982</v>
      </c>
      <c r="M153" s="20">
        <f t="shared" si="18"/>
        <v>0</v>
      </c>
      <c r="N153" s="9">
        <f>IF(Table49[[#This Row],[Month]]&lt;$D$20, M153*0, M153*($D$16/12))</f>
        <v>0</v>
      </c>
      <c r="O153" s="20">
        <f t="shared" si="13"/>
        <v>0</v>
      </c>
      <c r="P153">
        <f t="shared" si="19"/>
        <v>89</v>
      </c>
      <c r="Q153" s="21">
        <f>IF(Table49[[#This Row],[Month]]&lt;=$D$19, $A$65*((($D$16/12)*(1+$D$16/12)^$D$19)/(((1+$D$16/12)^$D$19)-1)), 0)</f>
        <v>0</v>
      </c>
    </row>
    <row r="154" spans="1:17" x14ac:dyDescent="0.3">
      <c r="A154" s="20">
        <f t="shared" si="14"/>
        <v>1.0788880899781361E-10</v>
      </c>
      <c r="B154" s="9">
        <f>IF(Table4[[#This Row],[Month]]&lt;$B$20, A154*0, A154*($B$16/12))</f>
        <v>4.4953670415755671E-13</v>
      </c>
      <c r="C154" s="20">
        <f>IF((E154-B154)&lt;Table4[[#This Row],[Principal]], E154-B154, 0)</f>
        <v>0</v>
      </c>
      <c r="D154">
        <f t="shared" si="15"/>
        <v>90</v>
      </c>
      <c r="E154" s="21">
        <f t="shared" si="11"/>
        <v>536.50917249922907</v>
      </c>
      <c r="G154" s="20">
        <f t="shared" si="16"/>
        <v>0</v>
      </c>
      <c r="H154" s="9">
        <f>IF(Table48[[#This Row],[Month]]&lt;$C$20, G154*0, G154*($C$16/12))</f>
        <v>0</v>
      </c>
      <c r="I154" s="20">
        <f>IF(Table48[[#This Row],[Principal]]&gt;0, K154-H154, 0)</f>
        <v>0</v>
      </c>
      <c r="J154">
        <f t="shared" si="17"/>
        <v>90</v>
      </c>
      <c r="K154" s="21">
        <f t="shared" si="12"/>
        <v>641.92252346322982</v>
      </c>
      <c r="M154" s="20">
        <f t="shared" si="18"/>
        <v>0</v>
      </c>
      <c r="N154" s="9">
        <f>IF(Table49[[#This Row],[Month]]&lt;$D$20, M154*0, M154*($D$16/12))</f>
        <v>0</v>
      </c>
      <c r="O154" s="20">
        <f t="shared" si="13"/>
        <v>0</v>
      </c>
      <c r="P154">
        <f t="shared" si="19"/>
        <v>90</v>
      </c>
      <c r="Q154" s="21">
        <f>IF(Table49[[#This Row],[Month]]&lt;=$D$19, $A$65*((($D$16/12)*(1+$D$16/12)^$D$19)/(((1+$D$16/12)^$D$19)-1)), 0)</f>
        <v>0</v>
      </c>
    </row>
    <row r="155" spans="1:17" x14ac:dyDescent="0.3">
      <c r="A155" s="20">
        <f t="shared" si="14"/>
        <v>1.0788880899781361E-10</v>
      </c>
      <c r="B155" s="9">
        <f>IF(Table4[[#This Row],[Month]]&lt;$B$20, A155*0, A155*($B$16/12))</f>
        <v>4.4953670415755671E-13</v>
      </c>
      <c r="C155" s="20">
        <f>IF((E155-B155)&lt;Table4[[#This Row],[Principal]], E155-B155, 0)</f>
        <v>0</v>
      </c>
      <c r="D155">
        <f t="shared" si="15"/>
        <v>91</v>
      </c>
      <c r="E155" s="21">
        <f t="shared" si="11"/>
        <v>536.50917249922907</v>
      </c>
      <c r="G155" s="20">
        <f t="shared" si="16"/>
        <v>0</v>
      </c>
      <c r="H155" s="9">
        <f>IF(Table48[[#This Row],[Month]]&lt;$C$20, G155*0, G155*($C$16/12))</f>
        <v>0</v>
      </c>
      <c r="I155" s="20">
        <f>IF(Table48[[#This Row],[Principal]]&gt;0, K155-H155, 0)</f>
        <v>0</v>
      </c>
      <c r="J155">
        <f t="shared" si="17"/>
        <v>91</v>
      </c>
      <c r="K155" s="21">
        <f t="shared" si="12"/>
        <v>641.92252346322982</v>
      </c>
      <c r="M155" s="20">
        <f t="shared" si="18"/>
        <v>0</v>
      </c>
      <c r="N155" s="9">
        <f>IF(Table49[[#This Row],[Month]]&lt;$D$20, M155*0, M155*($D$16/12))</f>
        <v>0</v>
      </c>
      <c r="O155" s="20">
        <f t="shared" si="13"/>
        <v>0</v>
      </c>
      <c r="P155">
        <f t="shared" si="19"/>
        <v>91</v>
      </c>
      <c r="Q155" s="21">
        <f>IF(Table49[[#This Row],[Month]]&lt;=$D$19, $A$65*((($D$16/12)*(1+$D$16/12)^$D$19)/(((1+$D$16/12)^$D$19)-1)), 0)</f>
        <v>0</v>
      </c>
    </row>
    <row r="156" spans="1:17" x14ac:dyDescent="0.3">
      <c r="A156" s="20">
        <f t="shared" si="14"/>
        <v>1.0788880899781361E-10</v>
      </c>
      <c r="B156" s="9">
        <f>IF(Table4[[#This Row],[Month]]&lt;$B$20, A156*0, A156*($B$16/12))</f>
        <v>4.4953670415755671E-13</v>
      </c>
      <c r="C156" s="20">
        <f>IF((E156-B156)&lt;Table4[[#This Row],[Principal]], E156-B156, 0)</f>
        <v>0</v>
      </c>
      <c r="D156">
        <f t="shared" si="15"/>
        <v>92</v>
      </c>
      <c r="E156" s="21">
        <f t="shared" si="11"/>
        <v>536.50917249922907</v>
      </c>
      <c r="G156" s="20">
        <f t="shared" si="16"/>
        <v>0</v>
      </c>
      <c r="H156" s="9">
        <f>IF(Table48[[#This Row],[Month]]&lt;$C$20, G156*0, G156*($C$16/12))</f>
        <v>0</v>
      </c>
      <c r="I156" s="20">
        <f>IF(Table48[[#This Row],[Principal]]&gt;0, K156-H156, 0)</f>
        <v>0</v>
      </c>
      <c r="J156">
        <f t="shared" si="17"/>
        <v>92</v>
      </c>
      <c r="K156" s="21">
        <f t="shared" si="12"/>
        <v>641.92252346322982</v>
      </c>
      <c r="M156" s="20">
        <f t="shared" si="18"/>
        <v>0</v>
      </c>
      <c r="N156" s="9">
        <f>IF(Table49[[#This Row],[Month]]&lt;$D$20, M156*0, M156*($D$16/12))</f>
        <v>0</v>
      </c>
      <c r="O156" s="20">
        <f t="shared" si="13"/>
        <v>0</v>
      </c>
      <c r="P156">
        <f t="shared" si="19"/>
        <v>92</v>
      </c>
      <c r="Q156" s="21">
        <f>IF(Table49[[#This Row],[Month]]&lt;=$D$19, $A$65*((($D$16/12)*(1+$D$16/12)^$D$19)/(((1+$D$16/12)^$D$19)-1)), 0)</f>
        <v>0</v>
      </c>
    </row>
    <row r="157" spans="1:17" x14ac:dyDescent="0.3">
      <c r="A157" s="20">
        <f t="shared" si="14"/>
        <v>1.0788880899781361E-10</v>
      </c>
      <c r="B157" s="9">
        <f>IF(Table4[[#This Row],[Month]]&lt;$B$20, A157*0, A157*($B$16/12))</f>
        <v>4.4953670415755671E-13</v>
      </c>
      <c r="C157" s="20">
        <f>IF((E157-B157)&lt;Table4[[#This Row],[Principal]], E157-B157, 0)</f>
        <v>0</v>
      </c>
      <c r="D157">
        <f t="shared" si="15"/>
        <v>93</v>
      </c>
      <c r="E157" s="21">
        <f t="shared" si="11"/>
        <v>536.50917249922907</v>
      </c>
      <c r="G157" s="20">
        <f t="shared" si="16"/>
        <v>0</v>
      </c>
      <c r="H157" s="9">
        <f>IF(Table48[[#This Row],[Month]]&lt;$C$20, G157*0, G157*($C$16/12))</f>
        <v>0</v>
      </c>
      <c r="I157" s="20">
        <f>IF(Table48[[#This Row],[Principal]]&gt;0, K157-H157, 0)</f>
        <v>0</v>
      </c>
      <c r="J157">
        <f t="shared" si="17"/>
        <v>93</v>
      </c>
      <c r="K157" s="21">
        <f t="shared" si="12"/>
        <v>641.92252346322982</v>
      </c>
      <c r="M157" s="20">
        <f t="shared" si="18"/>
        <v>0</v>
      </c>
      <c r="N157" s="9">
        <f>IF(Table49[[#This Row],[Month]]&lt;$D$20, M157*0, M157*($D$16/12))</f>
        <v>0</v>
      </c>
      <c r="O157" s="20">
        <f t="shared" si="13"/>
        <v>0</v>
      </c>
      <c r="P157">
        <f t="shared" si="19"/>
        <v>93</v>
      </c>
      <c r="Q157" s="21">
        <f>IF(Table49[[#This Row],[Month]]&lt;=$D$19, $A$65*((($D$16/12)*(1+$D$16/12)^$D$19)/(((1+$D$16/12)^$D$19)-1)), 0)</f>
        <v>0</v>
      </c>
    </row>
    <row r="158" spans="1:17" x14ac:dyDescent="0.3">
      <c r="A158" s="20">
        <f t="shared" si="14"/>
        <v>1.0788880899781361E-10</v>
      </c>
      <c r="B158" s="9">
        <f>IF(Table4[[#This Row],[Month]]&lt;$B$20, A158*0, A158*($B$16/12))</f>
        <v>4.4953670415755671E-13</v>
      </c>
      <c r="C158" s="20">
        <f>IF((E158-B158)&lt;Table4[[#This Row],[Principal]], E158-B158, 0)</f>
        <v>0</v>
      </c>
      <c r="D158">
        <f t="shared" si="15"/>
        <v>94</v>
      </c>
      <c r="E158" s="21">
        <f t="shared" si="11"/>
        <v>536.50917249922907</v>
      </c>
      <c r="G158" s="20">
        <f t="shared" si="16"/>
        <v>0</v>
      </c>
      <c r="H158" s="9">
        <f>IF(Table48[[#This Row],[Month]]&lt;$C$20, G158*0, G158*($C$16/12))</f>
        <v>0</v>
      </c>
      <c r="I158" s="20">
        <f>IF(Table48[[#This Row],[Principal]]&gt;0, K158-H158, 0)</f>
        <v>0</v>
      </c>
      <c r="J158">
        <f t="shared" si="17"/>
        <v>94</v>
      </c>
      <c r="K158" s="21">
        <f t="shared" si="12"/>
        <v>641.92252346322982</v>
      </c>
      <c r="M158" s="20">
        <f t="shared" si="18"/>
        <v>0</v>
      </c>
      <c r="N158" s="9">
        <f>IF(Table49[[#This Row],[Month]]&lt;$D$20, M158*0, M158*($D$16/12))</f>
        <v>0</v>
      </c>
      <c r="O158" s="20">
        <f t="shared" si="13"/>
        <v>0</v>
      </c>
      <c r="P158">
        <f t="shared" si="19"/>
        <v>94</v>
      </c>
      <c r="Q158" s="21">
        <f>IF(Table49[[#This Row],[Month]]&lt;=$D$19, $A$65*((($D$16/12)*(1+$D$16/12)^$D$19)/(((1+$D$16/12)^$D$19)-1)), 0)</f>
        <v>0</v>
      </c>
    </row>
    <row r="159" spans="1:17" x14ac:dyDescent="0.3">
      <c r="A159" s="20">
        <f t="shared" si="14"/>
        <v>1.0788880899781361E-10</v>
      </c>
      <c r="B159" s="9">
        <f>IF(Table4[[#This Row],[Month]]&lt;$B$20, A159*0, A159*($B$16/12))</f>
        <v>4.4953670415755671E-13</v>
      </c>
      <c r="C159" s="20">
        <f>IF((E159-B159)&lt;Table4[[#This Row],[Principal]], E159-B159, 0)</f>
        <v>0</v>
      </c>
      <c r="D159">
        <f t="shared" si="15"/>
        <v>95</v>
      </c>
      <c r="E159" s="21">
        <f t="shared" si="11"/>
        <v>536.50917249922907</v>
      </c>
      <c r="G159" s="20">
        <f t="shared" si="16"/>
        <v>0</v>
      </c>
      <c r="H159" s="9">
        <f>IF(Table48[[#This Row],[Month]]&lt;$C$20, G159*0, G159*($C$16/12))</f>
        <v>0</v>
      </c>
      <c r="I159" s="20">
        <f>IF(Table48[[#This Row],[Principal]]&gt;0, K159-H159, 0)</f>
        <v>0</v>
      </c>
      <c r="J159">
        <f t="shared" si="17"/>
        <v>95</v>
      </c>
      <c r="K159" s="21">
        <f t="shared" si="12"/>
        <v>641.92252346322982</v>
      </c>
      <c r="M159" s="20">
        <f t="shared" si="18"/>
        <v>0</v>
      </c>
      <c r="N159" s="9">
        <f>IF(Table49[[#This Row],[Month]]&lt;$D$20, M159*0, M159*($D$16/12))</f>
        <v>0</v>
      </c>
      <c r="O159" s="20">
        <f t="shared" si="13"/>
        <v>0</v>
      </c>
      <c r="P159">
        <f t="shared" si="19"/>
        <v>95</v>
      </c>
      <c r="Q159" s="21">
        <f>IF(Table49[[#This Row],[Month]]&lt;=$D$19, $A$65*((($D$16/12)*(1+$D$16/12)^$D$19)/(((1+$D$16/12)^$D$19)-1)), 0)</f>
        <v>0</v>
      </c>
    </row>
    <row r="160" spans="1:17" x14ac:dyDescent="0.3">
      <c r="A160" s="20">
        <f t="shared" si="14"/>
        <v>1.0788880899781361E-10</v>
      </c>
      <c r="B160" s="9">
        <f>IF(Table4[[#This Row],[Month]]&lt;$B$20, A160*0, A160*($B$16/12))</f>
        <v>4.4953670415755671E-13</v>
      </c>
      <c r="C160" s="20">
        <f>IF((E160-B160)&lt;Table4[[#This Row],[Principal]], E160-B160, 0)</f>
        <v>0</v>
      </c>
      <c r="D160">
        <f t="shared" si="15"/>
        <v>96</v>
      </c>
      <c r="E160" s="21">
        <f t="shared" si="11"/>
        <v>536.50917249922907</v>
      </c>
      <c r="G160" s="20">
        <f t="shared" si="16"/>
        <v>0</v>
      </c>
      <c r="H160" s="9">
        <f>IF(Table48[[#This Row],[Month]]&lt;$C$20, G160*0, G160*($C$16/12))</f>
        <v>0</v>
      </c>
      <c r="I160" s="20">
        <f>IF(Table48[[#This Row],[Principal]]&gt;0, K160-H160, 0)</f>
        <v>0</v>
      </c>
      <c r="J160">
        <f t="shared" si="17"/>
        <v>96</v>
      </c>
      <c r="K160" s="21">
        <f t="shared" si="12"/>
        <v>641.92252346322982</v>
      </c>
      <c r="M160" s="20">
        <f t="shared" si="18"/>
        <v>0</v>
      </c>
      <c r="N160" s="9">
        <f>IF(Table49[[#This Row],[Month]]&lt;$D$20, M160*0, M160*($D$16/12))</f>
        <v>0</v>
      </c>
      <c r="O160" s="20">
        <f t="shared" si="13"/>
        <v>0</v>
      </c>
      <c r="P160">
        <f t="shared" si="19"/>
        <v>96</v>
      </c>
      <c r="Q160" s="21">
        <f>IF(Table49[[#This Row],[Month]]&lt;=$D$19, $A$65*((($D$16/12)*(1+$D$16/12)^$D$19)/(((1+$D$16/12)^$D$19)-1)), 0)</f>
        <v>0</v>
      </c>
    </row>
    <row r="161" spans="1:17" x14ac:dyDescent="0.3">
      <c r="A161" s="20">
        <f t="shared" si="14"/>
        <v>1.0788880899781361E-10</v>
      </c>
      <c r="B161" s="9">
        <f>IF(Table4[[#This Row],[Month]]&lt;$B$20, A161*0, A161*($B$16/12))</f>
        <v>4.4953670415755671E-13</v>
      </c>
      <c r="C161" s="20">
        <f>IF((E161-B161)&lt;Table4[[#This Row],[Principal]], E161-B161, 0)</f>
        <v>0</v>
      </c>
      <c r="D161">
        <f t="shared" si="15"/>
        <v>97</v>
      </c>
      <c r="E161" s="21">
        <f t="shared" ref="E161:E191" si="20">$A$65*((($B$16/12)*(1+$B$16/12)^$B$19)/(((1+$B$16/12)^$B$19)-1))</f>
        <v>536.50917249922907</v>
      </c>
      <c r="G161" s="20">
        <f t="shared" si="16"/>
        <v>0</v>
      </c>
      <c r="H161" s="9">
        <f>IF(Table48[[#This Row],[Month]]&lt;$C$20, G161*0, G161*($C$16/12))</f>
        <v>0</v>
      </c>
      <c r="I161" s="20">
        <f>IF(Table48[[#This Row],[Principal]]&gt;0, K161-H161, 0)</f>
        <v>0</v>
      </c>
      <c r="J161">
        <f t="shared" si="17"/>
        <v>97</v>
      </c>
      <c r="K161" s="21">
        <f t="shared" ref="K161:K191" si="21">$A$65*((($C$16/12)*(1+$C$16/12)^$C$19)/(((1+$C$16/12)^$C$19)-1))</f>
        <v>641.92252346322982</v>
      </c>
      <c r="M161" s="20">
        <f t="shared" si="18"/>
        <v>0</v>
      </c>
      <c r="N161" s="9">
        <f>IF(Table49[[#This Row],[Month]]&lt;$D$20, M161*0, M161*($D$16/12))</f>
        <v>0</v>
      </c>
      <c r="O161" s="20">
        <f t="shared" si="13"/>
        <v>0</v>
      </c>
      <c r="P161">
        <f t="shared" si="19"/>
        <v>97</v>
      </c>
      <c r="Q161" s="21">
        <f>IF(Table49[[#This Row],[Month]]&lt;=$D$19, $A$65*((($D$16/12)*(1+$D$16/12)^$D$19)/(((1+$D$16/12)^$D$19)-1)), 0)</f>
        <v>0</v>
      </c>
    </row>
    <row r="162" spans="1:17" x14ac:dyDescent="0.3">
      <c r="A162" s="20">
        <f t="shared" si="14"/>
        <v>1.0788880899781361E-10</v>
      </c>
      <c r="B162" s="9">
        <f>IF(Table4[[#This Row],[Month]]&lt;$B$20, A162*0, A162*($B$16/12))</f>
        <v>4.4953670415755671E-13</v>
      </c>
      <c r="C162" s="20">
        <f>IF((E162-B162)&lt;Table4[[#This Row],[Principal]], E162-B162, 0)</f>
        <v>0</v>
      </c>
      <c r="D162">
        <f t="shared" si="15"/>
        <v>98</v>
      </c>
      <c r="E162" s="21">
        <f t="shared" si="20"/>
        <v>536.50917249922907</v>
      </c>
      <c r="G162" s="20">
        <f t="shared" si="16"/>
        <v>0</v>
      </c>
      <c r="H162" s="9">
        <f>IF(Table48[[#This Row],[Month]]&lt;$C$20, G162*0, G162*($C$16/12))</f>
        <v>0</v>
      </c>
      <c r="I162" s="20">
        <f>IF(Table48[[#This Row],[Principal]]&gt;0, K162-H162, 0)</f>
        <v>0</v>
      </c>
      <c r="J162">
        <f t="shared" si="17"/>
        <v>98</v>
      </c>
      <c r="K162" s="21">
        <f t="shared" si="21"/>
        <v>641.92252346322982</v>
      </c>
      <c r="M162" s="20">
        <f t="shared" si="18"/>
        <v>0</v>
      </c>
      <c r="N162" s="9">
        <f>IF(Table49[[#This Row],[Month]]&lt;$D$20, M162*0, M162*($D$16/12))</f>
        <v>0</v>
      </c>
      <c r="O162" s="20">
        <f t="shared" si="13"/>
        <v>0</v>
      </c>
      <c r="P162">
        <f t="shared" si="19"/>
        <v>98</v>
      </c>
      <c r="Q162" s="21">
        <f>IF(Table49[[#This Row],[Month]]&lt;=$D$19, $A$65*((($D$16/12)*(1+$D$16/12)^$D$19)/(((1+$D$16/12)^$D$19)-1)), 0)</f>
        <v>0</v>
      </c>
    </row>
    <row r="163" spans="1:17" x14ac:dyDescent="0.3">
      <c r="A163" s="20">
        <f t="shared" si="14"/>
        <v>1.0788880899781361E-10</v>
      </c>
      <c r="B163" s="9">
        <f>IF(Table4[[#This Row],[Month]]&lt;$B$20, A163*0, A163*($B$16/12))</f>
        <v>4.4953670415755671E-13</v>
      </c>
      <c r="C163" s="20">
        <f>IF((E163-B163)&lt;Table4[[#This Row],[Principal]], E163-B163, 0)</f>
        <v>0</v>
      </c>
      <c r="D163">
        <f t="shared" si="15"/>
        <v>99</v>
      </c>
      <c r="E163" s="21">
        <f t="shared" si="20"/>
        <v>536.50917249922907</v>
      </c>
      <c r="G163" s="20">
        <f t="shared" si="16"/>
        <v>0</v>
      </c>
      <c r="H163" s="9">
        <f>IF(Table48[[#This Row],[Month]]&lt;$C$20, G163*0, G163*($C$16/12))</f>
        <v>0</v>
      </c>
      <c r="I163" s="20">
        <f>IF(Table48[[#This Row],[Principal]]&gt;0, K163-H163, 0)</f>
        <v>0</v>
      </c>
      <c r="J163">
        <f t="shared" si="17"/>
        <v>99</v>
      </c>
      <c r="K163" s="21">
        <f t="shared" si="21"/>
        <v>641.92252346322982</v>
      </c>
      <c r="M163" s="20">
        <f t="shared" si="18"/>
        <v>0</v>
      </c>
      <c r="N163" s="9">
        <f>IF(Table49[[#This Row],[Month]]&lt;$D$20, M163*0, M163*($D$16/12))</f>
        <v>0</v>
      </c>
      <c r="O163" s="20">
        <f t="shared" si="13"/>
        <v>0</v>
      </c>
      <c r="P163">
        <f t="shared" si="19"/>
        <v>99</v>
      </c>
      <c r="Q163" s="21">
        <f>IF(Table49[[#This Row],[Month]]&lt;=$D$19, $A$65*((($D$16/12)*(1+$D$16/12)^$D$19)/(((1+$D$16/12)^$D$19)-1)), 0)</f>
        <v>0</v>
      </c>
    </row>
    <row r="164" spans="1:17" x14ac:dyDescent="0.3">
      <c r="A164" s="20">
        <f t="shared" si="14"/>
        <v>1.0788880899781361E-10</v>
      </c>
      <c r="B164" s="9">
        <f>IF(Table4[[#This Row],[Month]]&lt;$B$20, A164*0, A164*($B$16/12))</f>
        <v>4.4953670415755671E-13</v>
      </c>
      <c r="C164" s="20">
        <f>IF((E164-B164)&lt;Table4[[#This Row],[Principal]], E164-B164, 0)</f>
        <v>0</v>
      </c>
      <c r="D164">
        <f t="shared" si="15"/>
        <v>100</v>
      </c>
      <c r="E164" s="21">
        <f t="shared" si="20"/>
        <v>536.50917249922907</v>
      </c>
      <c r="G164" s="20">
        <f t="shared" si="16"/>
        <v>0</v>
      </c>
      <c r="H164" s="9">
        <f>IF(Table48[[#This Row],[Month]]&lt;$C$20, G164*0, G164*($C$16/12))</f>
        <v>0</v>
      </c>
      <c r="I164" s="20">
        <f>IF(Table48[[#This Row],[Principal]]&gt;0, K164-H164, 0)</f>
        <v>0</v>
      </c>
      <c r="J164">
        <f t="shared" si="17"/>
        <v>100</v>
      </c>
      <c r="K164" s="21">
        <f t="shared" si="21"/>
        <v>641.92252346322982</v>
      </c>
      <c r="M164" s="20">
        <f t="shared" si="18"/>
        <v>0</v>
      </c>
      <c r="N164" s="9">
        <f>IF(Table49[[#This Row],[Month]]&lt;$D$20, M164*0, M164*($D$16/12))</f>
        <v>0</v>
      </c>
      <c r="O164" s="20">
        <f t="shared" si="13"/>
        <v>0</v>
      </c>
      <c r="P164">
        <f t="shared" si="19"/>
        <v>100</v>
      </c>
      <c r="Q164" s="21">
        <f>IF(Table49[[#This Row],[Month]]&lt;=$D$19, $A$65*((($D$16/12)*(1+$D$16/12)^$D$19)/(((1+$D$16/12)^$D$19)-1)), 0)</f>
        <v>0</v>
      </c>
    </row>
    <row r="165" spans="1:17" x14ac:dyDescent="0.3">
      <c r="A165" s="20">
        <f t="shared" si="14"/>
        <v>1.0788880899781361E-10</v>
      </c>
      <c r="B165" s="9">
        <f>IF(Table4[[#This Row],[Month]]&lt;$B$20, A165*0, A165*($B$16/12))</f>
        <v>4.4953670415755671E-13</v>
      </c>
      <c r="C165" s="20">
        <f>IF((E165-B165)&lt;Table4[[#This Row],[Principal]], E165-B165, 0)</f>
        <v>0</v>
      </c>
      <c r="D165">
        <f t="shared" si="15"/>
        <v>101</v>
      </c>
      <c r="E165" s="21">
        <f t="shared" si="20"/>
        <v>536.50917249922907</v>
      </c>
      <c r="G165" s="20">
        <f t="shared" si="16"/>
        <v>0</v>
      </c>
      <c r="H165" s="9">
        <f>IF(Table48[[#This Row],[Month]]&lt;$C$20, G165*0, G165*($C$16/12))</f>
        <v>0</v>
      </c>
      <c r="I165" s="20">
        <f>IF(Table48[[#This Row],[Principal]]&gt;0, K165-H165, 0)</f>
        <v>0</v>
      </c>
      <c r="J165">
        <f t="shared" si="17"/>
        <v>101</v>
      </c>
      <c r="K165" s="21">
        <f t="shared" si="21"/>
        <v>641.92252346322982</v>
      </c>
      <c r="M165" s="20">
        <f t="shared" si="18"/>
        <v>0</v>
      </c>
      <c r="N165" s="9">
        <f>IF(Table49[[#This Row],[Month]]&lt;$D$20, M165*0, M165*($D$16/12))</f>
        <v>0</v>
      </c>
      <c r="O165" s="20">
        <f t="shared" si="13"/>
        <v>0</v>
      </c>
      <c r="P165">
        <f t="shared" si="19"/>
        <v>101</v>
      </c>
      <c r="Q165" s="21">
        <f>IF(Table49[[#This Row],[Month]]&lt;=$D$19, $A$65*((($D$16/12)*(1+$D$16/12)^$D$19)/(((1+$D$16/12)^$D$19)-1)), 0)</f>
        <v>0</v>
      </c>
    </row>
    <row r="166" spans="1:17" x14ac:dyDescent="0.3">
      <c r="A166" s="20">
        <f t="shared" si="14"/>
        <v>1.0788880899781361E-10</v>
      </c>
      <c r="B166" s="9">
        <f>IF(Table4[[#This Row],[Month]]&lt;$B$20, A166*0, A166*($B$16/12))</f>
        <v>4.4953670415755671E-13</v>
      </c>
      <c r="C166" s="20">
        <f>IF((E166-B166)&lt;Table4[[#This Row],[Principal]], E166-B166, 0)</f>
        <v>0</v>
      </c>
      <c r="D166">
        <f t="shared" si="15"/>
        <v>102</v>
      </c>
      <c r="E166" s="21">
        <f t="shared" si="20"/>
        <v>536.50917249922907</v>
      </c>
      <c r="G166" s="20">
        <f t="shared" si="16"/>
        <v>0</v>
      </c>
      <c r="H166" s="9">
        <f>IF(Table48[[#This Row],[Month]]&lt;$C$20, G166*0, G166*($C$16/12))</f>
        <v>0</v>
      </c>
      <c r="I166" s="20">
        <f>IF(Table48[[#This Row],[Principal]]&gt;0, K166-H166, 0)</f>
        <v>0</v>
      </c>
      <c r="J166">
        <f t="shared" si="17"/>
        <v>102</v>
      </c>
      <c r="K166" s="21">
        <f t="shared" si="21"/>
        <v>641.92252346322982</v>
      </c>
      <c r="M166" s="20">
        <f t="shared" si="18"/>
        <v>0</v>
      </c>
      <c r="N166" s="9">
        <f>IF(Table49[[#This Row],[Month]]&lt;$D$20, M166*0, M166*($D$16/12))</f>
        <v>0</v>
      </c>
      <c r="O166" s="20">
        <f t="shared" si="13"/>
        <v>0</v>
      </c>
      <c r="P166">
        <f t="shared" si="19"/>
        <v>102</v>
      </c>
      <c r="Q166" s="21">
        <f>IF(Table49[[#This Row],[Month]]&lt;=$D$19, $A$65*((($D$16/12)*(1+$D$16/12)^$D$19)/(((1+$D$16/12)^$D$19)-1)), 0)</f>
        <v>0</v>
      </c>
    </row>
    <row r="167" spans="1:17" x14ac:dyDescent="0.3">
      <c r="A167" s="20">
        <f t="shared" si="14"/>
        <v>1.0788880899781361E-10</v>
      </c>
      <c r="B167" s="9">
        <f>IF(Table4[[#This Row],[Month]]&lt;$B$20, A167*0, A167*($B$16/12))</f>
        <v>4.4953670415755671E-13</v>
      </c>
      <c r="C167" s="20">
        <f>IF((E167-B167)&lt;Table4[[#This Row],[Principal]], E167-B167, 0)</f>
        <v>0</v>
      </c>
      <c r="D167">
        <f t="shared" si="15"/>
        <v>103</v>
      </c>
      <c r="E167" s="21">
        <f t="shared" si="20"/>
        <v>536.50917249922907</v>
      </c>
      <c r="G167" s="20">
        <f t="shared" si="16"/>
        <v>0</v>
      </c>
      <c r="H167" s="9">
        <f>IF(Table48[[#This Row],[Month]]&lt;$C$20, G167*0, G167*($C$16/12))</f>
        <v>0</v>
      </c>
      <c r="I167" s="20">
        <f>IF(Table48[[#This Row],[Principal]]&gt;0, K167-H167, 0)</f>
        <v>0</v>
      </c>
      <c r="J167">
        <f t="shared" si="17"/>
        <v>103</v>
      </c>
      <c r="K167" s="21">
        <f t="shared" si="21"/>
        <v>641.92252346322982</v>
      </c>
      <c r="M167" s="20">
        <f t="shared" si="18"/>
        <v>0</v>
      </c>
      <c r="N167" s="9">
        <f>IF(Table49[[#This Row],[Month]]&lt;$D$20, M167*0, M167*($D$16/12))</f>
        <v>0</v>
      </c>
      <c r="O167" s="20">
        <f t="shared" si="13"/>
        <v>0</v>
      </c>
      <c r="P167">
        <f t="shared" si="19"/>
        <v>103</v>
      </c>
      <c r="Q167" s="21">
        <f>IF(Table49[[#This Row],[Month]]&lt;=$D$19, $A$65*((($D$16/12)*(1+$D$16/12)^$D$19)/(((1+$D$16/12)^$D$19)-1)), 0)</f>
        <v>0</v>
      </c>
    </row>
    <row r="168" spans="1:17" x14ac:dyDescent="0.3">
      <c r="A168" s="20">
        <f t="shared" si="14"/>
        <v>1.0788880899781361E-10</v>
      </c>
      <c r="B168" s="9">
        <f>IF(Table4[[#This Row],[Month]]&lt;$B$20, A168*0, A168*($B$16/12))</f>
        <v>4.4953670415755671E-13</v>
      </c>
      <c r="C168" s="20">
        <f>IF((E168-B168)&lt;Table4[[#This Row],[Principal]], E168-B168, 0)</f>
        <v>0</v>
      </c>
      <c r="D168">
        <f>D167+1</f>
        <v>104</v>
      </c>
      <c r="E168" s="21">
        <f t="shared" si="20"/>
        <v>536.50917249922907</v>
      </c>
      <c r="G168" s="20">
        <f t="shared" si="16"/>
        <v>0</v>
      </c>
      <c r="H168" s="9">
        <f>IF(Table48[[#This Row],[Month]]&lt;$C$20, G168*0, G168*($C$16/12))</f>
        <v>0</v>
      </c>
      <c r="I168" s="20">
        <f>IF(Table48[[#This Row],[Principal]]&gt;0, K168-H168, 0)</f>
        <v>0</v>
      </c>
      <c r="J168">
        <f>J167+1</f>
        <v>104</v>
      </c>
      <c r="K168" s="21">
        <f t="shared" si="21"/>
        <v>641.92252346322982</v>
      </c>
      <c r="M168" s="20">
        <f t="shared" si="18"/>
        <v>0</v>
      </c>
      <c r="N168" s="9">
        <f>IF(Table49[[#This Row],[Month]]&lt;$D$20, M168*0, M168*($D$16/12))</f>
        <v>0</v>
      </c>
      <c r="O168" s="20">
        <f t="shared" si="13"/>
        <v>0</v>
      </c>
      <c r="P168">
        <f>P167+1</f>
        <v>104</v>
      </c>
      <c r="Q168" s="21">
        <f>IF(Table49[[#This Row],[Month]]&lt;=$D$19, $A$65*((($D$16/12)*(1+$D$16/12)^$D$19)/(((1+$D$16/12)^$D$19)-1)), 0)</f>
        <v>0</v>
      </c>
    </row>
    <row r="169" spans="1:17" x14ac:dyDescent="0.3">
      <c r="A169" s="20">
        <f t="shared" si="14"/>
        <v>1.0788880899781361E-10</v>
      </c>
      <c r="B169" s="9">
        <f>IF(Table4[[#This Row],[Month]]&lt;$B$20, A169*0, A169*($B$16/12))</f>
        <v>4.4953670415755671E-13</v>
      </c>
      <c r="C169" s="20">
        <f>IF((E169-B169)&lt;Table4[[#This Row],[Principal]], E169-B169, 0)</f>
        <v>0</v>
      </c>
      <c r="D169">
        <f t="shared" ref="D169:D191" si="22">D168+1</f>
        <v>105</v>
      </c>
      <c r="E169" s="21">
        <f t="shared" si="20"/>
        <v>536.50917249922907</v>
      </c>
      <c r="G169" s="20">
        <f t="shared" si="16"/>
        <v>0</v>
      </c>
      <c r="H169" s="9">
        <f>IF(Table48[[#This Row],[Month]]&lt;$C$20, G169*0, G169*($C$16/12))</f>
        <v>0</v>
      </c>
      <c r="I169" s="20">
        <f>IF(Table48[[#This Row],[Principal]]&gt;0, K169-H169, 0)</f>
        <v>0</v>
      </c>
      <c r="J169">
        <f t="shared" ref="J169:J191" si="23">J168+1</f>
        <v>105</v>
      </c>
      <c r="K169" s="21">
        <f t="shared" si="21"/>
        <v>641.92252346322982</v>
      </c>
      <c r="M169" s="20">
        <f t="shared" si="18"/>
        <v>0</v>
      </c>
      <c r="N169" s="9">
        <f>IF(Table49[[#This Row],[Month]]&lt;$D$20, M169*0, M169*($D$16/12))</f>
        <v>0</v>
      </c>
      <c r="O169" s="20">
        <f t="shared" si="13"/>
        <v>0</v>
      </c>
      <c r="P169">
        <f t="shared" ref="P169:P191" si="24">P168+1</f>
        <v>105</v>
      </c>
      <c r="Q169" s="21">
        <f>IF(Table49[[#This Row],[Month]]&lt;=$D$19, $A$65*((($D$16/12)*(1+$D$16/12)^$D$19)/(((1+$D$16/12)^$D$19)-1)), 0)</f>
        <v>0</v>
      </c>
    </row>
    <row r="170" spans="1:17" x14ac:dyDescent="0.3">
      <c r="A170" s="20">
        <f t="shared" si="14"/>
        <v>1.0788880899781361E-10</v>
      </c>
      <c r="B170" s="9">
        <f>IF(Table4[[#This Row],[Month]]&lt;$B$20, A170*0, A170*($B$16/12))</f>
        <v>4.4953670415755671E-13</v>
      </c>
      <c r="C170" s="20">
        <f>IF((E170-B170)&lt;Table4[[#This Row],[Principal]], E170-B170, 0)</f>
        <v>0</v>
      </c>
      <c r="D170">
        <f t="shared" si="22"/>
        <v>106</v>
      </c>
      <c r="E170" s="21">
        <f t="shared" si="20"/>
        <v>536.50917249922907</v>
      </c>
      <c r="G170" s="20">
        <f t="shared" si="16"/>
        <v>0</v>
      </c>
      <c r="H170" s="9">
        <f>IF(Table48[[#This Row],[Month]]&lt;$C$20, G170*0, G170*($C$16/12))</f>
        <v>0</v>
      </c>
      <c r="I170" s="20">
        <f>IF(Table48[[#This Row],[Principal]]&gt;0, K170-H170, 0)</f>
        <v>0</v>
      </c>
      <c r="J170">
        <f t="shared" si="23"/>
        <v>106</v>
      </c>
      <c r="K170" s="21">
        <f t="shared" si="21"/>
        <v>641.92252346322982</v>
      </c>
      <c r="M170" s="20">
        <f t="shared" si="18"/>
        <v>0</v>
      </c>
      <c r="N170" s="9">
        <f>IF(Table49[[#This Row],[Month]]&lt;$D$20, M170*0, M170*($D$16/12))</f>
        <v>0</v>
      </c>
      <c r="O170" s="20">
        <f t="shared" si="13"/>
        <v>0</v>
      </c>
      <c r="P170">
        <f t="shared" si="24"/>
        <v>106</v>
      </c>
      <c r="Q170" s="21">
        <f>IF(Table49[[#This Row],[Month]]&lt;=$D$19, $A$65*((($D$16/12)*(1+$D$16/12)^$D$19)/(((1+$D$16/12)^$D$19)-1)), 0)</f>
        <v>0</v>
      </c>
    </row>
    <row r="171" spans="1:17" x14ac:dyDescent="0.3">
      <c r="A171" s="20">
        <f t="shared" si="14"/>
        <v>1.0788880899781361E-10</v>
      </c>
      <c r="B171" s="9">
        <f>IF(Table4[[#This Row],[Month]]&lt;$B$20, A171*0, A171*($B$16/12))</f>
        <v>4.4953670415755671E-13</v>
      </c>
      <c r="C171" s="20">
        <f>IF((E171-B171)&lt;Table4[[#This Row],[Principal]], E171-B171, 0)</f>
        <v>0</v>
      </c>
      <c r="D171">
        <f t="shared" si="22"/>
        <v>107</v>
      </c>
      <c r="E171" s="21">
        <f t="shared" si="20"/>
        <v>536.50917249922907</v>
      </c>
      <c r="G171" s="20">
        <f t="shared" si="16"/>
        <v>0</v>
      </c>
      <c r="H171" s="9">
        <f>IF(Table48[[#This Row],[Month]]&lt;$C$20, G171*0, G171*($C$16/12))</f>
        <v>0</v>
      </c>
      <c r="I171" s="20">
        <f>IF(Table48[[#This Row],[Principal]]&gt;0, K171-H171, 0)</f>
        <v>0</v>
      </c>
      <c r="J171">
        <f t="shared" si="23"/>
        <v>107</v>
      </c>
      <c r="K171" s="21">
        <f t="shared" si="21"/>
        <v>641.92252346322982</v>
      </c>
      <c r="M171" s="20">
        <f t="shared" si="18"/>
        <v>0</v>
      </c>
      <c r="N171" s="9">
        <f>IF(Table49[[#This Row],[Month]]&lt;$D$20, M171*0, M171*($D$16/12))</f>
        <v>0</v>
      </c>
      <c r="O171" s="20">
        <f t="shared" si="13"/>
        <v>0</v>
      </c>
      <c r="P171">
        <f t="shared" si="24"/>
        <v>107</v>
      </c>
      <c r="Q171" s="21">
        <f>IF(Table49[[#This Row],[Month]]&lt;=$D$19, $A$65*((($D$16/12)*(1+$D$16/12)^$D$19)/(((1+$D$16/12)^$D$19)-1)), 0)</f>
        <v>0</v>
      </c>
    </row>
    <row r="172" spans="1:17" x14ac:dyDescent="0.3">
      <c r="A172" s="20">
        <f t="shared" si="14"/>
        <v>1.0788880899781361E-10</v>
      </c>
      <c r="B172" s="9">
        <f>IF(Table4[[#This Row],[Month]]&lt;$B$20, A172*0, A172*($B$16/12))</f>
        <v>4.4953670415755671E-13</v>
      </c>
      <c r="C172" s="20">
        <f>IF((E172-B172)&lt;Table4[[#This Row],[Principal]], E172-B172, 0)</f>
        <v>0</v>
      </c>
      <c r="D172">
        <f t="shared" si="22"/>
        <v>108</v>
      </c>
      <c r="E172" s="21">
        <f t="shared" si="20"/>
        <v>536.50917249922907</v>
      </c>
      <c r="G172" s="20">
        <f t="shared" si="16"/>
        <v>0</v>
      </c>
      <c r="H172" s="9">
        <f>IF(Table48[[#This Row],[Month]]&lt;$C$20, G172*0, G172*($C$16/12))</f>
        <v>0</v>
      </c>
      <c r="I172" s="20">
        <f>IF(Table48[[#This Row],[Principal]]&gt;0, K172-H172, 0)</f>
        <v>0</v>
      </c>
      <c r="J172">
        <f t="shared" si="23"/>
        <v>108</v>
      </c>
      <c r="K172" s="21">
        <f t="shared" si="21"/>
        <v>641.92252346322982</v>
      </c>
      <c r="M172" s="20">
        <f t="shared" si="18"/>
        <v>0</v>
      </c>
      <c r="N172" s="9">
        <f>IF(Table49[[#This Row],[Month]]&lt;$D$20, M172*0, M172*($D$16/12))</f>
        <v>0</v>
      </c>
      <c r="O172" s="20">
        <f t="shared" si="13"/>
        <v>0</v>
      </c>
      <c r="P172">
        <f t="shared" si="24"/>
        <v>108</v>
      </c>
      <c r="Q172" s="21">
        <f>IF(Table49[[#This Row],[Month]]&lt;=$D$19, $A$65*((($D$16/12)*(1+$D$16/12)^$D$19)/(((1+$D$16/12)^$D$19)-1)), 0)</f>
        <v>0</v>
      </c>
    </row>
    <row r="173" spans="1:17" x14ac:dyDescent="0.3">
      <c r="A173" s="20">
        <f t="shared" si="14"/>
        <v>1.0788880899781361E-10</v>
      </c>
      <c r="B173" s="9">
        <f>IF(Table4[[#This Row],[Month]]&lt;$B$20, A173*0, A173*($B$16/12))</f>
        <v>4.4953670415755671E-13</v>
      </c>
      <c r="C173" s="20">
        <f>IF((E173-B173)&lt;Table4[[#This Row],[Principal]], E173-B173, 0)</f>
        <v>0</v>
      </c>
      <c r="D173">
        <f t="shared" si="22"/>
        <v>109</v>
      </c>
      <c r="E173" s="21">
        <f t="shared" si="20"/>
        <v>536.50917249922907</v>
      </c>
      <c r="G173" s="20">
        <f t="shared" si="16"/>
        <v>0</v>
      </c>
      <c r="H173" s="9">
        <f>IF(Table48[[#This Row],[Month]]&lt;$C$20, G173*0, G173*($C$16/12))</f>
        <v>0</v>
      </c>
      <c r="I173" s="20">
        <f>IF(Table48[[#This Row],[Principal]]&gt;0, K173-H173, 0)</f>
        <v>0</v>
      </c>
      <c r="J173">
        <f t="shared" si="23"/>
        <v>109</v>
      </c>
      <c r="K173" s="21">
        <f t="shared" si="21"/>
        <v>641.92252346322982</v>
      </c>
      <c r="M173" s="20">
        <f t="shared" si="18"/>
        <v>0</v>
      </c>
      <c r="N173" s="9">
        <f>IF(Table49[[#This Row],[Month]]&lt;$D$20, M173*0, M173*($D$16/12))</f>
        <v>0</v>
      </c>
      <c r="O173" s="20">
        <f t="shared" si="13"/>
        <v>0</v>
      </c>
      <c r="P173">
        <f t="shared" si="24"/>
        <v>109</v>
      </c>
      <c r="Q173" s="21">
        <f>IF(Table49[[#This Row],[Month]]&lt;=$D$19, $A$65*((($D$16/12)*(1+$D$16/12)^$D$19)/(((1+$D$16/12)^$D$19)-1)), 0)</f>
        <v>0</v>
      </c>
    </row>
    <row r="174" spans="1:17" x14ac:dyDescent="0.3">
      <c r="A174" s="20">
        <f t="shared" si="14"/>
        <v>1.0788880899781361E-10</v>
      </c>
      <c r="B174" s="9">
        <f>IF(Table4[[#This Row],[Month]]&lt;$B$20, A174*0, A174*($B$16/12))</f>
        <v>4.4953670415755671E-13</v>
      </c>
      <c r="C174" s="20">
        <f>IF((E174-B174)&lt;Table4[[#This Row],[Principal]], E174-B174, 0)</f>
        <v>0</v>
      </c>
      <c r="D174">
        <f t="shared" si="22"/>
        <v>110</v>
      </c>
      <c r="E174" s="21">
        <f t="shared" si="20"/>
        <v>536.50917249922907</v>
      </c>
      <c r="G174" s="20">
        <f t="shared" si="16"/>
        <v>0</v>
      </c>
      <c r="H174" s="9">
        <f>IF(Table48[[#This Row],[Month]]&lt;$C$20, G174*0, G174*($C$16/12))</f>
        <v>0</v>
      </c>
      <c r="I174" s="20">
        <f>IF(Table48[[#This Row],[Principal]]&gt;0, K174-H174, 0)</f>
        <v>0</v>
      </c>
      <c r="J174">
        <f t="shared" si="23"/>
        <v>110</v>
      </c>
      <c r="K174" s="21">
        <f t="shared" si="21"/>
        <v>641.92252346322982</v>
      </c>
      <c r="M174" s="20">
        <f t="shared" si="18"/>
        <v>0</v>
      </c>
      <c r="N174" s="9">
        <f>IF(Table49[[#This Row],[Month]]&lt;$D$20, M174*0, M174*($D$16/12))</f>
        <v>0</v>
      </c>
      <c r="O174" s="20">
        <f t="shared" si="13"/>
        <v>0</v>
      </c>
      <c r="P174">
        <f t="shared" si="24"/>
        <v>110</v>
      </c>
      <c r="Q174" s="21">
        <f>IF(Table49[[#This Row],[Month]]&lt;=$D$19, $A$65*((($D$16/12)*(1+$D$16/12)^$D$19)/(((1+$D$16/12)^$D$19)-1)), 0)</f>
        <v>0</v>
      </c>
    </row>
    <row r="175" spans="1:17" x14ac:dyDescent="0.3">
      <c r="A175" s="20">
        <f t="shared" si="14"/>
        <v>1.0788880899781361E-10</v>
      </c>
      <c r="B175" s="9">
        <f>IF(Table4[[#This Row],[Month]]&lt;$B$20, A175*0, A175*($B$16/12))</f>
        <v>4.4953670415755671E-13</v>
      </c>
      <c r="C175" s="20">
        <f>IF((E175-B175)&lt;Table4[[#This Row],[Principal]], E175-B175, 0)</f>
        <v>0</v>
      </c>
      <c r="D175">
        <f t="shared" si="22"/>
        <v>111</v>
      </c>
      <c r="E175" s="21">
        <f t="shared" si="20"/>
        <v>536.50917249922907</v>
      </c>
      <c r="G175" s="20">
        <f t="shared" si="16"/>
        <v>0</v>
      </c>
      <c r="H175" s="9">
        <f>IF(Table48[[#This Row],[Month]]&lt;$C$20, G175*0, G175*($C$16/12))</f>
        <v>0</v>
      </c>
      <c r="I175" s="20">
        <f>IF(Table48[[#This Row],[Principal]]&gt;0, K175-H175, 0)</f>
        <v>0</v>
      </c>
      <c r="J175">
        <f t="shared" si="23"/>
        <v>111</v>
      </c>
      <c r="K175" s="21">
        <f t="shared" si="21"/>
        <v>641.92252346322982</v>
      </c>
      <c r="M175" s="20">
        <f t="shared" si="18"/>
        <v>0</v>
      </c>
      <c r="N175" s="9">
        <f>IF(Table49[[#This Row],[Month]]&lt;$D$20, M175*0, M175*($D$16/12))</f>
        <v>0</v>
      </c>
      <c r="O175" s="20">
        <f t="shared" si="13"/>
        <v>0</v>
      </c>
      <c r="P175">
        <f t="shared" si="24"/>
        <v>111</v>
      </c>
      <c r="Q175" s="21">
        <f>IF(Table49[[#This Row],[Month]]&lt;=$D$19, $A$65*((($D$16/12)*(1+$D$16/12)^$D$19)/(((1+$D$16/12)^$D$19)-1)), 0)</f>
        <v>0</v>
      </c>
    </row>
    <row r="176" spans="1:17" x14ac:dyDescent="0.3">
      <c r="A176" s="20">
        <f t="shared" si="14"/>
        <v>1.0788880899781361E-10</v>
      </c>
      <c r="B176" s="9">
        <f>IF(Table4[[#This Row],[Month]]&lt;$B$20, A176*0, A176*($B$16/12))</f>
        <v>4.4953670415755671E-13</v>
      </c>
      <c r="C176" s="20">
        <f>IF((E176-B176)&lt;Table4[[#This Row],[Principal]], E176-B176, 0)</f>
        <v>0</v>
      </c>
      <c r="D176">
        <f t="shared" si="22"/>
        <v>112</v>
      </c>
      <c r="E176" s="21">
        <f t="shared" si="20"/>
        <v>536.50917249922907</v>
      </c>
      <c r="G176" s="20">
        <f t="shared" si="16"/>
        <v>0</v>
      </c>
      <c r="H176" s="9">
        <f>IF(Table48[[#This Row],[Month]]&lt;$C$20, G176*0, G176*($C$16/12))</f>
        <v>0</v>
      </c>
      <c r="I176" s="20">
        <f>IF(Table48[[#This Row],[Principal]]&gt;0, K176-H176, 0)</f>
        <v>0</v>
      </c>
      <c r="J176">
        <f t="shared" si="23"/>
        <v>112</v>
      </c>
      <c r="K176" s="21">
        <f t="shared" si="21"/>
        <v>641.92252346322982</v>
      </c>
      <c r="M176" s="20">
        <f t="shared" si="18"/>
        <v>0</v>
      </c>
      <c r="N176" s="9">
        <f>IF(Table49[[#This Row],[Month]]&lt;$D$20, M176*0, M176*($D$16/12))</f>
        <v>0</v>
      </c>
      <c r="O176" s="20">
        <f t="shared" si="13"/>
        <v>0</v>
      </c>
      <c r="P176">
        <f t="shared" si="24"/>
        <v>112</v>
      </c>
      <c r="Q176" s="21">
        <f>IF(Table49[[#This Row],[Month]]&lt;=$D$19, $A$65*((($D$16/12)*(1+$D$16/12)^$D$19)/(((1+$D$16/12)^$D$19)-1)), 0)</f>
        <v>0</v>
      </c>
    </row>
    <row r="177" spans="1:17" x14ac:dyDescent="0.3">
      <c r="A177" s="20">
        <f t="shared" si="14"/>
        <v>1.0788880899781361E-10</v>
      </c>
      <c r="B177" s="9">
        <f>IF(Table4[[#This Row],[Month]]&lt;$B$20, A177*0, A177*($B$16/12))</f>
        <v>4.4953670415755671E-13</v>
      </c>
      <c r="C177" s="20">
        <f>IF((E177-B177)&lt;Table4[[#This Row],[Principal]], E177-B177, 0)</f>
        <v>0</v>
      </c>
      <c r="D177">
        <f t="shared" si="22"/>
        <v>113</v>
      </c>
      <c r="E177" s="21">
        <f t="shared" si="20"/>
        <v>536.50917249922907</v>
      </c>
      <c r="G177" s="20">
        <f t="shared" si="16"/>
        <v>0</v>
      </c>
      <c r="H177" s="9">
        <f>IF(Table48[[#This Row],[Month]]&lt;$C$20, G177*0, G177*($C$16/12))</f>
        <v>0</v>
      </c>
      <c r="I177" s="20">
        <f>IF(Table48[[#This Row],[Principal]]&gt;0, K177-H177, 0)</f>
        <v>0</v>
      </c>
      <c r="J177">
        <f t="shared" si="23"/>
        <v>113</v>
      </c>
      <c r="K177" s="21">
        <f t="shared" si="21"/>
        <v>641.92252346322982</v>
      </c>
      <c r="M177" s="20">
        <f t="shared" si="18"/>
        <v>0</v>
      </c>
      <c r="N177" s="9">
        <f>IF(Table49[[#This Row],[Month]]&lt;$D$20, M177*0, M177*($D$16/12))</f>
        <v>0</v>
      </c>
      <c r="O177" s="20">
        <f t="shared" si="13"/>
        <v>0</v>
      </c>
      <c r="P177">
        <f t="shared" si="24"/>
        <v>113</v>
      </c>
      <c r="Q177" s="21">
        <f>IF(Table49[[#This Row],[Month]]&lt;=$D$19, $A$65*((($D$16/12)*(1+$D$16/12)^$D$19)/(((1+$D$16/12)^$D$19)-1)), 0)</f>
        <v>0</v>
      </c>
    </row>
    <row r="178" spans="1:17" x14ac:dyDescent="0.3">
      <c r="A178" s="20">
        <f t="shared" si="14"/>
        <v>1.0788880899781361E-10</v>
      </c>
      <c r="B178" s="9">
        <f>IF(Table4[[#This Row],[Month]]&lt;$B$20, A178*0, A178*($B$16/12))</f>
        <v>4.4953670415755671E-13</v>
      </c>
      <c r="C178" s="20">
        <f>IF((E178-B178)&lt;Table4[[#This Row],[Principal]], E178-B178, 0)</f>
        <v>0</v>
      </c>
      <c r="D178">
        <f t="shared" si="22"/>
        <v>114</v>
      </c>
      <c r="E178" s="21">
        <f t="shared" si="20"/>
        <v>536.50917249922907</v>
      </c>
      <c r="G178" s="20">
        <f t="shared" si="16"/>
        <v>0</v>
      </c>
      <c r="H178" s="9">
        <f>IF(Table48[[#This Row],[Month]]&lt;$C$20, G178*0, G178*($C$16/12))</f>
        <v>0</v>
      </c>
      <c r="I178" s="20">
        <f>IF(Table48[[#This Row],[Principal]]&gt;0, K178-H178, 0)</f>
        <v>0</v>
      </c>
      <c r="J178">
        <f t="shared" si="23"/>
        <v>114</v>
      </c>
      <c r="K178" s="21">
        <f t="shared" si="21"/>
        <v>641.92252346322982</v>
      </c>
      <c r="M178" s="20">
        <f t="shared" si="18"/>
        <v>0</v>
      </c>
      <c r="N178" s="9">
        <f>IF(Table49[[#This Row],[Month]]&lt;$D$20, M178*0, M178*($D$16/12))</f>
        <v>0</v>
      </c>
      <c r="O178" s="20">
        <f t="shared" si="13"/>
        <v>0</v>
      </c>
      <c r="P178">
        <f t="shared" si="24"/>
        <v>114</v>
      </c>
      <c r="Q178" s="21">
        <f>IF(Table49[[#This Row],[Month]]&lt;=$D$19, $A$65*((($D$16/12)*(1+$D$16/12)^$D$19)/(((1+$D$16/12)^$D$19)-1)), 0)</f>
        <v>0</v>
      </c>
    </row>
    <row r="179" spans="1:17" x14ac:dyDescent="0.3">
      <c r="A179" s="20">
        <f t="shared" si="14"/>
        <v>1.0788880899781361E-10</v>
      </c>
      <c r="B179" s="9">
        <f>IF(Table4[[#This Row],[Month]]&lt;$B$20, A179*0, A179*($B$16/12))</f>
        <v>4.4953670415755671E-13</v>
      </c>
      <c r="C179" s="20">
        <f>IF((E179-B179)&lt;Table4[[#This Row],[Principal]], E179-B179, 0)</f>
        <v>0</v>
      </c>
      <c r="D179">
        <f t="shared" si="22"/>
        <v>115</v>
      </c>
      <c r="E179" s="21">
        <f t="shared" si="20"/>
        <v>536.50917249922907</v>
      </c>
      <c r="G179" s="20">
        <f t="shared" si="16"/>
        <v>0</v>
      </c>
      <c r="H179" s="9">
        <f>IF(Table48[[#This Row],[Month]]&lt;$C$20, G179*0, G179*($C$16/12))</f>
        <v>0</v>
      </c>
      <c r="I179" s="20">
        <f>IF(Table48[[#This Row],[Principal]]&gt;0, K179-H179, 0)</f>
        <v>0</v>
      </c>
      <c r="J179">
        <f t="shared" si="23"/>
        <v>115</v>
      </c>
      <c r="K179" s="21">
        <f t="shared" si="21"/>
        <v>641.92252346322982</v>
      </c>
      <c r="M179" s="20">
        <f t="shared" si="18"/>
        <v>0</v>
      </c>
      <c r="N179" s="9">
        <f>IF(Table49[[#This Row],[Month]]&lt;$D$20, M179*0, M179*($D$16/12))</f>
        <v>0</v>
      </c>
      <c r="O179" s="20">
        <f t="shared" si="13"/>
        <v>0</v>
      </c>
      <c r="P179">
        <f t="shared" si="24"/>
        <v>115</v>
      </c>
      <c r="Q179" s="21">
        <f>IF(Table49[[#This Row],[Month]]&lt;=$D$19, $A$65*((($D$16/12)*(1+$D$16/12)^$D$19)/(((1+$D$16/12)^$D$19)-1)), 0)</f>
        <v>0</v>
      </c>
    </row>
    <row r="180" spans="1:17" x14ac:dyDescent="0.3">
      <c r="A180" s="20">
        <f t="shared" si="14"/>
        <v>1.0788880899781361E-10</v>
      </c>
      <c r="B180" s="9">
        <f>IF(Table4[[#This Row],[Month]]&lt;$B$20, A180*0, A180*($B$16/12))</f>
        <v>4.4953670415755671E-13</v>
      </c>
      <c r="C180" s="20">
        <f>IF((E180-B180)&lt;Table4[[#This Row],[Principal]], E180-B180, 0)</f>
        <v>0</v>
      </c>
      <c r="D180">
        <f t="shared" si="22"/>
        <v>116</v>
      </c>
      <c r="E180" s="21">
        <f t="shared" si="20"/>
        <v>536.50917249922907</v>
      </c>
      <c r="G180" s="20">
        <f t="shared" si="16"/>
        <v>0</v>
      </c>
      <c r="H180" s="9">
        <f>IF(Table48[[#This Row],[Month]]&lt;$C$20, G180*0, G180*($C$16/12))</f>
        <v>0</v>
      </c>
      <c r="I180" s="20">
        <f>IF(Table48[[#This Row],[Principal]]&gt;0, K180-H180, 0)</f>
        <v>0</v>
      </c>
      <c r="J180">
        <f t="shared" si="23"/>
        <v>116</v>
      </c>
      <c r="K180" s="21">
        <f t="shared" si="21"/>
        <v>641.92252346322982</v>
      </c>
      <c r="M180" s="20">
        <f t="shared" si="18"/>
        <v>0</v>
      </c>
      <c r="N180" s="9">
        <f>IF(Table49[[#This Row],[Month]]&lt;$D$20, M180*0, M180*($D$16/12))</f>
        <v>0</v>
      </c>
      <c r="O180" s="20">
        <f t="shared" si="13"/>
        <v>0</v>
      </c>
      <c r="P180">
        <f t="shared" si="24"/>
        <v>116</v>
      </c>
      <c r="Q180" s="21">
        <f>IF(Table49[[#This Row],[Month]]&lt;=$D$19, $A$65*((($D$16/12)*(1+$D$16/12)^$D$19)/(((1+$D$16/12)^$D$19)-1)), 0)</f>
        <v>0</v>
      </c>
    </row>
    <row r="181" spans="1:17" x14ac:dyDescent="0.3">
      <c r="A181" s="20">
        <f t="shared" si="14"/>
        <v>1.0788880899781361E-10</v>
      </c>
      <c r="B181" s="9">
        <f>IF(Table4[[#This Row],[Month]]&lt;$B$20, A181*0, A181*($B$16/12))</f>
        <v>4.4953670415755671E-13</v>
      </c>
      <c r="C181" s="20">
        <f>IF((E181-B181)&lt;Table4[[#This Row],[Principal]], E181-B181, 0)</f>
        <v>0</v>
      </c>
      <c r="D181">
        <f t="shared" si="22"/>
        <v>117</v>
      </c>
      <c r="E181" s="21">
        <f t="shared" si="20"/>
        <v>536.50917249922907</v>
      </c>
      <c r="G181" s="20">
        <f t="shared" si="16"/>
        <v>0</v>
      </c>
      <c r="H181" s="9">
        <f>IF(Table48[[#This Row],[Month]]&lt;$C$20, G181*0, G181*($C$16/12))</f>
        <v>0</v>
      </c>
      <c r="I181" s="20">
        <f>IF(Table48[[#This Row],[Principal]]&gt;0, K181-H181, 0)</f>
        <v>0</v>
      </c>
      <c r="J181">
        <f t="shared" si="23"/>
        <v>117</v>
      </c>
      <c r="K181" s="21">
        <f t="shared" si="21"/>
        <v>641.92252346322982</v>
      </c>
      <c r="M181" s="20">
        <f t="shared" si="18"/>
        <v>0</v>
      </c>
      <c r="N181" s="9">
        <f>IF(Table49[[#This Row],[Month]]&lt;$D$20, M181*0, M181*($D$16/12))</f>
        <v>0</v>
      </c>
      <c r="O181" s="20">
        <f t="shared" si="13"/>
        <v>0</v>
      </c>
      <c r="P181">
        <f t="shared" si="24"/>
        <v>117</v>
      </c>
      <c r="Q181" s="21">
        <f>IF(Table49[[#This Row],[Month]]&lt;=$D$19, $A$65*((($D$16/12)*(1+$D$16/12)^$D$19)/(((1+$D$16/12)^$D$19)-1)), 0)</f>
        <v>0</v>
      </c>
    </row>
    <row r="182" spans="1:17" x14ac:dyDescent="0.3">
      <c r="A182" s="20">
        <f t="shared" si="14"/>
        <v>1.0788880899781361E-10</v>
      </c>
      <c r="B182" s="9">
        <f>IF(Table4[[#This Row],[Month]]&lt;$B$20, A182*0, A182*($B$16/12))</f>
        <v>4.4953670415755671E-13</v>
      </c>
      <c r="C182" s="20">
        <f>IF((E182-B182)&lt;Table4[[#This Row],[Principal]], E182-B182, 0)</f>
        <v>0</v>
      </c>
      <c r="D182">
        <f t="shared" si="22"/>
        <v>118</v>
      </c>
      <c r="E182" s="21">
        <f t="shared" si="20"/>
        <v>536.50917249922907</v>
      </c>
      <c r="G182" s="20">
        <f t="shared" si="16"/>
        <v>0</v>
      </c>
      <c r="H182" s="9">
        <f>IF(Table48[[#This Row],[Month]]&lt;$C$20, G182*0, G182*($C$16/12))</f>
        <v>0</v>
      </c>
      <c r="I182" s="20">
        <f>IF(Table48[[#This Row],[Principal]]&gt;0, K182-H182, 0)</f>
        <v>0</v>
      </c>
      <c r="J182">
        <f t="shared" si="23"/>
        <v>118</v>
      </c>
      <c r="K182" s="21">
        <f t="shared" si="21"/>
        <v>641.92252346322982</v>
      </c>
      <c r="M182" s="20">
        <f t="shared" si="18"/>
        <v>0</v>
      </c>
      <c r="N182" s="9">
        <f>IF(Table49[[#This Row],[Month]]&lt;$D$20, M182*0, M182*($D$16/12))</f>
        <v>0</v>
      </c>
      <c r="O182" s="20">
        <f t="shared" si="13"/>
        <v>0</v>
      </c>
      <c r="P182">
        <f t="shared" si="24"/>
        <v>118</v>
      </c>
      <c r="Q182" s="21">
        <f>IF(Table49[[#This Row],[Month]]&lt;=$D$19, $A$65*((($D$16/12)*(1+$D$16/12)^$D$19)/(((1+$D$16/12)^$D$19)-1)), 0)</f>
        <v>0</v>
      </c>
    </row>
    <row r="183" spans="1:17" x14ac:dyDescent="0.3">
      <c r="A183" s="20">
        <f t="shared" si="14"/>
        <v>1.0788880899781361E-10</v>
      </c>
      <c r="B183" s="9">
        <f>IF(Table4[[#This Row],[Month]]&lt;$B$20, A183*0, A183*($B$16/12))</f>
        <v>4.4953670415755671E-13</v>
      </c>
      <c r="C183" s="20">
        <f>IF((E183-B183)&lt;Table4[[#This Row],[Principal]], E183-B183, 0)</f>
        <v>0</v>
      </c>
      <c r="D183">
        <f t="shared" si="22"/>
        <v>119</v>
      </c>
      <c r="E183" s="21">
        <f t="shared" si="20"/>
        <v>536.50917249922907</v>
      </c>
      <c r="G183" s="20">
        <f t="shared" si="16"/>
        <v>0</v>
      </c>
      <c r="H183" s="9">
        <f>IF(Table48[[#This Row],[Month]]&lt;$C$20, G183*0, G183*($C$16/12))</f>
        <v>0</v>
      </c>
      <c r="I183" s="20">
        <f>IF(Table48[[#This Row],[Principal]]&gt;0, K183-H183, 0)</f>
        <v>0</v>
      </c>
      <c r="J183">
        <f t="shared" si="23"/>
        <v>119</v>
      </c>
      <c r="K183" s="21">
        <f t="shared" si="21"/>
        <v>641.92252346322982</v>
      </c>
      <c r="M183" s="20">
        <f t="shared" si="18"/>
        <v>0</v>
      </c>
      <c r="N183" s="9">
        <f>IF(Table49[[#This Row],[Month]]&lt;$D$20, M183*0, M183*($D$16/12))</f>
        <v>0</v>
      </c>
      <c r="O183" s="20">
        <f t="shared" si="13"/>
        <v>0</v>
      </c>
      <c r="P183">
        <f t="shared" si="24"/>
        <v>119</v>
      </c>
      <c r="Q183" s="21">
        <f>IF(Table49[[#This Row],[Month]]&lt;=$D$19, $A$65*((($D$16/12)*(1+$D$16/12)^$D$19)/(((1+$D$16/12)^$D$19)-1)), 0)</f>
        <v>0</v>
      </c>
    </row>
    <row r="184" spans="1:17" x14ac:dyDescent="0.3">
      <c r="A184" s="20">
        <f t="shared" si="14"/>
        <v>1.0788880899781361E-10</v>
      </c>
      <c r="B184" s="9">
        <f>IF(Table4[[#This Row],[Month]]&lt;$B$20, A184*0, A184*($B$16/12))</f>
        <v>4.4953670415755671E-13</v>
      </c>
      <c r="C184" s="20">
        <f>IF((E184-B184)&lt;Table4[[#This Row],[Principal]], E184-B184, 0)</f>
        <v>0</v>
      </c>
      <c r="D184">
        <f t="shared" si="22"/>
        <v>120</v>
      </c>
      <c r="E184" s="21">
        <f t="shared" si="20"/>
        <v>536.50917249922907</v>
      </c>
      <c r="G184" s="20">
        <f t="shared" si="16"/>
        <v>0</v>
      </c>
      <c r="H184" s="9">
        <f>IF(Table48[[#This Row],[Month]]&lt;$C$20, G184*0, G184*($C$16/12))</f>
        <v>0</v>
      </c>
      <c r="I184" s="20">
        <f>IF(Table48[[#This Row],[Principal]]&gt;0, K184-H184, 0)</f>
        <v>0</v>
      </c>
      <c r="J184">
        <f t="shared" si="23"/>
        <v>120</v>
      </c>
      <c r="K184" s="21">
        <f t="shared" si="21"/>
        <v>641.92252346322982</v>
      </c>
      <c r="M184" s="20">
        <f t="shared" si="18"/>
        <v>0</v>
      </c>
      <c r="N184" s="9">
        <f>IF(Table49[[#This Row],[Month]]&lt;$D$20, M184*0, M184*($D$16/12))</f>
        <v>0</v>
      </c>
      <c r="O184" s="20">
        <f t="shared" si="13"/>
        <v>0</v>
      </c>
      <c r="P184">
        <f t="shared" si="24"/>
        <v>120</v>
      </c>
      <c r="Q184" s="21">
        <f>IF(Table49[[#This Row],[Month]]&lt;=$D$19, $A$65*((($D$16/12)*(1+$D$16/12)^$D$19)/(((1+$D$16/12)^$D$19)-1)), 0)</f>
        <v>0</v>
      </c>
    </row>
    <row r="185" spans="1:17" x14ac:dyDescent="0.3">
      <c r="A185" s="20">
        <f t="shared" si="14"/>
        <v>1.0788880899781361E-10</v>
      </c>
      <c r="B185" s="9">
        <f>IF(Table4[[#This Row],[Month]]&lt;$B$20, A185*0, A185*($B$16/12))</f>
        <v>4.4953670415755671E-13</v>
      </c>
      <c r="C185" s="20">
        <f>IF((E185-B185)&lt;Table4[[#This Row],[Principal]], E185-B185, 0)</f>
        <v>0</v>
      </c>
      <c r="D185">
        <f t="shared" si="22"/>
        <v>121</v>
      </c>
      <c r="E185" s="21">
        <f t="shared" si="20"/>
        <v>536.50917249922907</v>
      </c>
      <c r="G185" s="20">
        <f t="shared" si="16"/>
        <v>0</v>
      </c>
      <c r="H185" s="9">
        <f>IF(Table48[[#This Row],[Month]]&lt;$C$20, G185*0, G185*($C$16/12))</f>
        <v>0</v>
      </c>
      <c r="I185" s="20">
        <f>IF(Table48[[#This Row],[Principal]]&gt;0, K185-H185, 0)</f>
        <v>0</v>
      </c>
      <c r="J185">
        <f t="shared" si="23"/>
        <v>121</v>
      </c>
      <c r="K185" s="21">
        <f t="shared" si="21"/>
        <v>641.92252346322982</v>
      </c>
      <c r="M185" s="20">
        <f t="shared" si="18"/>
        <v>0</v>
      </c>
      <c r="N185" s="9">
        <f>IF(Table49[[#This Row],[Month]]&lt;$D$20, M185*0, M185*($D$16/12))</f>
        <v>0</v>
      </c>
      <c r="O185" s="20">
        <f t="shared" si="13"/>
        <v>0</v>
      </c>
      <c r="P185">
        <f t="shared" si="24"/>
        <v>121</v>
      </c>
      <c r="Q185" s="21">
        <f>IF(Table49[[#This Row],[Month]]&lt;=$D$19, $A$65*((($D$16/12)*(1+$D$16/12)^$D$19)/(((1+$D$16/12)^$D$19)-1)), 0)</f>
        <v>0</v>
      </c>
    </row>
    <row r="186" spans="1:17" x14ac:dyDescent="0.3">
      <c r="A186" s="20">
        <f t="shared" si="14"/>
        <v>1.0788880899781361E-10</v>
      </c>
      <c r="B186" s="9">
        <f>IF(Table4[[#This Row],[Month]]&lt;$B$20, A186*0, A186*($B$16/12))</f>
        <v>4.4953670415755671E-13</v>
      </c>
      <c r="C186" s="20">
        <f>IF((E186-B186)&lt;Table4[[#This Row],[Principal]], E186-B186, 0)</f>
        <v>0</v>
      </c>
      <c r="D186">
        <f t="shared" si="22"/>
        <v>122</v>
      </c>
      <c r="E186" s="21">
        <f t="shared" si="20"/>
        <v>536.50917249922907</v>
      </c>
      <c r="G186" s="20">
        <f t="shared" si="16"/>
        <v>0</v>
      </c>
      <c r="H186" s="9">
        <f>IF(Table48[[#This Row],[Month]]&lt;$C$20, G186*0, G186*($C$16/12))</f>
        <v>0</v>
      </c>
      <c r="I186" s="20">
        <f>IF(Table48[[#This Row],[Principal]]&gt;0, K186-H186, 0)</f>
        <v>0</v>
      </c>
      <c r="J186">
        <f t="shared" si="23"/>
        <v>122</v>
      </c>
      <c r="K186" s="21">
        <f t="shared" si="21"/>
        <v>641.92252346322982</v>
      </c>
      <c r="M186" s="20">
        <f t="shared" si="18"/>
        <v>0</v>
      </c>
      <c r="N186" s="9">
        <f>IF(Table49[[#This Row],[Month]]&lt;$D$20, M186*0, M186*($D$16/12))</f>
        <v>0</v>
      </c>
      <c r="O186" s="20">
        <f t="shared" si="13"/>
        <v>0</v>
      </c>
      <c r="P186">
        <f t="shared" si="24"/>
        <v>122</v>
      </c>
      <c r="Q186" s="21">
        <f>IF(Table49[[#This Row],[Month]]&lt;=$D$19, $A$65*((($D$16/12)*(1+$D$16/12)^$D$19)/(((1+$D$16/12)^$D$19)-1)), 0)</f>
        <v>0</v>
      </c>
    </row>
    <row r="187" spans="1:17" x14ac:dyDescent="0.3">
      <c r="A187" s="20">
        <f t="shared" si="14"/>
        <v>1.0788880899781361E-10</v>
      </c>
      <c r="B187" s="9">
        <f>IF(Table4[[#This Row],[Month]]&lt;$B$20, A187*0, A187*($B$16/12))</f>
        <v>4.4953670415755671E-13</v>
      </c>
      <c r="C187" s="20">
        <f>IF((E187-B187)&lt;Table4[[#This Row],[Principal]], E187-B187, 0)</f>
        <v>0</v>
      </c>
      <c r="D187">
        <f t="shared" si="22"/>
        <v>123</v>
      </c>
      <c r="E187" s="21">
        <f t="shared" si="20"/>
        <v>536.50917249922907</v>
      </c>
      <c r="G187" s="20">
        <f t="shared" si="16"/>
        <v>0</v>
      </c>
      <c r="H187" s="9">
        <f>IF(Table48[[#This Row],[Month]]&lt;$C$20, G187*0, G187*($C$16/12))</f>
        <v>0</v>
      </c>
      <c r="I187" s="20">
        <f>IF(Table48[[#This Row],[Principal]]&gt;0, K187-H187, 0)</f>
        <v>0</v>
      </c>
      <c r="J187">
        <f t="shared" si="23"/>
        <v>123</v>
      </c>
      <c r="K187" s="21">
        <f t="shared" si="21"/>
        <v>641.92252346322982</v>
      </c>
      <c r="M187" s="20">
        <f t="shared" si="18"/>
        <v>0</v>
      </c>
      <c r="N187" s="9">
        <f>IF(Table49[[#This Row],[Month]]&lt;$D$20, M187*0, M187*($D$16/12))</f>
        <v>0</v>
      </c>
      <c r="O187" s="20">
        <f t="shared" si="13"/>
        <v>0</v>
      </c>
      <c r="P187">
        <f t="shared" si="24"/>
        <v>123</v>
      </c>
      <c r="Q187" s="21">
        <f>IF(Table49[[#This Row],[Month]]&lt;=$D$19, $A$65*((($D$16/12)*(1+$D$16/12)^$D$19)/(((1+$D$16/12)^$D$19)-1)), 0)</f>
        <v>0</v>
      </c>
    </row>
    <row r="188" spans="1:17" x14ac:dyDescent="0.3">
      <c r="A188" s="20">
        <f t="shared" si="14"/>
        <v>1.0788880899781361E-10</v>
      </c>
      <c r="B188" s="9">
        <f>IF(Table4[[#This Row],[Month]]&lt;$B$20, A188*0, A188*($B$16/12))</f>
        <v>4.4953670415755671E-13</v>
      </c>
      <c r="C188" s="20">
        <f>IF((E188-B188)&lt;Table4[[#This Row],[Principal]], E188-B188, 0)</f>
        <v>0</v>
      </c>
      <c r="D188">
        <f t="shared" si="22"/>
        <v>124</v>
      </c>
      <c r="E188" s="21">
        <f t="shared" si="20"/>
        <v>536.50917249922907</v>
      </c>
      <c r="G188" s="20">
        <f t="shared" si="16"/>
        <v>0</v>
      </c>
      <c r="H188" s="9">
        <f>IF(Table48[[#This Row],[Month]]&lt;$C$20, G188*0, G188*($C$16/12))</f>
        <v>0</v>
      </c>
      <c r="I188" s="20">
        <f>IF(Table48[[#This Row],[Principal]]&gt;0, K188-H188, 0)</f>
        <v>0</v>
      </c>
      <c r="J188">
        <f t="shared" si="23"/>
        <v>124</v>
      </c>
      <c r="K188" s="21">
        <f t="shared" si="21"/>
        <v>641.92252346322982</v>
      </c>
      <c r="M188" s="20">
        <f t="shared" si="18"/>
        <v>0</v>
      </c>
      <c r="N188" s="9">
        <f>IF(Table49[[#This Row],[Month]]&lt;$D$20, M188*0, M188*($D$16/12))</f>
        <v>0</v>
      </c>
      <c r="O188" s="20">
        <f t="shared" si="13"/>
        <v>0</v>
      </c>
      <c r="P188">
        <f t="shared" si="24"/>
        <v>124</v>
      </c>
      <c r="Q188" s="21">
        <f>IF(Table49[[#This Row],[Month]]&lt;=$D$19, $A$65*((($D$16/12)*(1+$D$16/12)^$D$19)/(((1+$D$16/12)^$D$19)-1)), 0)</f>
        <v>0</v>
      </c>
    </row>
    <row r="189" spans="1:17" x14ac:dyDescent="0.3">
      <c r="A189" s="20">
        <f t="shared" si="14"/>
        <v>1.0788880899781361E-10</v>
      </c>
      <c r="B189" s="9">
        <f>IF(Table4[[#This Row],[Month]]&lt;$B$20, A189*0, A189*($B$16/12))</f>
        <v>4.4953670415755671E-13</v>
      </c>
      <c r="C189" s="20">
        <f>IF((E189-B189)&lt;Table4[[#This Row],[Principal]], E189-B189, 0)</f>
        <v>0</v>
      </c>
      <c r="D189">
        <f t="shared" si="22"/>
        <v>125</v>
      </c>
      <c r="E189" s="21">
        <f t="shared" si="20"/>
        <v>536.50917249922907</v>
      </c>
      <c r="G189" s="20">
        <f t="shared" si="16"/>
        <v>0</v>
      </c>
      <c r="H189" s="9">
        <f>IF(Table48[[#This Row],[Month]]&lt;$C$20, G189*0, G189*($C$16/12))</f>
        <v>0</v>
      </c>
      <c r="I189" s="20">
        <f>IF(Table48[[#This Row],[Principal]]&gt;0, K189-H189, 0)</f>
        <v>0</v>
      </c>
      <c r="J189">
        <f t="shared" si="23"/>
        <v>125</v>
      </c>
      <c r="K189" s="21">
        <f t="shared" si="21"/>
        <v>641.92252346322982</v>
      </c>
      <c r="M189" s="20">
        <f t="shared" si="18"/>
        <v>0</v>
      </c>
      <c r="N189" s="9">
        <f>IF(Table49[[#This Row],[Month]]&lt;$D$20, M189*0, M189*($D$16/12))</f>
        <v>0</v>
      </c>
      <c r="O189" s="20">
        <f t="shared" si="13"/>
        <v>0</v>
      </c>
      <c r="P189">
        <f t="shared" si="24"/>
        <v>125</v>
      </c>
      <c r="Q189" s="21">
        <f>IF(Table49[[#This Row],[Month]]&lt;=$D$19, $A$65*((($D$16/12)*(1+$D$16/12)^$D$19)/(((1+$D$16/12)^$D$19)-1)), 0)</f>
        <v>0</v>
      </c>
    </row>
    <row r="190" spans="1:17" x14ac:dyDescent="0.3">
      <c r="A190" s="20">
        <f t="shared" si="14"/>
        <v>1.0788880899781361E-10</v>
      </c>
      <c r="B190" s="9">
        <f>IF(Table4[[#This Row],[Month]]&lt;$B$20, A190*0, A190*($B$16/12))</f>
        <v>4.4953670415755671E-13</v>
      </c>
      <c r="C190" s="20">
        <f>IF((E190-B190)&lt;Table4[[#This Row],[Principal]], E190-B190, 0)</f>
        <v>0</v>
      </c>
      <c r="D190">
        <f t="shared" si="22"/>
        <v>126</v>
      </c>
      <c r="E190" s="21">
        <f t="shared" si="20"/>
        <v>536.50917249922907</v>
      </c>
      <c r="G190" s="20">
        <f t="shared" si="16"/>
        <v>0</v>
      </c>
      <c r="H190" s="9">
        <f>IF(Table48[[#This Row],[Month]]&lt;$C$20, G190*0, G190*($C$16/12))</f>
        <v>0</v>
      </c>
      <c r="I190" s="20">
        <f>IF(Table48[[#This Row],[Principal]]&gt;0, K190-H190, 0)</f>
        <v>0</v>
      </c>
      <c r="J190">
        <f t="shared" si="23"/>
        <v>126</v>
      </c>
      <c r="K190" s="21">
        <f t="shared" si="21"/>
        <v>641.92252346322982</v>
      </c>
      <c r="M190" s="20">
        <f t="shared" si="18"/>
        <v>0</v>
      </c>
      <c r="N190" s="9">
        <f>IF(Table49[[#This Row],[Month]]&lt;$D$20, M190*0, M190*($D$16/12))</f>
        <v>0</v>
      </c>
      <c r="O190" s="20">
        <f t="shared" si="13"/>
        <v>0</v>
      </c>
      <c r="P190">
        <f t="shared" si="24"/>
        <v>126</v>
      </c>
      <c r="Q190" s="21">
        <f>IF(Table49[[#This Row],[Month]]&lt;=$D$19, $A$65*((($D$16/12)*(1+$D$16/12)^$D$19)/(((1+$D$16/12)^$D$19)-1)), 0)</f>
        <v>0</v>
      </c>
    </row>
    <row r="191" spans="1:17" x14ac:dyDescent="0.3">
      <c r="A191" s="20">
        <f t="shared" si="14"/>
        <v>1.0788880899781361E-10</v>
      </c>
      <c r="B191" s="9">
        <f>IF(Table4[[#This Row],[Month]]&lt;$B$20, A191*0, A191*($B$16/12))</f>
        <v>4.4953670415755671E-13</v>
      </c>
      <c r="C191" s="20">
        <f>IF((E191-B191)&lt;Table4[[#This Row],[Principal]], E191-B191, 0)</f>
        <v>0</v>
      </c>
      <c r="D191">
        <f t="shared" si="22"/>
        <v>127</v>
      </c>
      <c r="E191" s="21">
        <f t="shared" si="20"/>
        <v>536.50917249922907</v>
      </c>
      <c r="G191" s="20">
        <f t="shared" si="16"/>
        <v>0</v>
      </c>
      <c r="H191" s="9">
        <f>IF(Table48[[#This Row],[Month]]&lt;$C$20, G191*0, G191*($C$16/12))</f>
        <v>0</v>
      </c>
      <c r="I191" s="20">
        <f>IF(Table48[[#This Row],[Principal]]&gt;0, K191-H191, 0)</f>
        <v>0</v>
      </c>
      <c r="J191">
        <f t="shared" si="23"/>
        <v>127</v>
      </c>
      <c r="K191" s="21">
        <f t="shared" si="21"/>
        <v>641.92252346322982</v>
      </c>
      <c r="M191" s="20">
        <f t="shared" si="18"/>
        <v>0</v>
      </c>
      <c r="N191" s="9">
        <f>IF(Table49[[#This Row],[Month]]&lt;$D$20, M191*0, M191*($D$16/12))</f>
        <v>0</v>
      </c>
      <c r="O191" s="20">
        <f t="shared" si="13"/>
        <v>0</v>
      </c>
      <c r="P191">
        <f t="shared" si="24"/>
        <v>127</v>
      </c>
      <c r="Q191" s="21">
        <f>IF(Table49[[#This Row],[Month]]&lt;=$D$19, $A$65*((($D$16/12)*(1+$D$16/12)^$D$19)/(((1+$D$16/12)^$D$19)-1)), 0)</f>
        <v>0</v>
      </c>
    </row>
    <row r="192" spans="1:17" x14ac:dyDescent="0.3">
      <c r="A192" s="20"/>
      <c r="C192" s="20"/>
      <c r="E192" s="21"/>
      <c r="G192" s="20"/>
      <c r="I192" s="20"/>
      <c r="K192" s="21"/>
      <c r="M192" s="20"/>
      <c r="O192" s="20"/>
      <c r="Q192" s="21"/>
    </row>
    <row r="195" spans="7:7" ht="15" thickBot="1" x14ac:dyDescent="0.35"/>
    <row r="196" spans="7:7" ht="15.6" thickTop="1" thickBot="1" x14ac:dyDescent="0.35">
      <c r="G196" s="29">
        <f>SUM(Table4[Interest Payment])</f>
        <v>3760.5503499538922</v>
      </c>
    </row>
    <row r="197" spans="7:7" ht="15.6" thickTop="1" thickBot="1" x14ac:dyDescent="0.35">
      <c r="G197" s="29">
        <f>SUM(Table48[Interest Payment])</f>
        <v>2152.578335778479</v>
      </c>
    </row>
    <row r="198" spans="7:7" ht="15" thickTop="1" x14ac:dyDescent="0.3">
      <c r="G198" s="29">
        <f>SUM(Table49[Interest Payment])</f>
        <v>1124.399245560229</v>
      </c>
    </row>
  </sheetData>
  <mergeCells count="8">
    <mergeCell ref="E12:G15"/>
    <mergeCell ref="E18:H20"/>
    <mergeCell ref="A62:D62"/>
    <mergeCell ref="E23:K24"/>
    <mergeCell ref="G62:J62"/>
    <mergeCell ref="M62:P62"/>
    <mergeCell ref="E5:I7"/>
    <mergeCell ref="B1:E1"/>
  </mergeCells>
  <pageMargins left="0.7" right="0.7" top="0.75" bottom="0.75" header="0.3" footer="0.3"/>
  <pageSetup orientation="portrait" r:id="rId1"/>
  <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'Taxes, Titles, Fees'!$A$8:$A$58</xm:f>
          </x14:formula1>
          <xm:sqref>B5:D5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85" zoomScaleNormal="85" workbookViewId="0">
      <pane ySplit="7" topLeftCell="A8" activePane="bottomLeft" state="frozen"/>
      <selection pane="bottomLeft" activeCell="J19" sqref="J19"/>
    </sheetView>
  </sheetViews>
  <sheetFormatPr defaultRowHeight="14.4" x14ac:dyDescent="0.3"/>
  <cols>
    <col min="1" max="1" width="21.109375" customWidth="1"/>
    <col min="2" max="2" width="12.109375" customWidth="1"/>
    <col min="3" max="3" width="21.5546875" customWidth="1"/>
    <col min="4" max="4" width="28.21875" customWidth="1"/>
    <col min="5" max="5" width="13.109375" customWidth="1"/>
    <col min="6" max="6" width="15.44140625" customWidth="1"/>
    <col min="7" max="7" width="56.88671875" bestFit="1" customWidth="1"/>
    <col min="8" max="8" width="19.88671875" bestFit="1" customWidth="1"/>
  </cols>
  <sheetData>
    <row r="1" spans="1:8" ht="21" customHeight="1" x14ac:dyDescent="0.3">
      <c r="A1" s="2" t="s">
        <v>104</v>
      </c>
      <c r="B1" s="2"/>
      <c r="C1" s="2"/>
      <c r="D1" s="2"/>
      <c r="E1" s="2"/>
    </row>
    <row r="2" spans="1:8" ht="25.8" customHeight="1" x14ac:dyDescent="0.3">
      <c r="A2" s="2"/>
      <c r="B2" s="2"/>
      <c r="C2" s="2"/>
      <c r="D2" s="2"/>
      <c r="E2" s="2"/>
    </row>
    <row r="3" spans="1:8" x14ac:dyDescent="0.3">
      <c r="A3" s="25" t="s">
        <v>6</v>
      </c>
      <c r="B3" s="16"/>
      <c r="C3" s="16"/>
      <c r="D3" s="16"/>
    </row>
    <row r="4" spans="1:8" x14ac:dyDescent="0.3">
      <c r="A4" s="25" t="s">
        <v>99</v>
      </c>
      <c r="B4" s="16"/>
      <c r="C4" s="16"/>
      <c r="D4" s="16"/>
    </row>
    <row r="5" spans="1:8" x14ac:dyDescent="0.3">
      <c r="A5" s="25" t="s">
        <v>132</v>
      </c>
      <c r="B5" s="16"/>
      <c r="C5" s="16"/>
      <c r="D5" s="16"/>
    </row>
    <row r="6" spans="1:8" x14ac:dyDescent="0.3">
      <c r="H6" t="s">
        <v>123</v>
      </c>
    </row>
    <row r="7" spans="1:8" x14ac:dyDescent="0.3">
      <c r="A7" s="6" t="s">
        <v>7</v>
      </c>
      <c r="B7" s="6" t="s">
        <v>8</v>
      </c>
      <c r="C7" s="6" t="s">
        <v>9</v>
      </c>
      <c r="D7" s="6" t="s">
        <v>10</v>
      </c>
      <c r="E7" s="6" t="s">
        <v>114</v>
      </c>
      <c r="F7" s="6" t="s">
        <v>121</v>
      </c>
      <c r="G7" s="6" t="s">
        <v>120</v>
      </c>
      <c r="H7" s="6" t="s">
        <v>122</v>
      </c>
    </row>
    <row r="8" spans="1:8" x14ac:dyDescent="0.3">
      <c r="A8" t="s">
        <v>11</v>
      </c>
      <c r="B8" s="8">
        <v>0.04</v>
      </c>
      <c r="C8" t="s">
        <v>12</v>
      </c>
      <c r="D8" t="s">
        <v>13</v>
      </c>
      <c r="E8" s="9">
        <v>0</v>
      </c>
      <c r="F8" s="9">
        <v>0</v>
      </c>
      <c r="H8" s="9">
        <v>7500</v>
      </c>
    </row>
    <row r="9" spans="1:8" x14ac:dyDescent="0.3">
      <c r="A9" t="s">
        <v>14</v>
      </c>
      <c r="B9" s="8">
        <v>0</v>
      </c>
      <c r="C9" t="s">
        <v>15</v>
      </c>
      <c r="D9" t="s">
        <v>13</v>
      </c>
      <c r="E9" s="9">
        <v>0</v>
      </c>
      <c r="F9" s="9">
        <v>0</v>
      </c>
      <c r="H9" s="9">
        <v>7500</v>
      </c>
    </row>
    <row r="10" spans="1:8" x14ac:dyDescent="0.3">
      <c r="A10" t="s">
        <v>16</v>
      </c>
      <c r="B10" s="8">
        <v>5.6000000000000001E-2</v>
      </c>
      <c r="C10" t="s">
        <v>17</v>
      </c>
      <c r="D10" t="s">
        <v>18</v>
      </c>
      <c r="E10" s="9">
        <v>0</v>
      </c>
      <c r="F10" s="9">
        <v>0</v>
      </c>
      <c r="G10" t="s">
        <v>124</v>
      </c>
      <c r="H10" s="9">
        <v>7500</v>
      </c>
    </row>
    <row r="11" spans="1:8" x14ac:dyDescent="0.3">
      <c r="A11" t="s">
        <v>19</v>
      </c>
      <c r="B11" s="8">
        <v>6.5000000000000002E-2</v>
      </c>
      <c r="C11" t="s">
        <v>20</v>
      </c>
      <c r="D11" t="s">
        <v>21</v>
      </c>
      <c r="E11" s="9">
        <v>0</v>
      </c>
      <c r="F11" s="9">
        <v>0</v>
      </c>
      <c r="H11" s="9">
        <v>7500</v>
      </c>
    </row>
    <row r="12" spans="1:8" x14ac:dyDescent="0.3">
      <c r="A12" t="s">
        <v>22</v>
      </c>
      <c r="B12" s="8">
        <v>7.2499999999999995E-2</v>
      </c>
      <c r="C12" t="s">
        <v>23</v>
      </c>
      <c r="D12" t="s">
        <v>21</v>
      </c>
      <c r="E12" s="9">
        <v>2500</v>
      </c>
      <c r="F12" s="9">
        <v>0</v>
      </c>
      <c r="H12" s="9">
        <v>7500</v>
      </c>
    </row>
    <row r="13" spans="1:8" x14ac:dyDescent="0.3">
      <c r="A13" t="s">
        <v>24</v>
      </c>
      <c r="B13" s="8">
        <v>2.9000000000000001E-2</v>
      </c>
      <c r="C13" t="s">
        <v>25</v>
      </c>
      <c r="D13" t="s">
        <v>13</v>
      </c>
      <c r="E13" s="9">
        <v>0</v>
      </c>
      <c r="F13" s="9">
        <v>5000</v>
      </c>
      <c r="H13" s="9">
        <v>7500</v>
      </c>
    </row>
    <row r="14" spans="1:8" x14ac:dyDescent="0.3">
      <c r="A14" t="s">
        <v>26</v>
      </c>
      <c r="B14" s="8">
        <v>6.3500000000000001E-2</v>
      </c>
      <c r="C14" t="s">
        <v>27</v>
      </c>
      <c r="D14" t="s">
        <v>28</v>
      </c>
      <c r="E14" s="9">
        <v>0</v>
      </c>
      <c r="F14" s="9">
        <v>0</v>
      </c>
      <c r="H14" s="9">
        <v>7500</v>
      </c>
    </row>
    <row r="15" spans="1:8" x14ac:dyDescent="0.3">
      <c r="A15" t="s">
        <v>29</v>
      </c>
      <c r="B15" s="8">
        <v>0</v>
      </c>
      <c r="C15">
        <v>0</v>
      </c>
      <c r="D15" t="s">
        <v>28</v>
      </c>
      <c r="E15" s="9">
        <v>1000</v>
      </c>
      <c r="F15" s="9">
        <v>0</v>
      </c>
      <c r="H15" s="9">
        <v>7500</v>
      </c>
    </row>
    <row r="16" spans="1:8" x14ac:dyDescent="0.3">
      <c r="A16" t="s">
        <v>30</v>
      </c>
      <c r="B16" s="8">
        <v>5.7500000000000002E-2</v>
      </c>
      <c r="C16">
        <v>0</v>
      </c>
      <c r="D16" t="s">
        <v>28</v>
      </c>
      <c r="E16" s="9">
        <v>0</v>
      </c>
      <c r="F16" s="9">
        <v>0</v>
      </c>
      <c r="G16" t="s">
        <v>134</v>
      </c>
      <c r="H16" s="9">
        <v>7500</v>
      </c>
    </row>
    <row r="17" spans="1:8" x14ac:dyDescent="0.3">
      <c r="A17" t="s">
        <v>31</v>
      </c>
      <c r="B17" s="8">
        <v>0.06</v>
      </c>
      <c r="C17" t="s">
        <v>32</v>
      </c>
      <c r="D17" t="s">
        <v>21</v>
      </c>
      <c r="E17" s="9">
        <v>0</v>
      </c>
      <c r="F17" s="9">
        <v>0</v>
      </c>
      <c r="H17" s="9">
        <v>7500</v>
      </c>
    </row>
    <row r="18" spans="1:8" x14ac:dyDescent="0.3">
      <c r="A18" t="s">
        <v>33</v>
      </c>
      <c r="B18" s="8">
        <v>0.04</v>
      </c>
      <c r="C18" t="s">
        <v>34</v>
      </c>
      <c r="D18" t="s">
        <v>21</v>
      </c>
      <c r="E18" s="9">
        <v>0</v>
      </c>
      <c r="F18" s="9">
        <v>0</v>
      </c>
      <c r="H18" s="9">
        <v>7500</v>
      </c>
    </row>
    <row r="19" spans="1:8" x14ac:dyDescent="0.3">
      <c r="A19" t="s">
        <v>35</v>
      </c>
      <c r="B19" s="8">
        <v>0.04</v>
      </c>
      <c r="C19" t="s">
        <v>36</v>
      </c>
      <c r="D19" t="s">
        <v>28</v>
      </c>
      <c r="E19" s="9">
        <v>0</v>
      </c>
      <c r="F19" s="9">
        <v>0</v>
      </c>
      <c r="H19" s="9">
        <v>7500</v>
      </c>
    </row>
    <row r="20" spans="1:8" x14ac:dyDescent="0.3">
      <c r="A20" t="s">
        <v>37</v>
      </c>
      <c r="B20" s="8">
        <v>0.06</v>
      </c>
      <c r="C20" t="s">
        <v>38</v>
      </c>
      <c r="D20" t="s">
        <v>39</v>
      </c>
      <c r="E20" s="9">
        <v>0</v>
      </c>
      <c r="F20" s="9">
        <v>0</v>
      </c>
      <c r="H20" s="9">
        <v>7500</v>
      </c>
    </row>
    <row r="21" spans="1:8" x14ac:dyDescent="0.3">
      <c r="A21" t="s">
        <v>40</v>
      </c>
      <c r="B21" s="8">
        <v>6.25E-2</v>
      </c>
      <c r="C21" t="s">
        <v>41</v>
      </c>
      <c r="D21" t="s">
        <v>39</v>
      </c>
      <c r="E21" s="9">
        <v>0</v>
      </c>
      <c r="F21" s="9">
        <v>0</v>
      </c>
      <c r="H21" s="9">
        <v>7500</v>
      </c>
    </row>
    <row r="22" spans="1:8" x14ac:dyDescent="0.3">
      <c r="A22" t="s">
        <v>42</v>
      </c>
      <c r="B22" s="8">
        <v>7.0000000000000007E-2</v>
      </c>
      <c r="C22">
        <v>0</v>
      </c>
      <c r="D22" t="s">
        <v>28</v>
      </c>
      <c r="E22" s="9">
        <v>0</v>
      </c>
      <c r="F22" s="9">
        <v>0</v>
      </c>
      <c r="H22" s="9">
        <v>7500</v>
      </c>
    </row>
    <row r="23" spans="1:8" x14ac:dyDescent="0.3">
      <c r="A23" t="s">
        <v>43</v>
      </c>
      <c r="B23" s="8">
        <v>0.06</v>
      </c>
      <c r="C23" t="s">
        <v>44</v>
      </c>
      <c r="D23" t="s">
        <v>39</v>
      </c>
      <c r="E23" s="9">
        <v>0</v>
      </c>
      <c r="F23" s="9">
        <v>0</v>
      </c>
      <c r="H23" s="9">
        <v>7500</v>
      </c>
    </row>
    <row r="24" spans="1:8" x14ac:dyDescent="0.3">
      <c r="A24" t="s">
        <v>45</v>
      </c>
      <c r="B24" s="8">
        <v>6.5000000000000002E-2</v>
      </c>
      <c r="C24" t="s">
        <v>46</v>
      </c>
      <c r="D24" t="s">
        <v>21</v>
      </c>
      <c r="E24" s="9">
        <v>0</v>
      </c>
      <c r="F24" s="9">
        <v>0</v>
      </c>
      <c r="H24" s="9">
        <v>7500</v>
      </c>
    </row>
    <row r="25" spans="1:8" x14ac:dyDescent="0.3">
      <c r="A25" t="s">
        <v>47</v>
      </c>
      <c r="B25" s="8">
        <v>0.06</v>
      </c>
      <c r="C25">
        <v>0</v>
      </c>
      <c r="D25" t="s">
        <v>28</v>
      </c>
      <c r="E25" s="9">
        <v>0</v>
      </c>
      <c r="F25" s="9">
        <v>0</v>
      </c>
      <c r="H25" s="9">
        <v>7500</v>
      </c>
    </row>
    <row r="26" spans="1:8" x14ac:dyDescent="0.3">
      <c r="A26" t="s">
        <v>48</v>
      </c>
      <c r="B26" s="8">
        <v>0.05</v>
      </c>
      <c r="C26" t="s">
        <v>49</v>
      </c>
      <c r="D26" t="s">
        <v>21</v>
      </c>
      <c r="E26" s="9">
        <v>0</v>
      </c>
      <c r="F26" s="9">
        <v>7000</v>
      </c>
      <c r="G26" t="s">
        <v>125</v>
      </c>
      <c r="H26" s="9">
        <v>7500</v>
      </c>
    </row>
    <row r="27" spans="1:8" x14ac:dyDescent="0.3">
      <c r="A27" t="s">
        <v>50</v>
      </c>
      <c r="B27" s="8">
        <v>5.5E-2</v>
      </c>
      <c r="C27">
        <v>0</v>
      </c>
      <c r="D27" t="s">
        <v>28</v>
      </c>
      <c r="E27" s="9">
        <v>0</v>
      </c>
      <c r="F27" s="9">
        <v>0</v>
      </c>
      <c r="H27" s="9">
        <v>7500</v>
      </c>
    </row>
    <row r="28" spans="1:8" x14ac:dyDescent="0.3">
      <c r="A28" t="s">
        <v>51</v>
      </c>
      <c r="B28" s="8">
        <v>0.06</v>
      </c>
      <c r="C28">
        <v>0</v>
      </c>
      <c r="D28" t="s">
        <v>28</v>
      </c>
      <c r="E28" s="9">
        <v>0</v>
      </c>
      <c r="F28" s="9">
        <v>0</v>
      </c>
      <c r="G28" t="s">
        <v>126</v>
      </c>
      <c r="H28" s="9">
        <v>7500</v>
      </c>
    </row>
    <row r="29" spans="1:8" x14ac:dyDescent="0.3">
      <c r="A29" t="s">
        <v>52</v>
      </c>
      <c r="B29" s="8">
        <v>6.25E-2</v>
      </c>
      <c r="C29">
        <v>0</v>
      </c>
      <c r="D29" t="s">
        <v>28</v>
      </c>
      <c r="E29" s="9">
        <v>1000</v>
      </c>
      <c r="F29" s="9">
        <v>0</v>
      </c>
      <c r="G29" t="s">
        <v>127</v>
      </c>
      <c r="H29" s="9">
        <v>7500</v>
      </c>
    </row>
    <row r="30" spans="1:8" x14ac:dyDescent="0.3">
      <c r="A30" t="s">
        <v>53</v>
      </c>
      <c r="B30" s="8">
        <v>0.06</v>
      </c>
      <c r="C30">
        <v>0</v>
      </c>
      <c r="D30" t="s">
        <v>28</v>
      </c>
      <c r="E30" s="9">
        <v>0</v>
      </c>
      <c r="F30" s="9">
        <v>0</v>
      </c>
      <c r="H30" s="9">
        <v>7500</v>
      </c>
    </row>
    <row r="31" spans="1:8" x14ac:dyDescent="0.3">
      <c r="A31" t="s">
        <v>54</v>
      </c>
      <c r="B31" s="8">
        <v>6.8750000000000006E-2</v>
      </c>
      <c r="C31" t="s">
        <v>55</v>
      </c>
      <c r="D31" t="s">
        <v>21</v>
      </c>
      <c r="E31" s="9">
        <v>0</v>
      </c>
      <c r="F31" s="9">
        <v>0</v>
      </c>
      <c r="H31" s="9">
        <v>7500</v>
      </c>
    </row>
    <row r="32" spans="1:8" x14ac:dyDescent="0.3">
      <c r="A32" t="s">
        <v>56</v>
      </c>
      <c r="B32" s="8">
        <v>7.0000000000000007E-2</v>
      </c>
      <c r="C32" t="s">
        <v>57</v>
      </c>
      <c r="D32" t="s">
        <v>39</v>
      </c>
      <c r="E32" s="9">
        <v>0</v>
      </c>
      <c r="F32" s="9">
        <v>0</v>
      </c>
      <c r="H32" s="9">
        <v>7500</v>
      </c>
    </row>
    <row r="33" spans="1:8" x14ac:dyDescent="0.3">
      <c r="A33" t="s">
        <v>58</v>
      </c>
      <c r="B33" s="8">
        <v>4.2250000000000003E-2</v>
      </c>
      <c r="C33" t="s">
        <v>59</v>
      </c>
      <c r="D33" t="s">
        <v>13</v>
      </c>
      <c r="E33" s="9">
        <v>0</v>
      </c>
      <c r="F33" s="9">
        <v>0</v>
      </c>
      <c r="H33" s="9">
        <v>7500</v>
      </c>
    </row>
    <row r="34" spans="1:8" x14ac:dyDescent="0.3">
      <c r="A34" t="s">
        <v>60</v>
      </c>
      <c r="B34" s="8">
        <v>0</v>
      </c>
      <c r="C34">
        <v>0</v>
      </c>
      <c r="D34" t="s">
        <v>28</v>
      </c>
      <c r="E34" s="9">
        <v>0</v>
      </c>
      <c r="F34" s="9">
        <v>0</v>
      </c>
      <c r="H34" s="9">
        <v>7500</v>
      </c>
    </row>
    <row r="35" spans="1:8" x14ac:dyDescent="0.3">
      <c r="A35" t="s">
        <v>61</v>
      </c>
      <c r="B35" s="8">
        <v>5.5E-2</v>
      </c>
      <c r="C35" t="s">
        <v>44</v>
      </c>
      <c r="D35" t="s">
        <v>21</v>
      </c>
      <c r="E35" s="9">
        <v>0</v>
      </c>
      <c r="F35" s="9">
        <v>0</v>
      </c>
      <c r="H35" s="9">
        <v>7500</v>
      </c>
    </row>
    <row r="36" spans="1:8" x14ac:dyDescent="0.3">
      <c r="A36" t="s">
        <v>62</v>
      </c>
      <c r="B36" s="8">
        <v>6.8500000000000005E-2</v>
      </c>
      <c r="C36" t="s">
        <v>63</v>
      </c>
      <c r="D36" t="s">
        <v>21</v>
      </c>
      <c r="E36" s="9">
        <v>0</v>
      </c>
      <c r="F36" s="9">
        <v>0</v>
      </c>
      <c r="G36" t="s">
        <v>128</v>
      </c>
      <c r="H36" s="9">
        <v>7500</v>
      </c>
    </row>
    <row r="37" spans="1:8" x14ac:dyDescent="0.3">
      <c r="A37" t="s">
        <v>64</v>
      </c>
      <c r="B37" s="8">
        <v>0</v>
      </c>
      <c r="C37">
        <v>0</v>
      </c>
      <c r="D37" t="s">
        <v>28</v>
      </c>
      <c r="E37" s="9">
        <v>0</v>
      </c>
      <c r="F37" s="9">
        <v>0</v>
      </c>
      <c r="H37" s="9">
        <v>7500</v>
      </c>
    </row>
    <row r="38" spans="1:8" x14ac:dyDescent="0.3">
      <c r="A38" t="s">
        <v>65</v>
      </c>
      <c r="B38" s="8">
        <v>6.8750000000000006E-2</v>
      </c>
      <c r="C38">
        <v>0</v>
      </c>
      <c r="D38" t="s">
        <v>28</v>
      </c>
      <c r="E38" s="9">
        <v>0</v>
      </c>
      <c r="F38" s="9">
        <v>0</v>
      </c>
      <c r="G38" t="s">
        <v>129</v>
      </c>
      <c r="H38" s="9">
        <v>7500</v>
      </c>
    </row>
    <row r="39" spans="1:8" x14ac:dyDescent="0.3">
      <c r="A39" t="s">
        <v>66</v>
      </c>
      <c r="B39" s="8">
        <v>5.1249999999999997E-2</v>
      </c>
      <c r="C39" t="s">
        <v>67</v>
      </c>
      <c r="D39" t="s">
        <v>39</v>
      </c>
      <c r="E39" s="9">
        <v>0</v>
      </c>
      <c r="F39" s="9">
        <v>0</v>
      </c>
      <c r="H39" s="9">
        <v>7500</v>
      </c>
    </row>
    <row r="40" spans="1:8" x14ac:dyDescent="0.3">
      <c r="A40" t="s">
        <v>68</v>
      </c>
      <c r="B40" s="8">
        <v>0.04</v>
      </c>
      <c r="C40" t="s">
        <v>69</v>
      </c>
      <c r="D40" t="s">
        <v>21</v>
      </c>
      <c r="E40" s="9">
        <v>0</v>
      </c>
      <c r="F40" s="9">
        <v>0</v>
      </c>
      <c r="H40" s="9">
        <v>7500</v>
      </c>
    </row>
    <row r="41" spans="1:8" x14ac:dyDescent="0.3">
      <c r="A41" t="s">
        <v>70</v>
      </c>
      <c r="B41" s="8">
        <v>4.7500000000000001E-2</v>
      </c>
      <c r="C41" t="s">
        <v>71</v>
      </c>
      <c r="D41" t="s">
        <v>21</v>
      </c>
      <c r="E41" s="9">
        <v>0</v>
      </c>
      <c r="F41" s="9">
        <v>0</v>
      </c>
      <c r="H41" s="9">
        <v>7500</v>
      </c>
    </row>
    <row r="42" spans="1:8" x14ac:dyDescent="0.3">
      <c r="A42" t="s">
        <v>72</v>
      </c>
      <c r="B42" s="8">
        <v>0.05</v>
      </c>
      <c r="C42" t="s">
        <v>73</v>
      </c>
      <c r="D42" t="s">
        <v>21</v>
      </c>
      <c r="E42" s="9">
        <v>0</v>
      </c>
      <c r="F42" s="9">
        <v>0</v>
      </c>
      <c r="H42" s="9">
        <v>7500</v>
      </c>
    </row>
    <row r="43" spans="1:8" x14ac:dyDescent="0.3">
      <c r="A43" t="s">
        <v>74</v>
      </c>
      <c r="B43" s="8">
        <v>5.7500000000000002E-2</v>
      </c>
      <c r="C43" t="s">
        <v>75</v>
      </c>
      <c r="D43" t="s">
        <v>21</v>
      </c>
      <c r="E43" s="9">
        <v>0</v>
      </c>
      <c r="F43" s="9">
        <v>0</v>
      </c>
      <c r="H43" s="9">
        <v>7500</v>
      </c>
    </row>
    <row r="44" spans="1:8" x14ac:dyDescent="0.3">
      <c r="A44" t="s">
        <v>76</v>
      </c>
      <c r="B44" s="8">
        <v>4.4999999999999998E-2</v>
      </c>
      <c r="C44" t="s">
        <v>77</v>
      </c>
      <c r="D44" t="s">
        <v>13</v>
      </c>
      <c r="E44" s="9">
        <v>0</v>
      </c>
      <c r="F44" s="9">
        <v>0</v>
      </c>
      <c r="H44" s="9">
        <v>7500</v>
      </c>
    </row>
    <row r="45" spans="1:8" x14ac:dyDescent="0.3">
      <c r="A45" t="s">
        <v>78</v>
      </c>
      <c r="B45" s="8">
        <v>0</v>
      </c>
      <c r="C45">
        <v>0</v>
      </c>
      <c r="D45" t="s">
        <v>28</v>
      </c>
      <c r="E45" s="9">
        <v>0</v>
      </c>
      <c r="F45" s="9">
        <v>0</v>
      </c>
      <c r="G45" t="s">
        <v>131</v>
      </c>
      <c r="H45" s="9">
        <v>7500</v>
      </c>
    </row>
    <row r="46" spans="1:8" x14ac:dyDescent="0.3">
      <c r="A46" t="s">
        <v>79</v>
      </c>
      <c r="B46" s="8">
        <v>0.06</v>
      </c>
      <c r="C46" t="s">
        <v>44</v>
      </c>
      <c r="D46" t="s">
        <v>39</v>
      </c>
      <c r="E46" s="9">
        <v>2000</v>
      </c>
      <c r="F46" s="9">
        <v>0</v>
      </c>
      <c r="H46" s="9">
        <v>7500</v>
      </c>
    </row>
    <row r="47" spans="1:8" x14ac:dyDescent="0.3">
      <c r="A47" t="s">
        <v>80</v>
      </c>
      <c r="B47" s="8">
        <v>7.0000000000000007E-2</v>
      </c>
      <c r="C47">
        <v>0</v>
      </c>
      <c r="D47" t="s">
        <v>28</v>
      </c>
      <c r="E47" s="9">
        <v>2500</v>
      </c>
      <c r="F47" s="9">
        <v>0</v>
      </c>
      <c r="H47" s="9">
        <v>7500</v>
      </c>
    </row>
    <row r="48" spans="1:8" x14ac:dyDescent="0.3">
      <c r="A48" t="s">
        <v>81</v>
      </c>
      <c r="B48" s="8">
        <v>0.06</v>
      </c>
      <c r="C48" t="s">
        <v>38</v>
      </c>
      <c r="D48" t="s">
        <v>21</v>
      </c>
      <c r="E48" s="9">
        <v>0</v>
      </c>
      <c r="F48" s="9">
        <v>0</v>
      </c>
      <c r="H48" s="9">
        <v>7500</v>
      </c>
    </row>
    <row r="49" spans="1:8" x14ac:dyDescent="0.3">
      <c r="A49" t="s">
        <v>82</v>
      </c>
      <c r="B49" s="8">
        <v>4.4999999999999998E-2</v>
      </c>
      <c r="C49" t="s">
        <v>44</v>
      </c>
      <c r="D49" t="s">
        <v>21</v>
      </c>
      <c r="E49" s="9">
        <v>0</v>
      </c>
      <c r="F49" s="9">
        <v>0</v>
      </c>
      <c r="H49" s="9">
        <v>7500</v>
      </c>
    </row>
    <row r="50" spans="1:8" x14ac:dyDescent="0.3">
      <c r="A50" t="s">
        <v>83</v>
      </c>
      <c r="B50" s="8">
        <v>7.0000000000000007E-2</v>
      </c>
      <c r="C50" t="s">
        <v>84</v>
      </c>
      <c r="D50" t="s">
        <v>21</v>
      </c>
      <c r="E50" s="9">
        <v>0</v>
      </c>
      <c r="F50" s="9">
        <v>0</v>
      </c>
      <c r="H50" s="9">
        <v>7500</v>
      </c>
    </row>
    <row r="51" spans="1:8" x14ac:dyDescent="0.3">
      <c r="A51" t="s">
        <v>85</v>
      </c>
      <c r="B51" s="8">
        <v>6.25E-2</v>
      </c>
      <c r="C51" t="s">
        <v>44</v>
      </c>
      <c r="D51" t="s">
        <v>21</v>
      </c>
      <c r="E51" s="9">
        <v>0</v>
      </c>
      <c r="F51" s="9">
        <v>0</v>
      </c>
      <c r="H51" s="9">
        <v>7500</v>
      </c>
    </row>
    <row r="52" spans="1:8" x14ac:dyDescent="0.3">
      <c r="A52" t="s">
        <v>86</v>
      </c>
      <c r="B52" s="8">
        <v>4.7E-2</v>
      </c>
      <c r="C52" t="s">
        <v>87</v>
      </c>
      <c r="D52" t="s">
        <v>21</v>
      </c>
      <c r="E52" s="9">
        <v>0</v>
      </c>
      <c r="F52" s="9">
        <v>0</v>
      </c>
      <c r="H52" s="9">
        <v>7500</v>
      </c>
    </row>
    <row r="53" spans="1:8" x14ac:dyDescent="0.3">
      <c r="A53" t="s">
        <v>88</v>
      </c>
      <c r="B53" s="8">
        <v>0.06</v>
      </c>
      <c r="C53" t="s">
        <v>57</v>
      </c>
      <c r="D53" t="s">
        <v>39</v>
      </c>
      <c r="E53" s="9">
        <v>0</v>
      </c>
      <c r="F53" s="9">
        <v>0</v>
      </c>
      <c r="H53" s="9">
        <v>7500</v>
      </c>
    </row>
    <row r="54" spans="1:8" x14ac:dyDescent="0.3">
      <c r="A54" t="s">
        <v>89</v>
      </c>
      <c r="B54" s="8">
        <v>4.2999999999999997E-2</v>
      </c>
      <c r="C54" t="s">
        <v>90</v>
      </c>
      <c r="D54" t="s">
        <v>21</v>
      </c>
      <c r="E54" s="9">
        <v>0</v>
      </c>
      <c r="F54" s="9">
        <v>0</v>
      </c>
      <c r="H54" s="9">
        <v>7500</v>
      </c>
    </row>
    <row r="55" spans="1:8" x14ac:dyDescent="0.3">
      <c r="A55" t="s">
        <v>91</v>
      </c>
      <c r="B55" s="8">
        <v>6.5000000000000002E-2</v>
      </c>
      <c r="C55" t="s">
        <v>92</v>
      </c>
      <c r="D55" t="s">
        <v>21</v>
      </c>
      <c r="E55" s="9">
        <v>0</v>
      </c>
      <c r="F55" s="9">
        <v>0</v>
      </c>
      <c r="H55" s="9">
        <v>7500</v>
      </c>
    </row>
    <row r="56" spans="1:8" x14ac:dyDescent="0.3">
      <c r="A56" t="s">
        <v>93</v>
      </c>
      <c r="B56" s="8">
        <v>0.06</v>
      </c>
      <c r="C56" t="s">
        <v>94</v>
      </c>
      <c r="D56" t="s">
        <v>21</v>
      </c>
      <c r="E56" s="9">
        <v>0</v>
      </c>
      <c r="F56" s="9">
        <v>0</v>
      </c>
      <c r="H56" s="9">
        <v>7500</v>
      </c>
    </row>
    <row r="57" spans="1:8" x14ac:dyDescent="0.3">
      <c r="A57" t="s">
        <v>95</v>
      </c>
      <c r="B57" s="8">
        <v>0.05</v>
      </c>
      <c r="C57" t="s">
        <v>96</v>
      </c>
      <c r="D57" t="s">
        <v>13</v>
      </c>
      <c r="E57" s="9">
        <v>0</v>
      </c>
      <c r="F57" s="9">
        <v>0</v>
      </c>
      <c r="H57" s="9">
        <v>7500</v>
      </c>
    </row>
    <row r="58" spans="1:8" x14ac:dyDescent="0.3">
      <c r="A58" t="s">
        <v>97</v>
      </c>
      <c r="B58" s="8">
        <v>0.04</v>
      </c>
      <c r="C58" t="s">
        <v>98</v>
      </c>
      <c r="D58" t="s">
        <v>21</v>
      </c>
      <c r="E58" s="9">
        <v>0</v>
      </c>
      <c r="F58" s="9">
        <v>0</v>
      </c>
      <c r="H58" s="9">
        <v>7500</v>
      </c>
    </row>
  </sheetData>
  <mergeCells count="4">
    <mergeCell ref="A1:E2"/>
    <mergeCell ref="A3:D3"/>
    <mergeCell ref="A4:D4"/>
    <mergeCell ref="A5:D5"/>
  </mergeCells>
  <hyperlinks>
    <hyperlink ref="A8" r:id="rId1" display="http://www.salestaxinstitute.com/resources/news/filtering?field_category_value=All&amp;field_state_value=Alabama&amp;field_new_archive__value=All&amp;body_value=&amp;title="/>
    <hyperlink ref="A9" r:id="rId2" display="http://www.salestaxinstitute.com/resources/news/filtering?field_category_value=All&amp;field_state_value=Alaska&amp;field_new_archive__value=All&amp;body_value=&amp;title="/>
    <hyperlink ref="A10" r:id="rId3" display="http://www.salestaxinstitute.com/resources/news/filtering?field_category_value=All&amp;field_state_value=Arizona&amp;field_new_archive__value=All&amp;body_value=&amp;title="/>
    <hyperlink ref="A11" r:id="rId4" display="http://www.salestaxinstitute.com/resources/news/filtering?field_category_value=All&amp;field_state_value=Arkansas&amp;field_new_archive__value=All&amp;body_value=&amp;title="/>
    <hyperlink ref="A12" r:id="rId5" display="http://www.salestaxinstitute.com/resources/news/filtering?field_category_value=All&amp;field_state_value=California&amp;field_new_archive__value=All&amp;body_value=&amp;title="/>
    <hyperlink ref="A13" r:id="rId6" display="http://www.salestaxinstitute.com/resources/news/filtering?field_category_value=All&amp;field_state_value=Colorado&amp;field_new_archive__value=All&amp;body_value=&amp;title="/>
    <hyperlink ref="A14" r:id="rId7" display="http://www.salestaxinstitute.com/resources/news/filtering?field_category_value=All&amp;field_state_value=Connecticut&amp;field_new_archive__value=All&amp;body_value=&amp;title="/>
    <hyperlink ref="A15" r:id="rId8" display="http://www.salestaxinstitute.com/resources/news/filtering?field_category_value=All&amp;field_state_value=Delaware&amp;field_new_archive__value=All&amp;body_value=&amp;title="/>
    <hyperlink ref="A16" r:id="rId9" display="http://www.salestaxinstitute.com/resources/news/filtering?field_category_value=All&amp;field_state_value=District+of+Columbia&amp;field_new_archive__value=All&amp;body_value=&amp;title="/>
    <hyperlink ref="A17" r:id="rId10" display="http://www.salestaxinstitute.com/resources/news/filtering?field_category_value=All&amp;field_state_value=Florida&amp;field_new_archive__value=All&amp;body_value=&amp;title="/>
    <hyperlink ref="A18" r:id="rId11" display="http://www.salestaxinstitute.com/resources/news/filtering?field_category_value=All&amp;field_state_value=Georgia&amp;field_new_archive__value=All&amp;body_value=&amp;title="/>
    <hyperlink ref="A19" r:id="rId12" display="http://www.salestaxinstitute.com/resources/news/filtering?field_category_value=All&amp;field_state_value=Hawaii&amp;field_new_archive__value=All&amp;body_value=&amp;title="/>
    <hyperlink ref="A20" r:id="rId13" display="http://www.salestaxinstitute.com/resources/news/filtering?field_category_value=All&amp;field_state_value=Idaho&amp;field_new_archive__value=All&amp;body_value=&amp;title="/>
    <hyperlink ref="A21" r:id="rId14" display="http://www.salestaxinstitute.com/resources/news/filtering?field_category_value=All&amp;field_state_value=Illinois&amp;field_new_archive__value=All&amp;body_value=&amp;title="/>
    <hyperlink ref="A22" r:id="rId15" display="http://www.salestaxinstitute.com/resources/news/filtering?field_category_value=All&amp;field_state_value=Indiana&amp;field_new_archive__value=All&amp;body_value=&amp;title="/>
    <hyperlink ref="A23" r:id="rId16" display="http://www.salestaxinstitute.com/resources/news/filtering?field_category_value=All&amp;field_state_value=Iowa&amp;field_new_archive__value=All&amp;body_value=&amp;title="/>
    <hyperlink ref="A24" r:id="rId17" display="http://www.salestaxinstitute.com/resources/news/filtering?field_category_value=All&amp;field_state_value=Kansas&amp;field_new_archive__value=All&amp;body_value=&amp;title="/>
    <hyperlink ref="A25" r:id="rId18" display="http://www.salestaxinstitute.com/resources/news/filtering?field_category_value=All&amp;field_state_value=Kentucky&amp;field_new_archive__value=All&amp;body_value=&amp;title="/>
    <hyperlink ref="A26" r:id="rId19" display="http://www.salestaxinstitute.com/resources/news/filtering?field_category_value=All&amp;field_state_value=Louisiana&amp;field_new_archive__value=All&amp;body_value=&amp;title="/>
    <hyperlink ref="A27" r:id="rId20" display="http://www.salestaxinstitute.com/resources/news/filtering?field_category_value=All&amp;field_state_value=Maine&amp;field_new_archive__value=All&amp;body_value=&amp;title="/>
    <hyperlink ref="A28" r:id="rId21" display="http://www.salestaxinstitute.com/resources/news/filtering?field_category_value=All&amp;field_state_value=Maryland&amp;field_new_archive__value=All&amp;body_value=&amp;title="/>
    <hyperlink ref="A29" r:id="rId22" display="http://www.salestaxinstitute.com/resources/news/filtering?field_category_value=All&amp;field_state_value=Massachusetts&amp;field_new_archive__value=All&amp;body_value=&amp;title="/>
    <hyperlink ref="A30" r:id="rId23" display="http://www.salestaxinstitute.com/resources/news/filtering?field_category_value=All&amp;field_state_value=Michigan&amp;field_new_archive__value=All&amp;body_value=&amp;title="/>
    <hyperlink ref="A31" r:id="rId24" display="http://www.salestaxinstitute.com/resources/news/filtering?field_category_value=All&amp;field_state_value=Minnesota&amp;field_new_archive__value=All&amp;body_value=&amp;title="/>
    <hyperlink ref="A32" r:id="rId25" display="http://www.salestaxinstitute.com/resources/news/filtering?field_category_value=All&amp;field_state_value=Mississippi&amp;field_new_archive__value=All&amp;body_value=&amp;title="/>
    <hyperlink ref="A33" r:id="rId26" display="http://www.salestaxinstitute.com/resources/news/filtering?field_category_value=All&amp;field_state_value=Missouri&amp;field_new_archive__value=All&amp;body_value=&amp;title="/>
    <hyperlink ref="A34" r:id="rId27" display="http://www.salestaxinstitute.com/resources/news/filtering?field_category_value=All&amp;field_state_value=Montana&amp;field_new_archive__value=All&amp;body_value=&amp;title="/>
    <hyperlink ref="A35" r:id="rId28" display="http://www.salestaxinstitute.com/resources/news/filtering?field_category_value=All&amp;field_state_value=Nebraska&amp;field_new_archive__value=All&amp;body_value=&amp;title="/>
    <hyperlink ref="A36" r:id="rId29" display="http://www.salestaxinstitute.com/resources/news/filtering?field_category_value=All&amp;field_state_value=Nevada&amp;field_new_archive__value=All&amp;body_value=&amp;title="/>
    <hyperlink ref="A37" r:id="rId30" display="http://www.salestaxinstitute.com/resources/news/filtering?field_category_value=All&amp;field_state_value=New+Hampshire&amp;field_new_archive__value=All&amp;body_value=&amp;title="/>
    <hyperlink ref="A38" r:id="rId31" display="http://www.salestaxinstitute.com/resources/news/filtering?field_category_value=All&amp;field_state_value=New+Jersey&amp;field_new_archive__value=All&amp;body_value=&amp;title="/>
    <hyperlink ref="A39" r:id="rId32" display="http://www.salestaxinstitute.com/resources/news/filtering?field_category_value=All&amp;field_state_value=New+Mexico&amp;field_new_archive__value=All&amp;body_value=&amp;title="/>
    <hyperlink ref="A40" r:id="rId33" display="http://www.salestaxinstitute.com/resources/news/filtering?field_category_value=All&amp;field_state_value=New+York&amp;field_new_archive__value=All&amp;body_value=&amp;title="/>
    <hyperlink ref="A41" r:id="rId34" display="http://www.salestaxinstitute.com/resources/news/filtering?field_category_value=All&amp;field_state_value=North+Carolina&amp;field_new_archive__value=All&amp;body_value=&amp;title="/>
    <hyperlink ref="A42" r:id="rId35" display="http://www.salestaxinstitute.com/resources/news/filtering?field_category_value=All&amp;field_state_value=North+Dakota&amp;field_new_archive__value=All&amp;body_value=&amp;title="/>
    <hyperlink ref="A43" r:id="rId36" display="http://www.salestaxinstitute.com/resources/news/filtering?field_category_value=All&amp;field_state_value=Ohio&amp;field_new_archive__value=All&amp;body_value=&amp;title="/>
    <hyperlink ref="A44" r:id="rId37" display="http://www.salestaxinstitute.com/resources/news/filtering?field_category_value=All&amp;field_state_value=Oklahoma&amp;field_new_archive__value=All&amp;body_value=&amp;title="/>
    <hyperlink ref="A45" r:id="rId38" display="http://www.salestaxinstitute.com/resources/news/filtering?field_category_value=All&amp;field_state_value=Oregon&amp;field_new_archive__value=All&amp;body_value=&amp;title="/>
    <hyperlink ref="A46" r:id="rId39" display="http://www.salestaxinstitute.com/resources/news/filtering?field_category_value=All&amp;field_state_value=Pennsylvania&amp;field_new_archive__value=All&amp;body_value=&amp;title="/>
    <hyperlink ref="A47" r:id="rId40" display="http://www.salestaxinstitute.com/resources/news/filtering?field_category_value=All&amp;field_state_value=Rhode+Island&amp;field_new_archive__value=All&amp;body_value=&amp;title="/>
    <hyperlink ref="A48" r:id="rId41" display="http://www.salestaxinstitute.com/resources/news/filtering?field_category_value=All&amp;field_state_value=South+Carolina&amp;field_new_archive__value=All&amp;body_value=&amp;title="/>
    <hyperlink ref="A49" r:id="rId42" display="http://www.salestaxinstitute.com/resources/news/filtering?field_category_value=All&amp;field_state_value=South+Dakota&amp;field_new_archive__value=All&amp;body_value=&amp;title="/>
    <hyperlink ref="A50" r:id="rId43" display="http://www.salestaxinstitute.com/resources/news/filtering?field_category_value=All&amp;field_state_value=Tennessee&amp;field_new_archive__value=All&amp;body_value=&amp;title="/>
    <hyperlink ref="A51" r:id="rId44" display="http://www.salestaxinstitute.com/resources/news/filtering?field_category_value=All&amp;field_state_value=Texas&amp;field_new_archive__value=All&amp;body_value=&amp;title="/>
    <hyperlink ref="A52" r:id="rId45" display="http://www.salestaxinstitute.com/resources/news/filtering?field_category_value=All&amp;field_state_value=Utah&amp;field_new_archive__value=All&amp;body_value=&amp;title="/>
    <hyperlink ref="A53" r:id="rId46" display="http://www.salestaxinstitute.com/resources/news/filtering?field_category_value=All&amp;field_state_value=Vermont&amp;field_new_archive__value=All&amp;body_value=&amp;title="/>
    <hyperlink ref="A54" r:id="rId47" display="http://www.salestaxinstitute.com/resources/news/filtering?field_category_value=All&amp;field_state_value=Virginia&amp;field_new_archive__value=All&amp;body_value=&amp;title="/>
    <hyperlink ref="A55" r:id="rId48" display="http://www.salestaxinstitute.com/resources/news/filtering?field_category_value=All&amp;field_state_value=Washington&amp;field_new_archive__value=All&amp;body_value=&amp;title="/>
    <hyperlink ref="A56" r:id="rId49" display="http://www.salestaxinstitute.com/resources/news/filtering?field_category_value=All&amp;field_state_value=West+Virginia&amp;field_new_archive__value=All&amp;body_value=&amp;title="/>
    <hyperlink ref="A57" r:id="rId50" display="http://www.salestaxinstitute.com/resources/news/filtering?field_category_value=All&amp;field_state_value=Wisconsin&amp;field_new_archive__value=All&amp;body_value=&amp;title="/>
    <hyperlink ref="A58" r:id="rId51" display="http://www.salestaxinstitute.com/resources/news/filtering?field_category_value=All&amp;field_state_value=Wyoming&amp;field_new_archive__value=All&amp;body_value=&amp;title="/>
    <hyperlink ref="A3" r:id="rId52"/>
    <hyperlink ref="A4" r:id="rId53"/>
    <hyperlink ref="A5" r:id="rId54"/>
  </hyperlinks>
  <pageMargins left="0.7" right="0.7" top="0.75" bottom="0.75" header="0.3" footer="0.3"/>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vt:lpstr>
      <vt:lpstr>Taxes, Titles,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Kladar</dc:creator>
  <cp:lastModifiedBy>Kladar</cp:lastModifiedBy>
  <dcterms:created xsi:type="dcterms:W3CDTF">2017-03-02T19:35:29Z</dcterms:created>
  <dcterms:modified xsi:type="dcterms:W3CDTF">2017-03-03T23:26:01Z</dcterms:modified>
</cp:coreProperties>
</file>